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Anísio\Documents\"/>
    </mc:Choice>
  </mc:AlternateContent>
  <bookViews>
    <workbookView showSheetTabs="0" xWindow="0" yWindow="0" windowWidth="21570" windowHeight="8145" tabRatio="0" firstSheet="10" activeTab="17"/>
  </bookViews>
  <sheets>
    <sheet name="Entrada" sheetId="1" r:id="rId1"/>
    <sheet name="Dados_Clientes" sheetId="2" r:id="rId2"/>
    <sheet name="Dados dos fundos" sheetId="3" r:id="rId3"/>
    <sheet name="VaR_Calculo" sheetId="34" r:id="rId4"/>
    <sheet name="VaR_Calculo_Historico" sheetId="33" r:id="rId5"/>
    <sheet name="Resumo" sheetId="35" r:id="rId6"/>
    <sheet name="Capa" sheetId="11" r:id="rId7"/>
    <sheet name="Relatório" sheetId="14" r:id="rId8"/>
    <sheet name="CAD" sheetId="37" r:id="rId9"/>
    <sheet name="CadPrev" sheetId="38" r:id="rId10"/>
    <sheet name="Carteira" sheetId="4" r:id="rId11"/>
    <sheet name="enquadramento" sheetId="6" r:id="rId12"/>
    <sheet name="Retorno" sheetId="7" r:id="rId13"/>
    <sheet name="Calculo_Indice_Sharpe" sheetId="15" r:id="rId14"/>
    <sheet name="Trimestral" sheetId="32" r:id="rId15"/>
    <sheet name="historico" sheetId="22" r:id="rId16"/>
    <sheet name="AUDESP" sheetId="39" r:id="rId17"/>
    <sheet name="Relatorio excel" sheetId="29" r:id="rId18"/>
    <sheet name="Plan1" sheetId="23" r:id="rId19"/>
    <sheet name="Plan2" sheetId="24" r:id="rId20"/>
    <sheet name="Plan3" sheetId="25" r:id="rId21"/>
    <sheet name="Plan4" sheetId="26" r:id="rId22"/>
    <sheet name="Plan6" sheetId="36" r:id="rId23"/>
    <sheet name="Plan5" sheetId="27" r:id="rId24"/>
  </sheets>
  <externalReferences>
    <externalReference r:id="rId25"/>
  </externalReferences>
  <definedNames>
    <definedName name="_xlnm.Print_Area" localSheetId="6">Capa!$A$1:$J$51</definedName>
  </definedNames>
  <calcPr calcId="152511"/>
</workbook>
</file>

<file path=xl/calcChain.xml><?xml version="1.0" encoding="utf-8"?>
<calcChain xmlns="http://schemas.openxmlformats.org/spreadsheetml/2006/main">
  <c r="R4" i="34" l="1"/>
  <c r="C7" i="34" l="1"/>
  <c r="C8" i="34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C103" i="34"/>
  <c r="C104" i="34"/>
  <c r="C105" i="34"/>
  <c r="C6" i="34"/>
  <c r="C5" i="34"/>
  <c r="AQ7" i="14"/>
  <c r="AQ8" i="14"/>
  <c r="AQ9" i="14"/>
  <c r="X62" i="2"/>
  <c r="K62" i="2" l="1"/>
  <c r="C4" i="4" l="1"/>
  <c r="D4" i="4"/>
  <c r="E4" i="4"/>
  <c r="T4" i="4" s="1"/>
  <c r="F4" i="4"/>
  <c r="G4" i="4"/>
  <c r="H4" i="4"/>
  <c r="I4" i="4"/>
  <c r="J4" i="4"/>
  <c r="K4" i="4"/>
  <c r="L4" i="4"/>
  <c r="O4" i="4" s="1"/>
  <c r="P4" i="4"/>
  <c r="C5" i="4"/>
  <c r="D5" i="4"/>
  <c r="E5" i="4"/>
  <c r="R5" i="4" s="1"/>
  <c r="F5" i="4"/>
  <c r="G5" i="4"/>
  <c r="H5" i="4"/>
  <c r="I5" i="4"/>
  <c r="J5" i="4"/>
  <c r="K5" i="4"/>
  <c r="L5" i="4"/>
  <c r="N5" i="4" s="1"/>
  <c r="P5" i="4"/>
  <c r="C6" i="4"/>
  <c r="D6" i="4"/>
  <c r="E6" i="4"/>
  <c r="T6" i="4" s="1"/>
  <c r="F6" i="4"/>
  <c r="G6" i="4"/>
  <c r="H6" i="4"/>
  <c r="I6" i="4"/>
  <c r="J6" i="4"/>
  <c r="K6" i="4"/>
  <c r="L6" i="4"/>
  <c r="O6" i="4" s="1"/>
  <c r="P6" i="4"/>
  <c r="C7" i="4"/>
  <c r="D7" i="4"/>
  <c r="E7" i="4"/>
  <c r="R7" i="4" s="1"/>
  <c r="F7" i="4"/>
  <c r="G7" i="4"/>
  <c r="H7" i="4"/>
  <c r="I7" i="4"/>
  <c r="J7" i="4"/>
  <c r="K7" i="4"/>
  <c r="L7" i="4"/>
  <c r="N7" i="4" s="1"/>
  <c r="P7" i="4"/>
  <c r="C8" i="4"/>
  <c r="D8" i="4"/>
  <c r="E8" i="4"/>
  <c r="T8" i="4" s="1"/>
  <c r="F8" i="4"/>
  <c r="G8" i="4"/>
  <c r="H8" i="4"/>
  <c r="I8" i="4"/>
  <c r="J8" i="4"/>
  <c r="K8" i="4"/>
  <c r="L8" i="4"/>
  <c r="O8" i="4" s="1"/>
  <c r="P8" i="4"/>
  <c r="C9" i="4"/>
  <c r="D9" i="4"/>
  <c r="E9" i="4"/>
  <c r="R9" i="4" s="1"/>
  <c r="F9" i="4"/>
  <c r="G9" i="4"/>
  <c r="H9" i="4"/>
  <c r="I9" i="4"/>
  <c r="J9" i="4"/>
  <c r="K9" i="4"/>
  <c r="L9" i="4"/>
  <c r="N9" i="4" s="1"/>
  <c r="P9" i="4"/>
  <c r="C10" i="4"/>
  <c r="D10" i="4"/>
  <c r="E10" i="4"/>
  <c r="R10" i="4" s="1"/>
  <c r="F10" i="4"/>
  <c r="G10" i="4"/>
  <c r="H10" i="4"/>
  <c r="I10" i="4"/>
  <c r="J10" i="4"/>
  <c r="K10" i="4"/>
  <c r="L10" i="4"/>
  <c r="O10" i="4" s="1"/>
  <c r="P10" i="4"/>
  <c r="C11" i="4"/>
  <c r="D11" i="4"/>
  <c r="E11" i="4"/>
  <c r="R11" i="4" s="1"/>
  <c r="F11" i="4"/>
  <c r="G11" i="4"/>
  <c r="H11" i="4"/>
  <c r="I11" i="4"/>
  <c r="J11" i="4"/>
  <c r="K11" i="4"/>
  <c r="L11" i="4"/>
  <c r="N11" i="4" s="1"/>
  <c r="P11" i="4"/>
  <c r="C12" i="4"/>
  <c r="D12" i="4"/>
  <c r="E12" i="4"/>
  <c r="R12" i="4" s="1"/>
  <c r="F12" i="4"/>
  <c r="G12" i="4"/>
  <c r="H12" i="4"/>
  <c r="I12" i="4"/>
  <c r="J12" i="4"/>
  <c r="K12" i="4"/>
  <c r="L12" i="4"/>
  <c r="N12" i="4" s="1"/>
  <c r="P12" i="4"/>
  <c r="C13" i="4"/>
  <c r="D13" i="4"/>
  <c r="E13" i="4"/>
  <c r="R13" i="4" s="1"/>
  <c r="F13" i="4"/>
  <c r="G13" i="4"/>
  <c r="H13" i="4"/>
  <c r="I13" i="4"/>
  <c r="J13" i="4"/>
  <c r="K13" i="4"/>
  <c r="L13" i="4"/>
  <c r="N13" i="4" s="1"/>
  <c r="P13" i="4"/>
  <c r="C14" i="4"/>
  <c r="D14" i="4"/>
  <c r="E14" i="4"/>
  <c r="R14" i="4" s="1"/>
  <c r="F14" i="4"/>
  <c r="G14" i="4"/>
  <c r="H14" i="4"/>
  <c r="I14" i="4"/>
  <c r="J14" i="4"/>
  <c r="K14" i="4"/>
  <c r="L14" i="4"/>
  <c r="O14" i="4" s="1"/>
  <c r="P14" i="4"/>
  <c r="C15" i="4"/>
  <c r="D15" i="4"/>
  <c r="E15" i="4"/>
  <c r="R15" i="4" s="1"/>
  <c r="F15" i="4"/>
  <c r="G15" i="4"/>
  <c r="H15" i="4"/>
  <c r="I15" i="4"/>
  <c r="J15" i="4"/>
  <c r="K15" i="4"/>
  <c r="L15" i="4"/>
  <c r="N15" i="4" s="1"/>
  <c r="P15" i="4"/>
  <c r="C16" i="4"/>
  <c r="D16" i="4"/>
  <c r="E16" i="4"/>
  <c r="R16" i="4" s="1"/>
  <c r="F16" i="4"/>
  <c r="G16" i="4"/>
  <c r="H16" i="4"/>
  <c r="I16" i="4"/>
  <c r="J16" i="4"/>
  <c r="K16" i="4"/>
  <c r="L16" i="4"/>
  <c r="N16" i="4" s="1"/>
  <c r="P16" i="4"/>
  <c r="C17" i="4"/>
  <c r="D17" i="4"/>
  <c r="E17" i="4"/>
  <c r="R17" i="4" s="1"/>
  <c r="F17" i="4"/>
  <c r="G17" i="4"/>
  <c r="H17" i="4"/>
  <c r="I17" i="4"/>
  <c r="J17" i="4"/>
  <c r="K17" i="4"/>
  <c r="L17" i="4"/>
  <c r="N17" i="4" s="1"/>
  <c r="P17" i="4"/>
  <c r="C18" i="4"/>
  <c r="D18" i="4"/>
  <c r="E18" i="4"/>
  <c r="R18" i="4" s="1"/>
  <c r="F18" i="4"/>
  <c r="G18" i="4"/>
  <c r="H18" i="4"/>
  <c r="I18" i="4"/>
  <c r="J18" i="4"/>
  <c r="K18" i="4"/>
  <c r="L18" i="4"/>
  <c r="O18" i="4" s="1"/>
  <c r="P18" i="4"/>
  <c r="C19" i="4"/>
  <c r="D19" i="4"/>
  <c r="E19" i="4"/>
  <c r="R19" i="4" s="1"/>
  <c r="F19" i="4"/>
  <c r="G19" i="4"/>
  <c r="H19" i="4"/>
  <c r="I19" i="4"/>
  <c r="J19" i="4"/>
  <c r="K19" i="4"/>
  <c r="L19" i="4"/>
  <c r="N19" i="4" s="1"/>
  <c r="P19" i="4"/>
  <c r="C20" i="4"/>
  <c r="D20" i="4"/>
  <c r="E20" i="4"/>
  <c r="R20" i="4" s="1"/>
  <c r="F20" i="4"/>
  <c r="G20" i="4"/>
  <c r="H20" i="4"/>
  <c r="I20" i="4"/>
  <c r="J20" i="4"/>
  <c r="K20" i="4"/>
  <c r="L20" i="4"/>
  <c r="N20" i="4" s="1"/>
  <c r="P20" i="4"/>
  <c r="C21" i="4"/>
  <c r="D21" i="4"/>
  <c r="E21" i="4"/>
  <c r="R21" i="4" s="1"/>
  <c r="F21" i="4"/>
  <c r="G21" i="4"/>
  <c r="H21" i="4"/>
  <c r="I21" i="4"/>
  <c r="J21" i="4"/>
  <c r="K21" i="4"/>
  <c r="L21" i="4"/>
  <c r="N21" i="4" s="1"/>
  <c r="P21" i="4"/>
  <c r="C22" i="4"/>
  <c r="D22" i="4"/>
  <c r="E22" i="4"/>
  <c r="R22" i="4" s="1"/>
  <c r="F22" i="4"/>
  <c r="G22" i="4"/>
  <c r="H22" i="4"/>
  <c r="I22" i="4"/>
  <c r="J22" i="4"/>
  <c r="K22" i="4"/>
  <c r="L22" i="4"/>
  <c r="O22" i="4" s="1"/>
  <c r="P22" i="4"/>
  <c r="C23" i="4"/>
  <c r="D23" i="4"/>
  <c r="E23" i="4"/>
  <c r="R23" i="4" s="1"/>
  <c r="F23" i="4"/>
  <c r="G23" i="4"/>
  <c r="H23" i="4"/>
  <c r="I23" i="4"/>
  <c r="J23" i="4"/>
  <c r="K23" i="4"/>
  <c r="L23" i="4"/>
  <c r="N23" i="4" s="1"/>
  <c r="P23" i="4"/>
  <c r="C24" i="4"/>
  <c r="D24" i="4"/>
  <c r="E24" i="4"/>
  <c r="R24" i="4" s="1"/>
  <c r="F24" i="4"/>
  <c r="G24" i="4"/>
  <c r="H24" i="4"/>
  <c r="I24" i="4"/>
  <c r="J24" i="4"/>
  <c r="K24" i="4"/>
  <c r="L24" i="4"/>
  <c r="N24" i="4" s="1"/>
  <c r="P24" i="4"/>
  <c r="C25" i="4"/>
  <c r="D25" i="4"/>
  <c r="E25" i="4"/>
  <c r="R25" i="4" s="1"/>
  <c r="F25" i="4"/>
  <c r="G25" i="4"/>
  <c r="H25" i="4"/>
  <c r="I25" i="4"/>
  <c r="J25" i="4"/>
  <c r="K25" i="4"/>
  <c r="L25" i="4"/>
  <c r="N25" i="4" s="1"/>
  <c r="P25" i="4"/>
  <c r="C26" i="4"/>
  <c r="D26" i="4"/>
  <c r="E26" i="4"/>
  <c r="R26" i="4" s="1"/>
  <c r="F26" i="4"/>
  <c r="G26" i="4"/>
  <c r="H26" i="4"/>
  <c r="I26" i="4"/>
  <c r="J26" i="4"/>
  <c r="K26" i="4"/>
  <c r="L26" i="4"/>
  <c r="O26" i="4" s="1"/>
  <c r="P26" i="4"/>
  <c r="C27" i="4"/>
  <c r="D27" i="4"/>
  <c r="E27" i="4"/>
  <c r="R27" i="4" s="1"/>
  <c r="F27" i="4"/>
  <c r="G27" i="4"/>
  <c r="H27" i="4"/>
  <c r="I27" i="4"/>
  <c r="J27" i="4"/>
  <c r="K27" i="4"/>
  <c r="L27" i="4"/>
  <c r="N27" i="4" s="1"/>
  <c r="P27" i="4"/>
  <c r="C28" i="4"/>
  <c r="D28" i="4"/>
  <c r="E28" i="4"/>
  <c r="R28" i="4" s="1"/>
  <c r="F28" i="4"/>
  <c r="G28" i="4"/>
  <c r="H28" i="4"/>
  <c r="I28" i="4"/>
  <c r="J28" i="4"/>
  <c r="K28" i="4"/>
  <c r="L28" i="4"/>
  <c r="N28" i="4" s="1"/>
  <c r="P28" i="4"/>
  <c r="C29" i="4"/>
  <c r="D29" i="4"/>
  <c r="E29" i="4"/>
  <c r="R29" i="4" s="1"/>
  <c r="F29" i="4"/>
  <c r="G29" i="4"/>
  <c r="H29" i="4"/>
  <c r="I29" i="4"/>
  <c r="J29" i="4"/>
  <c r="K29" i="4"/>
  <c r="L29" i="4"/>
  <c r="N29" i="4" s="1"/>
  <c r="P29" i="4"/>
  <c r="C30" i="4"/>
  <c r="D30" i="4"/>
  <c r="E30" i="4"/>
  <c r="R30" i="4" s="1"/>
  <c r="F30" i="4"/>
  <c r="G30" i="4"/>
  <c r="H30" i="4"/>
  <c r="I30" i="4"/>
  <c r="J30" i="4"/>
  <c r="K30" i="4"/>
  <c r="L30" i="4"/>
  <c r="O30" i="4" s="1"/>
  <c r="P30" i="4"/>
  <c r="C31" i="4"/>
  <c r="D31" i="4"/>
  <c r="E31" i="4"/>
  <c r="R31" i="4" s="1"/>
  <c r="F31" i="4"/>
  <c r="G31" i="4"/>
  <c r="H31" i="4"/>
  <c r="I31" i="4"/>
  <c r="J31" i="4"/>
  <c r="K31" i="4"/>
  <c r="L31" i="4"/>
  <c r="N31" i="4" s="1"/>
  <c r="P31" i="4"/>
  <c r="C32" i="4"/>
  <c r="D32" i="4"/>
  <c r="E32" i="4"/>
  <c r="R32" i="4" s="1"/>
  <c r="F32" i="4"/>
  <c r="G32" i="4"/>
  <c r="H32" i="4"/>
  <c r="I32" i="4"/>
  <c r="J32" i="4"/>
  <c r="K32" i="4"/>
  <c r="L32" i="4"/>
  <c r="N32" i="4" s="1"/>
  <c r="P32" i="4"/>
  <c r="C33" i="4"/>
  <c r="D33" i="4"/>
  <c r="E33" i="4"/>
  <c r="R33" i="4" s="1"/>
  <c r="F33" i="4"/>
  <c r="G33" i="4"/>
  <c r="H33" i="4"/>
  <c r="I33" i="4"/>
  <c r="J33" i="4"/>
  <c r="K33" i="4"/>
  <c r="L33" i="4"/>
  <c r="N33" i="4" s="1"/>
  <c r="P33" i="4"/>
  <c r="C34" i="4"/>
  <c r="D34" i="4"/>
  <c r="E34" i="4"/>
  <c r="R34" i="4" s="1"/>
  <c r="F34" i="4"/>
  <c r="G34" i="4"/>
  <c r="H34" i="4"/>
  <c r="I34" i="4"/>
  <c r="J34" i="4"/>
  <c r="K34" i="4"/>
  <c r="L34" i="4"/>
  <c r="O34" i="4" s="1"/>
  <c r="P34" i="4"/>
  <c r="C35" i="4"/>
  <c r="D35" i="4"/>
  <c r="E35" i="4"/>
  <c r="R35" i="4" s="1"/>
  <c r="F35" i="4"/>
  <c r="G35" i="4"/>
  <c r="H35" i="4"/>
  <c r="I35" i="4"/>
  <c r="J35" i="4"/>
  <c r="K35" i="4"/>
  <c r="L35" i="4"/>
  <c r="N35" i="4" s="1"/>
  <c r="P35" i="4"/>
  <c r="C36" i="4"/>
  <c r="D36" i="4"/>
  <c r="E36" i="4"/>
  <c r="R36" i="4" s="1"/>
  <c r="F36" i="4"/>
  <c r="G36" i="4"/>
  <c r="H36" i="4"/>
  <c r="I36" i="4"/>
  <c r="J36" i="4"/>
  <c r="K36" i="4"/>
  <c r="L36" i="4"/>
  <c r="N36" i="4" s="1"/>
  <c r="P36" i="4"/>
  <c r="C37" i="4"/>
  <c r="D37" i="4"/>
  <c r="E37" i="4"/>
  <c r="R37" i="4" s="1"/>
  <c r="F37" i="4"/>
  <c r="G37" i="4"/>
  <c r="H37" i="4"/>
  <c r="I37" i="4"/>
  <c r="J37" i="4"/>
  <c r="K37" i="4"/>
  <c r="L37" i="4"/>
  <c r="N37" i="4" s="1"/>
  <c r="P37" i="4"/>
  <c r="C38" i="4"/>
  <c r="D38" i="4"/>
  <c r="E38" i="4"/>
  <c r="T38" i="4" s="1"/>
  <c r="F38" i="4"/>
  <c r="G38" i="4"/>
  <c r="H38" i="4"/>
  <c r="I38" i="4"/>
  <c r="J38" i="4"/>
  <c r="K38" i="4"/>
  <c r="L38" i="4"/>
  <c r="O38" i="4" s="1"/>
  <c r="P38" i="4"/>
  <c r="C39" i="4"/>
  <c r="D39" i="4"/>
  <c r="E39" i="4"/>
  <c r="R39" i="4" s="1"/>
  <c r="F39" i="4"/>
  <c r="G39" i="4"/>
  <c r="H39" i="4"/>
  <c r="I39" i="4"/>
  <c r="J39" i="4"/>
  <c r="K39" i="4"/>
  <c r="L39" i="4"/>
  <c r="N39" i="4" s="1"/>
  <c r="P39" i="4"/>
  <c r="C40" i="4"/>
  <c r="D40" i="4"/>
  <c r="E40" i="4"/>
  <c r="T40" i="4" s="1"/>
  <c r="F40" i="4"/>
  <c r="G40" i="4"/>
  <c r="H40" i="4"/>
  <c r="I40" i="4"/>
  <c r="J40" i="4"/>
  <c r="K40" i="4"/>
  <c r="L40" i="4"/>
  <c r="N40" i="4" s="1"/>
  <c r="P40" i="4"/>
  <c r="C41" i="4"/>
  <c r="D41" i="4"/>
  <c r="E41" i="4"/>
  <c r="R41" i="4" s="1"/>
  <c r="F41" i="4"/>
  <c r="G41" i="4"/>
  <c r="H41" i="4"/>
  <c r="I41" i="4"/>
  <c r="J41" i="4"/>
  <c r="K41" i="4"/>
  <c r="L41" i="4"/>
  <c r="N41" i="4" s="1"/>
  <c r="P41" i="4"/>
  <c r="C42" i="4"/>
  <c r="D42" i="4"/>
  <c r="E42" i="4"/>
  <c r="T42" i="4" s="1"/>
  <c r="F42" i="4"/>
  <c r="G42" i="4"/>
  <c r="H42" i="4"/>
  <c r="I42" i="4"/>
  <c r="J42" i="4"/>
  <c r="K42" i="4"/>
  <c r="L42" i="4"/>
  <c r="M42" i="4" s="1"/>
  <c r="P42" i="4"/>
  <c r="P3" i="4"/>
  <c r="L3" i="4"/>
  <c r="K3" i="4"/>
  <c r="J3" i="4"/>
  <c r="I3" i="4"/>
  <c r="H3" i="4"/>
  <c r="G3" i="4"/>
  <c r="F3" i="4"/>
  <c r="E3" i="4"/>
  <c r="T3" i="4" s="1"/>
  <c r="D3" i="4"/>
  <c r="C3" i="4"/>
  <c r="N8" i="4" l="1"/>
  <c r="T31" i="4"/>
  <c r="N18" i="4"/>
  <c r="O41" i="4"/>
  <c r="O40" i="4"/>
  <c r="Q23" i="4"/>
  <c r="Q22" i="4"/>
  <c r="Q12" i="4"/>
  <c r="T11" i="4"/>
  <c r="R3" i="4"/>
  <c r="Q6" i="4"/>
  <c r="Q27" i="4"/>
  <c r="Q26" i="4"/>
  <c r="Q19" i="4"/>
  <c r="Q18" i="4"/>
  <c r="Q16" i="4"/>
  <c r="T15" i="4"/>
  <c r="Q8" i="4"/>
  <c r="S6" i="4"/>
  <c r="T27" i="4"/>
  <c r="Q31" i="4"/>
  <c r="Q30" i="4"/>
  <c r="Q15" i="4"/>
  <c r="Q14" i="4"/>
  <c r="Q11" i="4"/>
  <c r="R6" i="4"/>
  <c r="T39" i="4"/>
  <c r="S8" i="4"/>
  <c r="Q35" i="4"/>
  <c r="Q34" i="4"/>
  <c r="T23" i="4"/>
  <c r="Q20" i="4"/>
  <c r="T19" i="4"/>
  <c r="N14" i="4"/>
  <c r="R8" i="4"/>
  <c r="R4" i="4"/>
  <c r="T35" i="4"/>
  <c r="Q10" i="4"/>
  <c r="S4" i="4"/>
  <c r="N10" i="4"/>
  <c r="N6" i="4"/>
  <c r="Q4" i="4"/>
  <c r="N38" i="4"/>
  <c r="O37" i="4"/>
  <c r="O33" i="4"/>
  <c r="O29" i="4"/>
  <c r="O25" i="4"/>
  <c r="O21" i="4"/>
  <c r="O17" i="4"/>
  <c r="O13" i="4"/>
  <c r="O9" i="4"/>
  <c r="O7" i="4"/>
  <c r="O5" i="4"/>
  <c r="Q39" i="4"/>
  <c r="Q36" i="4"/>
  <c r="N34" i="4"/>
  <c r="Q32" i="4"/>
  <c r="N30" i="4"/>
  <c r="Q28" i="4"/>
  <c r="N26" i="4"/>
  <c r="Q24" i="4"/>
  <c r="N22" i="4"/>
  <c r="N4" i="4"/>
  <c r="Q41" i="4"/>
  <c r="Q42" i="4"/>
  <c r="T41" i="4"/>
  <c r="M40" i="4"/>
  <c r="S39" i="4"/>
  <c r="O35" i="4"/>
  <c r="T33" i="4"/>
  <c r="O31" i="4"/>
  <c r="T29" i="4"/>
  <c r="O27" i="4"/>
  <c r="T25" i="4"/>
  <c r="O23" i="4"/>
  <c r="T21" i="4"/>
  <c r="O19" i="4"/>
  <c r="T17" i="4"/>
  <c r="O15" i="4"/>
  <c r="T13" i="4"/>
  <c r="O11" i="4"/>
  <c r="T9" i="4"/>
  <c r="T7" i="4"/>
  <c r="T5" i="4"/>
  <c r="T37" i="4"/>
  <c r="N42" i="4"/>
  <c r="S3" i="4"/>
  <c r="O42" i="4"/>
  <c r="M38" i="4"/>
  <c r="S37" i="4"/>
  <c r="O36" i="4"/>
  <c r="M34" i="4"/>
  <c r="S33" i="4"/>
  <c r="O32" i="4"/>
  <c r="M30" i="4"/>
  <c r="S29" i="4"/>
  <c r="O28" i="4"/>
  <c r="M26" i="4"/>
  <c r="S25" i="4"/>
  <c r="O24" i="4"/>
  <c r="M22" i="4"/>
  <c r="S21" i="4"/>
  <c r="O20" i="4"/>
  <c r="M18" i="4"/>
  <c r="S17" i="4"/>
  <c r="O16" i="4"/>
  <c r="M14" i="4"/>
  <c r="S13" i="4"/>
  <c r="O12" i="4"/>
  <c r="M10" i="4"/>
  <c r="S9" i="4"/>
  <c r="M8" i="4"/>
  <c r="S7" i="4"/>
  <c r="M6" i="4"/>
  <c r="S5" i="4"/>
  <c r="M4" i="4"/>
  <c r="Q3" i="4"/>
  <c r="S41" i="4"/>
  <c r="O39" i="4"/>
  <c r="M36" i="4"/>
  <c r="S35" i="4"/>
  <c r="M32" i="4"/>
  <c r="S31" i="4"/>
  <c r="M28" i="4"/>
  <c r="S27" i="4"/>
  <c r="M24" i="4"/>
  <c r="S23" i="4"/>
  <c r="M20" i="4"/>
  <c r="S19" i="4"/>
  <c r="M16" i="4"/>
  <c r="S15" i="4"/>
  <c r="M12" i="4"/>
  <c r="S11" i="4"/>
  <c r="Q37" i="4"/>
  <c r="Q33" i="4"/>
  <c r="Q29" i="4"/>
  <c r="Q25" i="4"/>
  <c r="Q21" i="4"/>
  <c r="Q17" i="4"/>
  <c r="Q13" i="4"/>
  <c r="Q9" i="4"/>
  <c r="Q7" i="4"/>
  <c r="Q5" i="4"/>
  <c r="Q40" i="4"/>
  <c r="Q38" i="4"/>
  <c r="R42" i="4"/>
  <c r="R40" i="4"/>
  <c r="S42" i="4"/>
  <c r="M39" i="4"/>
  <c r="S38" i="4"/>
  <c r="M37" i="4"/>
  <c r="S34" i="4"/>
  <c r="S28" i="4"/>
  <c r="M27" i="4"/>
  <c r="S26" i="4"/>
  <c r="M25" i="4"/>
  <c r="S24" i="4"/>
  <c r="M23" i="4"/>
  <c r="S22" i="4"/>
  <c r="M21" i="4"/>
  <c r="S20" i="4"/>
  <c r="M19" i="4"/>
  <c r="S18" i="4"/>
  <c r="M17" i="4"/>
  <c r="S16" i="4"/>
  <c r="M15" i="4"/>
  <c r="S14" i="4"/>
  <c r="M13" i="4"/>
  <c r="S12" i="4"/>
  <c r="M11" i="4"/>
  <c r="S10" i="4"/>
  <c r="M9" i="4"/>
  <c r="M7" i="4"/>
  <c r="M5" i="4"/>
  <c r="R38" i="4"/>
  <c r="M41" i="4"/>
  <c r="S40" i="4"/>
  <c r="S36" i="4"/>
  <c r="M35" i="4"/>
  <c r="M33" i="4"/>
  <c r="S32" i="4"/>
  <c r="M31" i="4"/>
  <c r="S30" i="4"/>
  <c r="M29" i="4"/>
  <c r="T36" i="4"/>
  <c r="T34" i="4"/>
  <c r="T32" i="4"/>
  <c r="T30" i="4"/>
  <c r="T28" i="4"/>
  <c r="T26" i="4"/>
  <c r="T24" i="4"/>
  <c r="T22" i="4"/>
  <c r="T20" i="4"/>
  <c r="T18" i="4"/>
  <c r="T16" i="4"/>
  <c r="T14" i="4"/>
  <c r="T12" i="4"/>
  <c r="T10" i="4"/>
  <c r="AA14" i="22" l="1"/>
  <c r="B110" i="34"/>
  <c r="C2" i="38"/>
  <c r="Z36" i="22"/>
  <c r="AA36" i="22"/>
  <c r="Z4" i="22"/>
  <c r="Z5" i="22"/>
  <c r="Z6" i="22"/>
  <c r="Z7" i="22"/>
  <c r="Z8" i="22"/>
  <c r="Z9" i="22"/>
  <c r="Z10" i="22"/>
  <c r="Z11" i="22"/>
  <c r="Z12" i="22"/>
  <c r="Z13" i="22"/>
  <c r="Z14" i="22"/>
  <c r="Z15" i="22"/>
  <c r="Z16" i="22"/>
  <c r="Z17" i="22"/>
  <c r="Z18" i="22"/>
  <c r="Z19" i="22"/>
  <c r="Z20" i="22"/>
  <c r="Z21" i="22"/>
  <c r="Z22" i="22"/>
  <c r="Z23" i="22"/>
  <c r="Z24" i="22"/>
  <c r="Z25" i="22"/>
  <c r="Z26" i="22"/>
  <c r="Z27" i="22"/>
  <c r="Z28" i="22"/>
  <c r="Z29" i="22"/>
  <c r="Z30" i="22"/>
  <c r="Z31" i="22"/>
  <c r="Z32" i="22"/>
  <c r="Z33" i="22"/>
  <c r="Z34" i="22"/>
  <c r="Z35" i="22"/>
  <c r="AA4" i="22"/>
  <c r="AA5" i="22"/>
  <c r="AA6" i="22"/>
  <c r="AA7" i="22"/>
  <c r="AA8" i="22"/>
  <c r="AA9" i="22"/>
  <c r="AA10" i="22"/>
  <c r="AA11" i="22"/>
  <c r="AA12" i="22"/>
  <c r="AA13" i="22"/>
  <c r="AA15" i="22"/>
  <c r="AA16" i="22"/>
  <c r="AA17" i="22"/>
  <c r="AA18" i="22"/>
  <c r="AA19" i="22"/>
  <c r="AA20" i="22"/>
  <c r="AA21" i="22"/>
  <c r="AA22" i="22"/>
  <c r="AA23" i="22"/>
  <c r="AA24" i="22"/>
  <c r="AA25" i="22"/>
  <c r="AA26" i="22"/>
  <c r="AA27" i="22"/>
  <c r="AA28" i="22"/>
  <c r="AA29" i="22"/>
  <c r="AA30" i="22"/>
  <c r="AA31" i="22"/>
  <c r="AA32" i="22"/>
  <c r="AA33" i="22"/>
  <c r="AA34" i="22"/>
  <c r="AA35" i="22"/>
  <c r="AA3" i="22"/>
  <c r="J35" i="39"/>
  <c r="J40" i="39"/>
  <c r="J41" i="39"/>
  <c r="J42" i="39"/>
  <c r="G4" i="37" l="1"/>
  <c r="C8" i="38" s="1"/>
  <c r="C1" i="37"/>
  <c r="FH6" i="14"/>
  <c r="FH20" i="14"/>
  <c r="FH19" i="14"/>
  <c r="FH18" i="14"/>
  <c r="FH17" i="14"/>
  <c r="FH16" i="14"/>
  <c r="FH15" i="14"/>
  <c r="FH13" i="14"/>
  <c r="FH12" i="14"/>
  <c r="FH11" i="14"/>
  <c r="FH10" i="14"/>
  <c r="FH9" i="14"/>
  <c r="FH8" i="14"/>
  <c r="FH7" i="14"/>
  <c r="FH5" i="14"/>
  <c r="W3" i="7" l="1"/>
  <c r="V3" i="7"/>
  <c r="U3" i="7"/>
  <c r="T3" i="7"/>
  <c r="S3" i="7"/>
  <c r="R3" i="7"/>
  <c r="S10" i="7"/>
  <c r="S6" i="7"/>
  <c r="W14" i="7"/>
  <c r="W13" i="7"/>
  <c r="W12" i="7"/>
  <c r="W11" i="7"/>
  <c r="W10" i="7"/>
  <c r="W9" i="7"/>
  <c r="W8" i="7"/>
  <c r="W7" i="7"/>
  <c r="W6" i="7"/>
  <c r="W5" i="7"/>
  <c r="W4" i="7"/>
  <c r="V14" i="7"/>
  <c r="V13" i="7"/>
  <c r="V12" i="7"/>
  <c r="V11" i="7"/>
  <c r="V10" i="7"/>
  <c r="V9" i="7"/>
  <c r="V8" i="7"/>
  <c r="V7" i="7"/>
  <c r="V6" i="7"/>
  <c r="V5" i="7"/>
  <c r="V4" i="7"/>
  <c r="U14" i="7"/>
  <c r="U13" i="7"/>
  <c r="U12" i="7"/>
  <c r="U11" i="7"/>
  <c r="U10" i="7"/>
  <c r="U9" i="7"/>
  <c r="U8" i="7"/>
  <c r="U7" i="7"/>
  <c r="U6" i="7"/>
  <c r="U5" i="7"/>
  <c r="U4" i="7"/>
  <c r="T14" i="7"/>
  <c r="T13" i="7"/>
  <c r="T12" i="7"/>
  <c r="T11" i="7"/>
  <c r="T10" i="7"/>
  <c r="T9" i="7"/>
  <c r="T8" i="7"/>
  <c r="T7" i="7"/>
  <c r="T6" i="7"/>
  <c r="T5" i="7"/>
  <c r="T4" i="7"/>
  <c r="S14" i="7"/>
  <c r="S13" i="7"/>
  <c r="S12" i="7"/>
  <c r="S11" i="7"/>
  <c r="S9" i="7"/>
  <c r="S8" i="7"/>
  <c r="S7" i="7"/>
  <c r="S5" i="7"/>
  <c r="S4" i="7"/>
  <c r="R8" i="7"/>
  <c r="R7" i="7"/>
  <c r="R6" i="7"/>
  <c r="R5" i="7"/>
  <c r="R9" i="7"/>
  <c r="R10" i="7"/>
  <c r="R11" i="7"/>
  <c r="R12" i="7"/>
  <c r="R13" i="7"/>
  <c r="R14" i="7"/>
  <c r="R4" i="7"/>
  <c r="G43" i="37" l="1"/>
  <c r="F258" i="38" s="1"/>
  <c r="G42" i="37"/>
  <c r="F245" i="38" s="1"/>
  <c r="G41" i="37"/>
  <c r="F232" i="38" s="1"/>
  <c r="G40" i="37"/>
  <c r="F219" i="38" s="1"/>
  <c r="G39" i="37"/>
  <c r="F204" i="38" s="1"/>
  <c r="G38" i="37"/>
  <c r="F191" i="38" s="1"/>
  <c r="G37" i="37"/>
  <c r="F178" i="38" s="1"/>
  <c r="G36" i="37"/>
  <c r="F165" i="38" s="1"/>
  <c r="G35" i="37"/>
  <c r="F151" i="38" s="1"/>
  <c r="G34" i="37"/>
  <c r="F138" i="38" s="1"/>
  <c r="G33" i="37"/>
  <c r="F125" i="38" s="1"/>
  <c r="G32" i="37"/>
  <c r="F112" i="38" s="1"/>
  <c r="G31" i="37"/>
  <c r="F99" i="38" s="1"/>
  <c r="G30" i="37"/>
  <c r="F86" i="38" s="1"/>
  <c r="G29" i="37"/>
  <c r="F73" i="38" s="1"/>
  <c r="G28" i="37"/>
  <c r="F60" i="38" s="1"/>
  <c r="G27" i="37"/>
  <c r="F47" i="38" s="1"/>
  <c r="G26" i="37"/>
  <c r="F34" i="38" s="1"/>
  <c r="G25" i="37"/>
  <c r="F21" i="38" s="1"/>
  <c r="G24" i="37"/>
  <c r="F8" i="38" s="1"/>
  <c r="G23" i="37"/>
  <c r="C258" i="38" s="1"/>
  <c r="G22" i="37"/>
  <c r="C245" i="38" s="1"/>
  <c r="G21" i="37"/>
  <c r="C232" i="38" s="1"/>
  <c r="G20" i="37"/>
  <c r="C219" i="38" s="1"/>
  <c r="G19" i="37"/>
  <c r="C204" i="38" s="1"/>
  <c r="G18" i="37"/>
  <c r="C191" i="38" s="1"/>
  <c r="G17" i="37"/>
  <c r="C178" i="38" s="1"/>
  <c r="G16" i="37"/>
  <c r="C165" i="38" s="1"/>
  <c r="G15" i="37"/>
  <c r="C151" i="38" s="1"/>
  <c r="G14" i="37"/>
  <c r="C138" i="38" s="1"/>
  <c r="G13" i="37"/>
  <c r="C125" i="38" s="1"/>
  <c r="G12" i="37"/>
  <c r="C112" i="38" s="1"/>
  <c r="G11" i="37"/>
  <c r="C99" i="38" s="1"/>
  <c r="G10" i="37"/>
  <c r="C86" i="38" s="1"/>
  <c r="G9" i="37"/>
  <c r="C73" i="38" s="1"/>
  <c r="G8" i="37"/>
  <c r="C60" i="38" s="1"/>
  <c r="G7" i="37"/>
  <c r="C47" i="38" s="1"/>
  <c r="G6" i="37"/>
  <c r="G5" i="37"/>
  <c r="C21" i="38" s="1"/>
  <c r="E43" i="37"/>
  <c r="F256" i="38" s="1"/>
  <c r="E42" i="37"/>
  <c r="F243" i="38" s="1"/>
  <c r="E41" i="37"/>
  <c r="F230" i="38" s="1"/>
  <c r="E40" i="37"/>
  <c r="F217" i="38" s="1"/>
  <c r="E39" i="37"/>
  <c r="F202" i="38" s="1"/>
  <c r="E38" i="37"/>
  <c r="F189" i="38" s="1"/>
  <c r="E37" i="37"/>
  <c r="F176" i="38" s="1"/>
  <c r="E36" i="37"/>
  <c r="F163" i="38" s="1"/>
  <c r="E35" i="37"/>
  <c r="F149" i="38" s="1"/>
  <c r="E34" i="37"/>
  <c r="F136" i="38" s="1"/>
  <c r="E33" i="37"/>
  <c r="F123" i="38" s="1"/>
  <c r="E32" i="37"/>
  <c r="F110" i="38" s="1"/>
  <c r="E31" i="37"/>
  <c r="F97" i="38" s="1"/>
  <c r="E30" i="37"/>
  <c r="F84" i="38" s="1"/>
  <c r="E29" i="37"/>
  <c r="F71" i="38" s="1"/>
  <c r="E28" i="37"/>
  <c r="F58" i="38" s="1"/>
  <c r="E27" i="37"/>
  <c r="F45" i="38" s="1"/>
  <c r="E26" i="37"/>
  <c r="F32" i="38" s="1"/>
  <c r="E25" i="37"/>
  <c r="F19" i="38" s="1"/>
  <c r="E24" i="37"/>
  <c r="F6" i="38" s="1"/>
  <c r="E23" i="37"/>
  <c r="C256" i="38" s="1"/>
  <c r="E22" i="37"/>
  <c r="C243" i="38" s="1"/>
  <c r="E21" i="37"/>
  <c r="C230" i="38" s="1"/>
  <c r="E20" i="37"/>
  <c r="C217" i="38" s="1"/>
  <c r="E19" i="37"/>
  <c r="C202" i="38" s="1"/>
  <c r="E18" i="37"/>
  <c r="C189" i="38" s="1"/>
  <c r="E17" i="37"/>
  <c r="C176" i="38" s="1"/>
  <c r="E16" i="37"/>
  <c r="C163" i="38" s="1"/>
  <c r="E15" i="37"/>
  <c r="C149" i="38" s="1"/>
  <c r="E14" i="37"/>
  <c r="C136" i="38" s="1"/>
  <c r="E13" i="37"/>
  <c r="C123" i="38" s="1"/>
  <c r="E12" i="37"/>
  <c r="C110" i="38" s="1"/>
  <c r="E11" i="37"/>
  <c r="C97" i="38" s="1"/>
  <c r="E10" i="37"/>
  <c r="C84" i="38" s="1"/>
  <c r="E9" i="37"/>
  <c r="C71" i="38" s="1"/>
  <c r="E8" i="37"/>
  <c r="C58" i="38" s="1"/>
  <c r="E7" i="37"/>
  <c r="C45" i="38" s="1"/>
  <c r="E6" i="37"/>
  <c r="E5" i="37"/>
  <c r="C19" i="38" s="1"/>
  <c r="E4" i="37"/>
  <c r="C6" i="38" s="1"/>
  <c r="F42" i="37"/>
  <c r="F244" i="38" s="1"/>
  <c r="F41" i="37"/>
  <c r="F231" i="38" s="1"/>
  <c r="F40" i="37"/>
  <c r="F218" i="38" s="1"/>
  <c r="F39" i="37"/>
  <c r="F203" i="38" s="1"/>
  <c r="F38" i="37"/>
  <c r="F190" i="38" s="1"/>
  <c r="F37" i="37"/>
  <c r="F177" i="38" s="1"/>
  <c r="F36" i="37"/>
  <c r="F164" i="38" s="1"/>
  <c r="F35" i="37"/>
  <c r="F150" i="38" s="1"/>
  <c r="F34" i="37"/>
  <c r="F137" i="38" s="1"/>
  <c r="F33" i="37"/>
  <c r="F124" i="38" s="1"/>
  <c r="F32" i="37"/>
  <c r="F111" i="38" s="1"/>
  <c r="F31" i="37"/>
  <c r="F98" i="38" s="1"/>
  <c r="F30" i="37"/>
  <c r="F85" i="38" s="1"/>
  <c r="F29" i="37"/>
  <c r="F72" i="38" s="1"/>
  <c r="F28" i="37"/>
  <c r="F59" i="38" s="1"/>
  <c r="F27" i="37"/>
  <c r="F46" i="38" s="1"/>
  <c r="F26" i="37"/>
  <c r="F33" i="38" s="1"/>
  <c r="F25" i="37"/>
  <c r="F20" i="38" s="1"/>
  <c r="F24" i="37"/>
  <c r="F7" i="38" s="1"/>
  <c r="F23" i="37"/>
  <c r="C257" i="38" s="1"/>
  <c r="F22" i="37"/>
  <c r="C244" i="38" s="1"/>
  <c r="F21" i="37"/>
  <c r="C231" i="38" s="1"/>
  <c r="F20" i="37"/>
  <c r="C218" i="38" s="1"/>
  <c r="F19" i="37"/>
  <c r="C203" i="38" s="1"/>
  <c r="F18" i="37"/>
  <c r="C190" i="38" s="1"/>
  <c r="F17" i="37"/>
  <c r="C177" i="38" s="1"/>
  <c r="F16" i="37"/>
  <c r="C164" i="38" s="1"/>
  <c r="F15" i="37"/>
  <c r="C150" i="38" s="1"/>
  <c r="F14" i="37"/>
  <c r="C137" i="38" s="1"/>
  <c r="F13" i="37"/>
  <c r="C124" i="38" s="1"/>
  <c r="F12" i="37"/>
  <c r="C111" i="38" s="1"/>
  <c r="F11" i="37"/>
  <c r="C98" i="38" s="1"/>
  <c r="F10" i="37"/>
  <c r="C85" i="38" s="1"/>
  <c r="F9" i="37"/>
  <c r="C72" i="38" s="1"/>
  <c r="F8" i="37"/>
  <c r="C59" i="38" s="1"/>
  <c r="F7" i="37"/>
  <c r="C46" i="38" s="1"/>
  <c r="F6" i="37"/>
  <c r="F5" i="37"/>
  <c r="C20" i="38" s="1"/>
  <c r="F4" i="37"/>
  <c r="C7" i="38" s="1"/>
  <c r="M7" i="39" l="1"/>
  <c r="O7" i="39"/>
  <c r="K7" i="39"/>
  <c r="C8" i="37"/>
  <c r="C62" i="38" s="1"/>
  <c r="O13" i="39"/>
  <c r="K13" i="39"/>
  <c r="M13" i="39"/>
  <c r="L13" i="39" s="1"/>
  <c r="C14" i="37"/>
  <c r="C140" i="38" s="1"/>
  <c r="O17" i="39"/>
  <c r="K17" i="39"/>
  <c r="M17" i="39"/>
  <c r="L17" i="39" s="1"/>
  <c r="C18" i="37"/>
  <c r="C193" i="38" s="1"/>
  <c r="O21" i="39"/>
  <c r="K21" i="39"/>
  <c r="M21" i="39"/>
  <c r="L21" i="39" s="1"/>
  <c r="C22" i="37"/>
  <c r="C247" i="38" s="1"/>
  <c r="O25" i="39"/>
  <c r="K25" i="39"/>
  <c r="M25" i="39"/>
  <c r="L25" i="39" s="1"/>
  <c r="C26" i="37"/>
  <c r="F36" i="38" s="1"/>
  <c r="O29" i="39"/>
  <c r="K29" i="39"/>
  <c r="M29" i="39"/>
  <c r="L29" i="39" s="1"/>
  <c r="C30" i="37"/>
  <c r="F88" i="38" s="1"/>
  <c r="O33" i="39"/>
  <c r="K33" i="39"/>
  <c r="M33" i="39"/>
  <c r="L33" i="39" s="1"/>
  <c r="C34" i="37"/>
  <c r="F140" i="38" s="1"/>
  <c r="O37" i="39"/>
  <c r="K37" i="39"/>
  <c r="M37" i="39"/>
  <c r="L37" i="39" s="1"/>
  <c r="C38" i="37"/>
  <c r="F193" i="38" s="1"/>
  <c r="O41" i="39"/>
  <c r="K41" i="39"/>
  <c r="M41" i="39"/>
  <c r="L41" i="39" s="1"/>
  <c r="C42" i="37"/>
  <c r="F247" i="38" s="1"/>
  <c r="K6" i="39"/>
  <c r="M6" i="39"/>
  <c r="O6" i="39"/>
  <c r="C7" i="37"/>
  <c r="C49" i="38" s="1"/>
  <c r="M16" i="39"/>
  <c r="L16" i="39" s="1"/>
  <c r="O16" i="39"/>
  <c r="K16" i="39"/>
  <c r="C17" i="37"/>
  <c r="C180" i="38" s="1"/>
  <c r="M28" i="39"/>
  <c r="L28" i="39" s="1"/>
  <c r="O28" i="39"/>
  <c r="K28" i="39"/>
  <c r="C29" i="37"/>
  <c r="F75" i="38" s="1"/>
  <c r="M32" i="39"/>
  <c r="L32" i="39" s="1"/>
  <c r="O32" i="39"/>
  <c r="K32" i="39"/>
  <c r="C33" i="37"/>
  <c r="F127" i="38" s="1"/>
  <c r="M36" i="39"/>
  <c r="L36" i="39" s="1"/>
  <c r="O36" i="39"/>
  <c r="K36" i="39"/>
  <c r="C37" i="37"/>
  <c r="F180" i="38" s="1"/>
  <c r="M40" i="39"/>
  <c r="L40" i="39" s="1"/>
  <c r="O40" i="39"/>
  <c r="K40" i="39"/>
  <c r="C41" i="37"/>
  <c r="F234" i="38" s="1"/>
  <c r="M24" i="39"/>
  <c r="L24" i="39" s="1"/>
  <c r="O24" i="39"/>
  <c r="K24" i="39"/>
  <c r="C25" i="37"/>
  <c r="F23" i="38" s="1"/>
  <c r="M15" i="39"/>
  <c r="L15" i="39" s="1"/>
  <c r="O15" i="39"/>
  <c r="K15" i="39"/>
  <c r="C16" i="37"/>
  <c r="C167" i="38" s="1"/>
  <c r="M23" i="39"/>
  <c r="L23" i="39" s="1"/>
  <c r="O23" i="39"/>
  <c r="K23" i="39"/>
  <c r="C24" i="37"/>
  <c r="F10" i="38" s="1"/>
  <c r="M31" i="39"/>
  <c r="L31" i="39" s="1"/>
  <c r="O31" i="39"/>
  <c r="K31" i="39"/>
  <c r="C32" i="37"/>
  <c r="F114" i="38" s="1"/>
  <c r="M11" i="39"/>
  <c r="L11" i="39" s="1"/>
  <c r="O11" i="39"/>
  <c r="K11" i="39"/>
  <c r="C12" i="37"/>
  <c r="C114" i="38" s="1"/>
  <c r="M12" i="39"/>
  <c r="L12" i="39" s="1"/>
  <c r="O12" i="39"/>
  <c r="K12" i="39"/>
  <c r="C13" i="37"/>
  <c r="C127" i="38" s="1"/>
  <c r="M20" i="39"/>
  <c r="L20" i="39" s="1"/>
  <c r="O20" i="39"/>
  <c r="K20" i="39"/>
  <c r="C21" i="37"/>
  <c r="C234" i="38" s="1"/>
  <c r="O5" i="39"/>
  <c r="K5" i="39"/>
  <c r="M5" i="39"/>
  <c r="C6" i="37"/>
  <c r="C36" i="38" s="1"/>
  <c r="K10" i="39"/>
  <c r="M10" i="39"/>
  <c r="O10" i="39"/>
  <c r="C11" i="37"/>
  <c r="C101" i="38" s="1"/>
  <c r="M19" i="39"/>
  <c r="L19" i="39" s="1"/>
  <c r="O19" i="39"/>
  <c r="K19" i="39"/>
  <c r="C20" i="37"/>
  <c r="C221" i="38" s="1"/>
  <c r="M27" i="39"/>
  <c r="L27" i="39" s="1"/>
  <c r="O27" i="39"/>
  <c r="K27" i="39"/>
  <c r="C28" i="37"/>
  <c r="F62" i="38" s="1"/>
  <c r="M35" i="39"/>
  <c r="L35" i="39" s="1"/>
  <c r="O35" i="39"/>
  <c r="K35" i="39"/>
  <c r="C36" i="37"/>
  <c r="F167" i="38" s="1"/>
  <c r="M39" i="39"/>
  <c r="L39" i="39" s="1"/>
  <c r="O39" i="39"/>
  <c r="K39" i="39"/>
  <c r="C40" i="37"/>
  <c r="F221" i="38" s="1"/>
  <c r="M8" i="39"/>
  <c r="O8" i="39"/>
  <c r="K8" i="39"/>
  <c r="C9" i="37"/>
  <c r="C75" i="38" s="1"/>
  <c r="O9" i="39"/>
  <c r="K9" i="39"/>
  <c r="M9" i="39"/>
  <c r="C10" i="37"/>
  <c r="C88" i="38" s="1"/>
  <c r="K14" i="39"/>
  <c r="M14" i="39"/>
  <c r="L14" i="39" s="1"/>
  <c r="O14" i="39"/>
  <c r="C15" i="37"/>
  <c r="C153" i="38" s="1"/>
  <c r="K18" i="39"/>
  <c r="M18" i="39"/>
  <c r="L18" i="39" s="1"/>
  <c r="O18" i="39"/>
  <c r="C19" i="37"/>
  <c r="C206" i="38" s="1"/>
  <c r="K22" i="39"/>
  <c r="M22" i="39"/>
  <c r="L22" i="39" s="1"/>
  <c r="O22" i="39"/>
  <c r="C23" i="37"/>
  <c r="C260" i="38" s="1"/>
  <c r="K26" i="39"/>
  <c r="M26" i="39"/>
  <c r="L26" i="39" s="1"/>
  <c r="O26" i="39"/>
  <c r="C27" i="37"/>
  <c r="F49" i="38" s="1"/>
  <c r="K30" i="39"/>
  <c r="M30" i="39"/>
  <c r="L30" i="39" s="1"/>
  <c r="O30" i="39"/>
  <c r="C31" i="37"/>
  <c r="F101" i="38" s="1"/>
  <c r="K34" i="39"/>
  <c r="M34" i="39"/>
  <c r="L34" i="39" s="1"/>
  <c r="O34" i="39"/>
  <c r="C35" i="37"/>
  <c r="F153" i="38" s="1"/>
  <c r="K38" i="39"/>
  <c r="M38" i="39"/>
  <c r="L38" i="39" s="1"/>
  <c r="O38" i="39"/>
  <c r="C39" i="37"/>
  <c r="F206" i="38" s="1"/>
  <c r="K42" i="39"/>
  <c r="M42" i="39"/>
  <c r="L42" i="39" s="1"/>
  <c r="O42" i="39"/>
  <c r="C43" i="37"/>
  <c r="F260" i="38" s="1"/>
  <c r="M3" i="39"/>
  <c r="K3" i="39"/>
  <c r="O3" i="39"/>
  <c r="C4" i="37"/>
  <c r="C10" i="38" s="1"/>
  <c r="M4" i="39"/>
  <c r="K4" i="39"/>
  <c r="O4" i="39"/>
  <c r="C5" i="37"/>
  <c r="C23" i="38" s="1"/>
  <c r="E13" i="1"/>
  <c r="G37" i="27"/>
  <c r="N38" i="39" l="1"/>
  <c r="K39" i="37"/>
  <c r="F208" i="38" s="1"/>
  <c r="N22" i="39"/>
  <c r="K23" i="37"/>
  <c r="C262" i="38" s="1"/>
  <c r="N35" i="39"/>
  <c r="K36" i="37"/>
  <c r="F169" i="38" s="1"/>
  <c r="N31" i="39"/>
  <c r="K32" i="37"/>
  <c r="F116" i="38" s="1"/>
  <c r="N40" i="39"/>
  <c r="K41" i="37"/>
  <c r="F236" i="38" s="1"/>
  <c r="N16" i="39"/>
  <c r="K17" i="37"/>
  <c r="C182" i="38" s="1"/>
  <c r="N37" i="39"/>
  <c r="K38" i="37"/>
  <c r="F195" i="38" s="1"/>
  <c r="N21" i="39"/>
  <c r="K22" i="37"/>
  <c r="C249" i="38" s="1"/>
  <c r="N42" i="39"/>
  <c r="K43" i="37"/>
  <c r="F262" i="38" s="1"/>
  <c r="N26" i="39"/>
  <c r="K27" i="37"/>
  <c r="F51" i="38" s="1"/>
  <c r="N39" i="39"/>
  <c r="K40" i="37"/>
  <c r="F223" i="38" s="1"/>
  <c r="N11" i="39"/>
  <c r="K12" i="37"/>
  <c r="C116" i="38" s="1"/>
  <c r="N24" i="39"/>
  <c r="K25" i="37"/>
  <c r="F25" i="38" s="1"/>
  <c r="N28" i="39"/>
  <c r="K29" i="37"/>
  <c r="F77" i="38" s="1"/>
  <c r="N6" i="39"/>
  <c r="K7" i="37"/>
  <c r="C51" i="38" s="1"/>
  <c r="N41" i="39"/>
  <c r="K42" i="37"/>
  <c r="F249" i="38" s="1"/>
  <c r="N25" i="39"/>
  <c r="K26" i="37"/>
  <c r="F38" i="38" s="1"/>
  <c r="N30" i="39"/>
  <c r="K31" i="37"/>
  <c r="F103" i="38" s="1"/>
  <c r="N14" i="39"/>
  <c r="K15" i="37"/>
  <c r="C155" i="38" s="1"/>
  <c r="N9" i="39"/>
  <c r="K10" i="37"/>
  <c r="C90" i="38" s="1"/>
  <c r="N8" i="39"/>
  <c r="K9" i="37"/>
  <c r="C77" i="38" s="1"/>
  <c r="N19" i="39"/>
  <c r="K20" i="37"/>
  <c r="C223" i="38" s="1"/>
  <c r="N12" i="39"/>
  <c r="K13" i="37"/>
  <c r="C129" i="38" s="1"/>
  <c r="N15" i="39"/>
  <c r="K16" i="37"/>
  <c r="C169" i="38" s="1"/>
  <c r="N32" i="39"/>
  <c r="K33" i="37"/>
  <c r="F129" i="38" s="1"/>
  <c r="N29" i="39"/>
  <c r="K30" i="37"/>
  <c r="F90" i="38" s="1"/>
  <c r="N13" i="39"/>
  <c r="K14" i="37"/>
  <c r="C142" i="38" s="1"/>
  <c r="N7" i="39"/>
  <c r="K8" i="37"/>
  <c r="C64" i="38" s="1"/>
  <c r="N34" i="39"/>
  <c r="K35" i="37"/>
  <c r="F155" i="38" s="1"/>
  <c r="N18" i="39"/>
  <c r="K19" i="37"/>
  <c r="C208" i="38" s="1"/>
  <c r="N27" i="39"/>
  <c r="K28" i="37"/>
  <c r="F64" i="38" s="1"/>
  <c r="N10" i="39"/>
  <c r="K11" i="37"/>
  <c r="C103" i="38" s="1"/>
  <c r="N5" i="39"/>
  <c r="K6" i="37"/>
  <c r="C38" i="38" s="1"/>
  <c r="N20" i="39"/>
  <c r="K21" i="37"/>
  <c r="C236" i="38" s="1"/>
  <c r="N23" i="39"/>
  <c r="K24" i="37"/>
  <c r="F12" i="38" s="1"/>
  <c r="N36" i="39"/>
  <c r="K37" i="37"/>
  <c r="F182" i="38" s="1"/>
  <c r="N33" i="39"/>
  <c r="K34" i="37"/>
  <c r="F142" i="38" s="1"/>
  <c r="N17" i="39"/>
  <c r="K18" i="37"/>
  <c r="C195" i="38" s="1"/>
  <c r="N3" i="39"/>
  <c r="K4" i="37"/>
  <c r="C12" i="38" s="1"/>
  <c r="N4" i="39"/>
  <c r="K5" i="37"/>
  <c r="C25" i="38" s="1"/>
  <c r="C184" i="34"/>
  <c r="C41" i="25" s="1"/>
  <c r="C185" i="34"/>
  <c r="C42" i="25" s="1"/>
  <c r="C186" i="34"/>
  <c r="C43" i="25" s="1"/>
  <c r="C187" i="34"/>
  <c r="C44" i="25" s="1"/>
  <c r="CI33" i="14" l="1"/>
  <c r="CI34" i="14"/>
  <c r="CI32" i="14"/>
  <c r="CI35" i="14"/>
  <c r="BO4" i="34"/>
  <c r="BN109" i="34" s="1"/>
  <c r="BM4" i="34"/>
  <c r="BL109" i="34" s="1"/>
  <c r="BK4" i="34"/>
  <c r="BJ109" i="34" s="1"/>
  <c r="BI4" i="34" l="1"/>
  <c r="BH109" i="34" s="1"/>
  <c r="AT19" i="14" l="1"/>
  <c r="C4" i="15" l="1"/>
  <c r="H4" i="15" s="1"/>
  <c r="K6" i="27"/>
  <c r="K7" i="27"/>
  <c r="K8" i="27"/>
  <c r="K9" i="27"/>
  <c r="K10" i="27"/>
  <c r="K11" i="27"/>
  <c r="K12" i="27"/>
  <c r="K13" i="27"/>
  <c r="K14" i="27"/>
  <c r="K16" i="27"/>
  <c r="K17" i="27"/>
  <c r="K18" i="27"/>
  <c r="K19" i="27"/>
  <c r="K20" i="27"/>
  <c r="K21" i="27"/>
  <c r="AQ6" i="14"/>
  <c r="C156" i="34"/>
  <c r="N4" i="32" s="1"/>
  <c r="C157" i="34"/>
  <c r="N5" i="32" s="1"/>
  <c r="C158" i="34"/>
  <c r="N6" i="32" s="1"/>
  <c r="C159" i="34"/>
  <c r="N7" i="32" s="1"/>
  <c r="C160" i="34"/>
  <c r="C161" i="34"/>
  <c r="C162" i="34"/>
  <c r="C163" i="34"/>
  <c r="CI11" i="14" s="1"/>
  <c r="C164" i="34"/>
  <c r="C165" i="34"/>
  <c r="C166" i="34"/>
  <c r="C167" i="34"/>
  <c r="C168" i="34"/>
  <c r="C169" i="34"/>
  <c r="C170" i="34"/>
  <c r="C171" i="34"/>
  <c r="C172" i="34"/>
  <c r="C173" i="34"/>
  <c r="C174" i="34"/>
  <c r="C175" i="34"/>
  <c r="C176" i="34"/>
  <c r="C177" i="34"/>
  <c r="C178" i="34"/>
  <c r="C179" i="34"/>
  <c r="C180" i="34"/>
  <c r="C181" i="34"/>
  <c r="C38" i="25" s="1"/>
  <c r="C182" i="34"/>
  <c r="C39" i="25" s="1"/>
  <c r="C183" i="34"/>
  <c r="C40" i="25" s="1"/>
  <c r="N30" i="32" l="1"/>
  <c r="CI30" i="14"/>
  <c r="N26" i="32"/>
  <c r="CI26" i="14"/>
  <c r="CI31" i="14"/>
  <c r="N29" i="32"/>
  <c r="CI29" i="14"/>
  <c r="N27" i="32"/>
  <c r="CI27" i="14"/>
  <c r="C34" i="25"/>
  <c r="CI25" i="14"/>
  <c r="N23" i="32"/>
  <c r="CI23" i="14"/>
  <c r="N21" i="32"/>
  <c r="CI21" i="14"/>
  <c r="N19" i="32"/>
  <c r="CI19" i="14"/>
  <c r="N17" i="32"/>
  <c r="CI17" i="14"/>
  <c r="N15" i="32"/>
  <c r="CI15" i="14"/>
  <c r="N13" i="32"/>
  <c r="CI13" i="14"/>
  <c r="N11" i="32"/>
  <c r="N9" i="32"/>
  <c r="CI9" i="14"/>
  <c r="N28" i="32"/>
  <c r="CI28" i="14"/>
  <c r="N24" i="32"/>
  <c r="CI24" i="14"/>
  <c r="N22" i="32"/>
  <c r="CI22" i="14"/>
  <c r="N20" i="32"/>
  <c r="CI20" i="14"/>
  <c r="N18" i="32"/>
  <c r="CI18" i="14"/>
  <c r="N16" i="32"/>
  <c r="CI16" i="14"/>
  <c r="N14" i="32"/>
  <c r="CI14" i="14"/>
  <c r="N12" i="32"/>
  <c r="CI12" i="14"/>
  <c r="N10" i="32"/>
  <c r="CI10" i="14"/>
  <c r="N8" i="32"/>
  <c r="CI8" i="14"/>
  <c r="N25" i="32"/>
  <c r="C18" i="25"/>
  <c r="C26" i="25"/>
  <c r="C35" i="25"/>
  <c r="C27" i="25"/>
  <c r="C19" i="25"/>
  <c r="C30" i="25"/>
  <c r="C22" i="25"/>
  <c r="C31" i="25"/>
  <c r="C23" i="25"/>
  <c r="C13" i="25"/>
  <c r="C36" i="25"/>
  <c r="C32" i="25"/>
  <c r="C28" i="25"/>
  <c r="C24" i="25"/>
  <c r="N31" i="32"/>
  <c r="C37" i="25"/>
  <c r="C33" i="25"/>
  <c r="C29" i="25"/>
  <c r="C25" i="25"/>
  <c r="C21" i="25"/>
  <c r="C17" i="25"/>
  <c r="C16" i="25"/>
  <c r="C15" i="25"/>
  <c r="C14" i="25"/>
  <c r="G5" i="35"/>
  <c r="A1" i="39" s="1"/>
  <c r="G2" i="35"/>
  <c r="B4" i="37" l="1"/>
  <c r="BG4" i="34"/>
  <c r="BF109" i="34" s="1"/>
  <c r="CI5" i="14"/>
  <c r="CI6" i="14"/>
  <c r="CI7" i="14"/>
  <c r="CI4" i="14"/>
  <c r="C9" i="38" l="1"/>
  <c r="I4" i="37"/>
  <c r="C14" i="38" s="1"/>
  <c r="H4" i="34"/>
  <c r="H109" i="34" s="1"/>
  <c r="BE4" i="34"/>
  <c r="BD109" i="34" s="1"/>
  <c r="BC4" i="34"/>
  <c r="BB109" i="34" s="1"/>
  <c r="BA4" i="34"/>
  <c r="AZ109" i="34" s="1"/>
  <c r="AY4" i="34"/>
  <c r="AX109" i="34" s="1"/>
  <c r="AW4" i="34"/>
  <c r="AV109" i="34" s="1"/>
  <c r="AU4" i="34"/>
  <c r="AT109" i="34" s="1"/>
  <c r="AS4" i="34"/>
  <c r="AR109" i="34" s="1"/>
  <c r="AQ4" i="34"/>
  <c r="AP109" i="34" s="1"/>
  <c r="AO4" i="34"/>
  <c r="AN109" i="34" s="1"/>
  <c r="AM4" i="34"/>
  <c r="AL109" i="34" s="1"/>
  <c r="D4" i="34"/>
  <c r="AK4" i="34"/>
  <c r="AJ109" i="34" s="1"/>
  <c r="AI4" i="34"/>
  <c r="AH109" i="34" s="1"/>
  <c r="AG4" i="34"/>
  <c r="AF109" i="34" s="1"/>
  <c r="AE4" i="34"/>
  <c r="AD109" i="34" s="1"/>
  <c r="AC4" i="34"/>
  <c r="AB109" i="34" s="1"/>
  <c r="AA4" i="34"/>
  <c r="Z109" i="34" s="1"/>
  <c r="Y4" i="34"/>
  <c r="X109" i="34" s="1"/>
  <c r="W4" i="34"/>
  <c r="V109" i="34" s="1"/>
  <c r="U4" i="34"/>
  <c r="T109" i="34" s="1"/>
  <c r="S4" i="34"/>
  <c r="R109" i="34" s="1"/>
  <c r="P4" i="34"/>
  <c r="P109" i="34" s="1"/>
  <c r="N4" i="34"/>
  <c r="N109" i="34" s="1"/>
  <c r="L4" i="34"/>
  <c r="L109" i="34" s="1"/>
  <c r="J4" i="34"/>
  <c r="J109" i="34" s="1"/>
  <c r="F4" i="34"/>
  <c r="F109" i="34" s="1"/>
  <c r="B47" i="11"/>
  <c r="B109" i="34" l="1"/>
  <c r="D109" i="34"/>
  <c r="AB1" i="22"/>
  <c r="A9" i="35" s="1"/>
  <c r="C153" i="34" l="1"/>
  <c r="C10" i="25" s="1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7" i="7"/>
  <c r="F4" i="7" l="1"/>
  <c r="E4" i="32" s="1"/>
  <c r="Q18" i="22" l="1"/>
  <c r="F6" i="23"/>
  <c r="Z3" i="32"/>
  <c r="AA3" i="32"/>
  <c r="AB3" i="32"/>
  <c r="AC3" i="32"/>
  <c r="AD3" i="32"/>
  <c r="Y3" i="32"/>
  <c r="M3" i="32"/>
  <c r="T3" i="32"/>
  <c r="U3" i="32"/>
  <c r="W3" i="32"/>
  <c r="L3" i="32"/>
  <c r="B17" i="24" l="1"/>
  <c r="M4" i="22" l="1"/>
  <c r="B6" i="24" s="1"/>
  <c r="M5" i="22"/>
  <c r="B7" i="24" s="1"/>
  <c r="M6" i="22"/>
  <c r="B8" i="24" s="1"/>
  <c r="M7" i="22"/>
  <c r="B9" i="24" s="1"/>
  <c r="M8" i="22"/>
  <c r="B10" i="24" s="1"/>
  <c r="M9" i="22"/>
  <c r="B11" i="24" s="1"/>
  <c r="M10" i="22"/>
  <c r="B12" i="24" s="1"/>
  <c r="M11" i="22"/>
  <c r="B13" i="24" s="1"/>
  <c r="M12" i="22"/>
  <c r="B14" i="24" s="1"/>
  <c r="M13" i="22"/>
  <c r="B15" i="24" s="1"/>
  <c r="M14" i="22"/>
  <c r="B16" i="24" s="1"/>
  <c r="M3" i="22"/>
  <c r="B5" i="24" s="1"/>
  <c r="Z3" i="22"/>
  <c r="AA1" i="22" s="1"/>
  <c r="M18" i="22" l="1"/>
  <c r="G7" i="29"/>
  <c r="U14" i="22" l="1"/>
  <c r="Q14" i="22"/>
  <c r="F16" i="24" s="1"/>
  <c r="U13" i="22"/>
  <c r="Q13" i="22"/>
  <c r="U12" i="22"/>
  <c r="Q12" i="22"/>
  <c r="U11" i="22"/>
  <c r="Q11" i="22"/>
  <c r="U10" i="22"/>
  <c r="Q10" i="22"/>
  <c r="U9" i="22"/>
  <c r="Q9" i="22"/>
  <c r="U8" i="22"/>
  <c r="Q8" i="22"/>
  <c r="U7" i="22"/>
  <c r="Q7" i="22"/>
  <c r="U6" i="22"/>
  <c r="Q6" i="22"/>
  <c r="Q5" i="22"/>
  <c r="AU8" i="14" s="1"/>
  <c r="N14" i="22"/>
  <c r="N9" i="22"/>
  <c r="V14" i="22"/>
  <c r="R14" i="22"/>
  <c r="V13" i="22"/>
  <c r="R13" i="22"/>
  <c r="V12" i="22"/>
  <c r="R12" i="22"/>
  <c r="V11" i="22"/>
  <c r="R11" i="22"/>
  <c r="V10" i="22"/>
  <c r="R10" i="22"/>
  <c r="V9" i="22"/>
  <c r="R9" i="22"/>
  <c r="V8" i="22"/>
  <c r="R8" i="22"/>
  <c r="V7" i="22"/>
  <c r="R7" i="22"/>
  <c r="V6" i="22"/>
  <c r="R6" i="22"/>
  <c r="AU7" i="14"/>
  <c r="N13" i="22"/>
  <c r="N10" i="22"/>
  <c r="N6" i="22"/>
  <c r="S14" i="22"/>
  <c r="O14" i="22"/>
  <c r="S13" i="22"/>
  <c r="O13" i="22"/>
  <c r="S12" i="22"/>
  <c r="O12" i="22"/>
  <c r="S11" i="22"/>
  <c r="O11" i="22"/>
  <c r="S10" i="22"/>
  <c r="O10" i="22"/>
  <c r="S9" i="22"/>
  <c r="O9" i="22"/>
  <c r="S8" i="22"/>
  <c r="O8" i="22"/>
  <c r="S7" i="22"/>
  <c r="O7" i="22"/>
  <c r="S6" i="22"/>
  <c r="O6" i="22"/>
  <c r="N11" i="22"/>
  <c r="N7" i="22"/>
  <c r="T14" i="22"/>
  <c r="P14" i="22"/>
  <c r="T13" i="22"/>
  <c r="P13" i="22"/>
  <c r="T12" i="22"/>
  <c r="P12" i="22"/>
  <c r="T11" i="22"/>
  <c r="P11" i="22"/>
  <c r="T10" i="22"/>
  <c r="P10" i="22"/>
  <c r="T9" i="22"/>
  <c r="P9" i="22"/>
  <c r="T8" i="22"/>
  <c r="P8" i="22"/>
  <c r="T7" i="22"/>
  <c r="P7" i="22"/>
  <c r="T6" i="22"/>
  <c r="P6" i="22"/>
  <c r="N12" i="22"/>
  <c r="N8" i="22"/>
  <c r="D17" i="37"/>
  <c r="C175" i="38" s="1"/>
  <c r="B5" i="37"/>
  <c r="B6" i="37"/>
  <c r="D6" i="37"/>
  <c r="B7" i="37"/>
  <c r="B8" i="37"/>
  <c r="E14" i="1"/>
  <c r="B9" i="37"/>
  <c r="E15" i="1"/>
  <c r="B10" i="37"/>
  <c r="E16" i="1"/>
  <c r="B11" i="37"/>
  <c r="E17" i="1"/>
  <c r="B12" i="37"/>
  <c r="E18" i="1"/>
  <c r="B13" i="37"/>
  <c r="E19" i="1"/>
  <c r="B14" i="37"/>
  <c r="E20" i="1"/>
  <c r="B15" i="37"/>
  <c r="E21" i="1"/>
  <c r="B16" i="37"/>
  <c r="E22" i="1"/>
  <c r="B17" i="37"/>
  <c r="E23" i="1"/>
  <c r="B18" i="37"/>
  <c r="E24" i="1"/>
  <c r="B19" i="37"/>
  <c r="E25" i="1"/>
  <c r="B20" i="37"/>
  <c r="E26" i="1"/>
  <c r="B21" i="37"/>
  <c r="E27" i="1"/>
  <c r="D21" i="37"/>
  <c r="C229" i="38" s="1"/>
  <c r="B22" i="37"/>
  <c r="E28" i="1"/>
  <c r="B23" i="37"/>
  <c r="E29" i="1"/>
  <c r="B24" i="37"/>
  <c r="E30" i="1"/>
  <c r="B25" i="37"/>
  <c r="E31" i="1"/>
  <c r="D25" i="37"/>
  <c r="F18" i="38" s="1"/>
  <c r="B26" i="37"/>
  <c r="E32" i="1"/>
  <c r="B27" i="37"/>
  <c r="E33" i="1"/>
  <c r="B28" i="37"/>
  <c r="E34" i="1"/>
  <c r="B28" i="39"/>
  <c r="B29" i="37"/>
  <c r="E35" i="1"/>
  <c r="B30" i="37"/>
  <c r="E36" i="1"/>
  <c r="B31" i="37"/>
  <c r="E37" i="1"/>
  <c r="B31" i="39"/>
  <c r="B32" i="37"/>
  <c r="E38" i="1"/>
  <c r="BH3" i="34" s="1"/>
  <c r="B32" i="39"/>
  <c r="B33" i="37"/>
  <c r="E39" i="1"/>
  <c r="BJ3" i="34" s="1"/>
  <c r="B33" i="39"/>
  <c r="B34" i="37"/>
  <c r="E40" i="1"/>
  <c r="BL3" i="34" s="1"/>
  <c r="B34" i="39"/>
  <c r="B35" i="37"/>
  <c r="E41" i="1"/>
  <c r="B36" i="37"/>
  <c r="B37" i="37"/>
  <c r="B38" i="37"/>
  <c r="B39" i="37"/>
  <c r="B40" i="37"/>
  <c r="B41" i="37"/>
  <c r="B42" i="37"/>
  <c r="B43" i="37"/>
  <c r="F43" i="37"/>
  <c r="F257" i="38" s="1"/>
  <c r="N3" i="4"/>
  <c r="L21" i="27"/>
  <c r="L20" i="27"/>
  <c r="L19" i="27"/>
  <c r="L18" i="27"/>
  <c r="L17" i="27"/>
  <c r="L16" i="27"/>
  <c r="L14" i="27"/>
  <c r="L13" i="27"/>
  <c r="L12" i="27"/>
  <c r="L11" i="27"/>
  <c r="L10" i="27"/>
  <c r="L9" i="27"/>
  <c r="L8" i="27"/>
  <c r="L7" i="27"/>
  <c r="L6" i="27"/>
  <c r="B4" i="1"/>
  <c r="D4" i="1"/>
  <c r="F50" i="11"/>
  <c r="C8" i="7"/>
  <c r="D8" i="7"/>
  <c r="E8" i="7"/>
  <c r="D4" i="39" s="1"/>
  <c r="G8" i="7"/>
  <c r="C9" i="7"/>
  <c r="D9" i="7"/>
  <c r="E9" i="7"/>
  <c r="D5" i="39" s="1"/>
  <c r="G9" i="7"/>
  <c r="H5" i="39" s="1"/>
  <c r="L5" i="39" s="1"/>
  <c r="C10" i="7"/>
  <c r="D10" i="7"/>
  <c r="E10" i="7"/>
  <c r="D6" i="39" s="1"/>
  <c r="G10" i="7"/>
  <c r="H6" i="39" s="1"/>
  <c r="L6" i="39" s="1"/>
  <c r="C11" i="7"/>
  <c r="D11" i="7"/>
  <c r="E11" i="7"/>
  <c r="D7" i="39" s="1"/>
  <c r="G11" i="7"/>
  <c r="H7" i="39" s="1"/>
  <c r="L7" i="39" s="1"/>
  <c r="C12" i="7"/>
  <c r="D12" i="7"/>
  <c r="E12" i="7"/>
  <c r="D8" i="39" s="1"/>
  <c r="G12" i="7"/>
  <c r="H8" i="39" s="1"/>
  <c r="L8" i="39" s="1"/>
  <c r="C13" i="7"/>
  <c r="D13" i="7"/>
  <c r="E13" i="7"/>
  <c r="D9" i="39" s="1"/>
  <c r="G13" i="7"/>
  <c r="H9" i="39" s="1"/>
  <c r="L9" i="39" s="1"/>
  <c r="C14" i="7"/>
  <c r="D14" i="7"/>
  <c r="E14" i="7"/>
  <c r="D10" i="39" s="1"/>
  <c r="G14" i="7"/>
  <c r="H10" i="39" s="1"/>
  <c r="L10" i="39" s="1"/>
  <c r="C15" i="7"/>
  <c r="D15" i="7"/>
  <c r="E15" i="7"/>
  <c r="D11" i="39" s="1"/>
  <c r="G15" i="7"/>
  <c r="H11" i="39" s="1"/>
  <c r="C16" i="7"/>
  <c r="D16" i="7"/>
  <c r="E16" i="7"/>
  <c r="D12" i="39" s="1"/>
  <c r="G16" i="7"/>
  <c r="H12" i="39" s="1"/>
  <c r="C17" i="7"/>
  <c r="D17" i="7"/>
  <c r="E17" i="7"/>
  <c r="D13" i="39" s="1"/>
  <c r="G17" i="7"/>
  <c r="H13" i="39" s="1"/>
  <c r="C18" i="7"/>
  <c r="D18" i="7"/>
  <c r="E18" i="7"/>
  <c r="D14" i="39" s="1"/>
  <c r="G18" i="7"/>
  <c r="H14" i="39" s="1"/>
  <c r="C19" i="7"/>
  <c r="D19" i="7"/>
  <c r="E19" i="7"/>
  <c r="D15" i="39" s="1"/>
  <c r="G19" i="7"/>
  <c r="H15" i="39" s="1"/>
  <c r="C20" i="7"/>
  <c r="D20" i="7"/>
  <c r="E20" i="7"/>
  <c r="D16" i="39" s="1"/>
  <c r="G20" i="7"/>
  <c r="H16" i="39" s="1"/>
  <c r="C21" i="7"/>
  <c r="D21" i="7"/>
  <c r="E21" i="7"/>
  <c r="D17" i="39" s="1"/>
  <c r="G21" i="7"/>
  <c r="H17" i="39" s="1"/>
  <c r="C22" i="7"/>
  <c r="D22" i="7"/>
  <c r="E22" i="7"/>
  <c r="D18" i="39" s="1"/>
  <c r="G22" i="7"/>
  <c r="H18" i="39" s="1"/>
  <c r="C23" i="7"/>
  <c r="D23" i="7"/>
  <c r="E23" i="7"/>
  <c r="D19" i="39" s="1"/>
  <c r="G23" i="7"/>
  <c r="H19" i="39" s="1"/>
  <c r="C24" i="7"/>
  <c r="D24" i="7"/>
  <c r="E24" i="7"/>
  <c r="D20" i="39" s="1"/>
  <c r="G24" i="7"/>
  <c r="H20" i="39" s="1"/>
  <c r="C25" i="7"/>
  <c r="D25" i="7"/>
  <c r="E25" i="7"/>
  <c r="D21" i="39" s="1"/>
  <c r="G25" i="7"/>
  <c r="H21" i="39" s="1"/>
  <c r="C26" i="7"/>
  <c r="D26" i="7"/>
  <c r="E26" i="7"/>
  <c r="D22" i="39" s="1"/>
  <c r="G26" i="7"/>
  <c r="H22" i="39" s="1"/>
  <c r="C27" i="7"/>
  <c r="D27" i="7"/>
  <c r="E27" i="7"/>
  <c r="D23" i="39" s="1"/>
  <c r="G27" i="7"/>
  <c r="H23" i="39" s="1"/>
  <c r="C28" i="7"/>
  <c r="D28" i="7"/>
  <c r="E28" i="7"/>
  <c r="D24" i="39" s="1"/>
  <c r="G28" i="7"/>
  <c r="H24" i="39" s="1"/>
  <c r="C29" i="7"/>
  <c r="D29" i="7"/>
  <c r="E29" i="7"/>
  <c r="D25" i="39" s="1"/>
  <c r="G29" i="7"/>
  <c r="H25" i="39" s="1"/>
  <c r="C30" i="7"/>
  <c r="D30" i="7"/>
  <c r="E30" i="7"/>
  <c r="D26" i="39" s="1"/>
  <c r="G30" i="7"/>
  <c r="H26" i="39" s="1"/>
  <c r="C31" i="7"/>
  <c r="D31" i="7"/>
  <c r="E31" i="7"/>
  <c r="D27" i="39" s="1"/>
  <c r="G31" i="7"/>
  <c r="H27" i="39" s="1"/>
  <c r="C32" i="7"/>
  <c r="D32" i="7"/>
  <c r="E32" i="7"/>
  <c r="D28" i="39" s="1"/>
  <c r="G32" i="7"/>
  <c r="H28" i="39" s="1"/>
  <c r="C33" i="7"/>
  <c r="D33" i="7"/>
  <c r="E33" i="7"/>
  <c r="D29" i="39" s="1"/>
  <c r="G33" i="7"/>
  <c r="H29" i="39" s="1"/>
  <c r="C34" i="7"/>
  <c r="D34" i="7"/>
  <c r="E34" i="7"/>
  <c r="D30" i="39" s="1"/>
  <c r="G34" i="7"/>
  <c r="H30" i="39" s="1"/>
  <c r="C35" i="7"/>
  <c r="D35" i="7"/>
  <c r="E35" i="7"/>
  <c r="D31" i="39" s="1"/>
  <c r="G35" i="7"/>
  <c r="H31" i="39" s="1"/>
  <c r="C36" i="7"/>
  <c r="D36" i="7"/>
  <c r="E36" i="7"/>
  <c r="D32" i="39" s="1"/>
  <c r="G36" i="7"/>
  <c r="H32" i="39" s="1"/>
  <c r="C37" i="7"/>
  <c r="D37" i="7"/>
  <c r="E37" i="7"/>
  <c r="D33" i="39" s="1"/>
  <c r="G37" i="7"/>
  <c r="H33" i="39" s="1"/>
  <c r="C38" i="7"/>
  <c r="D38" i="7"/>
  <c r="E38" i="7"/>
  <c r="D34" i="39" s="1"/>
  <c r="G38" i="7"/>
  <c r="H34" i="39" s="1"/>
  <c r="C39" i="7"/>
  <c r="D39" i="7"/>
  <c r="E39" i="7"/>
  <c r="D35" i="39" s="1"/>
  <c r="G39" i="7"/>
  <c r="H35" i="39" s="1"/>
  <c r="C40" i="7"/>
  <c r="D40" i="7"/>
  <c r="E40" i="7"/>
  <c r="D36" i="39" s="1"/>
  <c r="G40" i="7"/>
  <c r="H36" i="39" s="1"/>
  <c r="C41" i="7"/>
  <c r="D41" i="7"/>
  <c r="E41" i="7"/>
  <c r="D37" i="39" s="1"/>
  <c r="G41" i="7"/>
  <c r="H37" i="39" s="1"/>
  <c r="C42" i="7"/>
  <c r="D42" i="7"/>
  <c r="E42" i="7"/>
  <c r="D38" i="39" s="1"/>
  <c r="G42" i="7"/>
  <c r="H38" i="39" s="1"/>
  <c r="C43" i="7"/>
  <c r="D43" i="7"/>
  <c r="E43" i="7"/>
  <c r="D39" i="39" s="1"/>
  <c r="G43" i="7"/>
  <c r="H39" i="39" s="1"/>
  <c r="C44" i="7"/>
  <c r="D44" i="7"/>
  <c r="E44" i="7"/>
  <c r="D40" i="39" s="1"/>
  <c r="G44" i="7"/>
  <c r="H40" i="39" s="1"/>
  <c r="C45" i="7"/>
  <c r="D45" i="7"/>
  <c r="E45" i="7"/>
  <c r="D41" i="39" s="1"/>
  <c r="G45" i="7"/>
  <c r="H41" i="39" s="1"/>
  <c r="C46" i="7"/>
  <c r="D46" i="7"/>
  <c r="E46" i="7"/>
  <c r="D42" i="39" s="1"/>
  <c r="G46" i="7"/>
  <c r="H42" i="39" s="1"/>
  <c r="D7" i="7"/>
  <c r="E7" i="7"/>
  <c r="D3" i="39" s="1"/>
  <c r="G7" i="7"/>
  <c r="C7" i="7"/>
  <c r="E2" i="1"/>
  <c r="C2" i="29" s="1"/>
  <c r="BJ7" i="34" l="1"/>
  <c r="BJ9" i="34"/>
  <c r="BJ11" i="34"/>
  <c r="BJ13" i="34"/>
  <c r="BJ15" i="34"/>
  <c r="BJ17" i="34"/>
  <c r="BJ19" i="34"/>
  <c r="BJ21" i="34"/>
  <c r="BJ23" i="34"/>
  <c r="BJ25" i="34"/>
  <c r="BJ27" i="34"/>
  <c r="BJ29" i="34"/>
  <c r="BJ31" i="34"/>
  <c r="BJ33" i="34"/>
  <c r="BJ35" i="34"/>
  <c r="BJ37" i="34"/>
  <c r="BJ39" i="34"/>
  <c r="BJ41" i="34"/>
  <c r="BJ43" i="34"/>
  <c r="BJ45" i="34"/>
  <c r="BJ47" i="34"/>
  <c r="BJ49" i="34"/>
  <c r="BJ51" i="34"/>
  <c r="BJ53" i="34"/>
  <c r="BJ55" i="34"/>
  <c r="BJ57" i="34"/>
  <c r="BJ59" i="34"/>
  <c r="BJ61" i="34"/>
  <c r="BJ63" i="34"/>
  <c r="BJ65" i="34"/>
  <c r="BJ67" i="34"/>
  <c r="BJ69" i="34"/>
  <c r="BJ71" i="34"/>
  <c r="BJ73" i="34"/>
  <c r="BJ75" i="34"/>
  <c r="BJ77" i="34"/>
  <c r="BJ79" i="34"/>
  <c r="BJ81" i="34"/>
  <c r="BJ83" i="34"/>
  <c r="BJ85" i="34"/>
  <c r="BJ87" i="34"/>
  <c r="BJ89" i="34"/>
  <c r="BJ91" i="34"/>
  <c r="BJ93" i="34"/>
  <c r="BJ95" i="34"/>
  <c r="BJ97" i="34"/>
  <c r="BJ99" i="34"/>
  <c r="BJ101" i="34"/>
  <c r="BJ103" i="34"/>
  <c r="BJ105" i="34"/>
  <c r="BJ8" i="34"/>
  <c r="BJ12" i="34"/>
  <c r="BJ16" i="34"/>
  <c r="BJ20" i="34"/>
  <c r="BJ24" i="34"/>
  <c r="BJ28" i="34"/>
  <c r="BJ32" i="34"/>
  <c r="BJ36" i="34"/>
  <c r="BJ40" i="34"/>
  <c r="BJ44" i="34"/>
  <c r="BJ48" i="34"/>
  <c r="BJ52" i="34"/>
  <c r="BJ56" i="34"/>
  <c r="BJ60" i="34"/>
  <c r="BJ64" i="34"/>
  <c r="BJ68" i="34"/>
  <c r="BJ72" i="34"/>
  <c r="BJ76" i="34"/>
  <c r="BJ80" i="34"/>
  <c r="BJ84" i="34"/>
  <c r="BJ88" i="34"/>
  <c r="BJ92" i="34"/>
  <c r="BJ96" i="34"/>
  <c r="BJ100" i="34"/>
  <c r="BJ104" i="34"/>
  <c r="BJ6" i="34"/>
  <c r="BJ14" i="34"/>
  <c r="BJ22" i="34"/>
  <c r="BJ30" i="34"/>
  <c r="BJ38" i="34"/>
  <c r="BJ46" i="34"/>
  <c r="BJ54" i="34"/>
  <c r="BJ62" i="34"/>
  <c r="BJ70" i="34"/>
  <c r="BJ78" i="34"/>
  <c r="BJ86" i="34"/>
  <c r="BJ94" i="34"/>
  <c r="BJ102" i="34"/>
  <c r="BJ10" i="34"/>
  <c r="BJ26" i="34"/>
  <c r="BJ42" i="34"/>
  <c r="BJ58" i="34"/>
  <c r="BJ74" i="34"/>
  <c r="BJ90" i="34"/>
  <c r="BJ5" i="34"/>
  <c r="BJ18" i="34"/>
  <c r="BJ34" i="34"/>
  <c r="BJ50" i="34"/>
  <c r="BJ66" i="34"/>
  <c r="BJ82" i="34"/>
  <c r="BJ98" i="34"/>
  <c r="BL6" i="34"/>
  <c r="BL8" i="34"/>
  <c r="BL10" i="34"/>
  <c r="BL12" i="34"/>
  <c r="BL14" i="34"/>
  <c r="BL16" i="34"/>
  <c r="BL18" i="34"/>
  <c r="BL20" i="34"/>
  <c r="BL22" i="34"/>
  <c r="BL24" i="34"/>
  <c r="BL26" i="34"/>
  <c r="BL28" i="34"/>
  <c r="BL30" i="34"/>
  <c r="BL32" i="34"/>
  <c r="BL34" i="34"/>
  <c r="BL36" i="34"/>
  <c r="BL38" i="34"/>
  <c r="BL40" i="34"/>
  <c r="BL42" i="34"/>
  <c r="BL44" i="34"/>
  <c r="BL46" i="34"/>
  <c r="BL48" i="34"/>
  <c r="BL50" i="34"/>
  <c r="BL52" i="34"/>
  <c r="BL54" i="34"/>
  <c r="BL7" i="34"/>
  <c r="BL9" i="34"/>
  <c r="BM9" i="34" s="1"/>
  <c r="BL11" i="34"/>
  <c r="BL13" i="34"/>
  <c r="BL15" i="34"/>
  <c r="BL17" i="34"/>
  <c r="BL19" i="34"/>
  <c r="BL21" i="34"/>
  <c r="BL23" i="34"/>
  <c r="BL25" i="34"/>
  <c r="BL27" i="34"/>
  <c r="BL29" i="34"/>
  <c r="BL31" i="34"/>
  <c r="BL33" i="34"/>
  <c r="BL35" i="34"/>
  <c r="BL37" i="34"/>
  <c r="BL39" i="34"/>
  <c r="BL41" i="34"/>
  <c r="BL43" i="34"/>
  <c r="BL45" i="34"/>
  <c r="BL47" i="34"/>
  <c r="BL49" i="34"/>
  <c r="BL51" i="34"/>
  <c r="BL53" i="34"/>
  <c r="BL55" i="34"/>
  <c r="BL56" i="34"/>
  <c r="BL58" i="34"/>
  <c r="BL60" i="34"/>
  <c r="BL62" i="34"/>
  <c r="BL64" i="34"/>
  <c r="BL66" i="34"/>
  <c r="BL68" i="34"/>
  <c r="BL70" i="34"/>
  <c r="BL72" i="34"/>
  <c r="BL74" i="34"/>
  <c r="BL76" i="34"/>
  <c r="BL78" i="34"/>
  <c r="BL80" i="34"/>
  <c r="BL82" i="34"/>
  <c r="BL84" i="34"/>
  <c r="BL86" i="34"/>
  <c r="BL88" i="34"/>
  <c r="BL90" i="34"/>
  <c r="BL92" i="34"/>
  <c r="BL94" i="34"/>
  <c r="BL96" i="34"/>
  <c r="BL98" i="34"/>
  <c r="BL100" i="34"/>
  <c r="BL102" i="34"/>
  <c r="BL104" i="34"/>
  <c r="BL5" i="34"/>
  <c r="BL57" i="34"/>
  <c r="BL61" i="34"/>
  <c r="BL65" i="34"/>
  <c r="BL69" i="34"/>
  <c r="BL73" i="34"/>
  <c r="BL77" i="34"/>
  <c r="BL81" i="34"/>
  <c r="BL85" i="34"/>
  <c r="BL89" i="34"/>
  <c r="BL93" i="34"/>
  <c r="BL97" i="34"/>
  <c r="BL101" i="34"/>
  <c r="BL105" i="34"/>
  <c r="BL59" i="34"/>
  <c r="BL67" i="34"/>
  <c r="BL75" i="34"/>
  <c r="BL83" i="34"/>
  <c r="BL91" i="34"/>
  <c r="BL99" i="34"/>
  <c r="BL63" i="34"/>
  <c r="BL79" i="34"/>
  <c r="BL95" i="34"/>
  <c r="BL71" i="34"/>
  <c r="BL87" i="34"/>
  <c r="BL103" i="34"/>
  <c r="BH6" i="34"/>
  <c r="BH8" i="34"/>
  <c r="BH10" i="34"/>
  <c r="BH12" i="34"/>
  <c r="BH14" i="34"/>
  <c r="BH16" i="34"/>
  <c r="BH18" i="34"/>
  <c r="BH20" i="34"/>
  <c r="BH22" i="34"/>
  <c r="BH24" i="34"/>
  <c r="BH26" i="34"/>
  <c r="BH28" i="34"/>
  <c r="BH30" i="34"/>
  <c r="BH32" i="34"/>
  <c r="BH34" i="34"/>
  <c r="BH36" i="34"/>
  <c r="BH38" i="34"/>
  <c r="BH40" i="34"/>
  <c r="BH42" i="34"/>
  <c r="BH44" i="34"/>
  <c r="BH46" i="34"/>
  <c r="BH48" i="34"/>
  <c r="BH50" i="34"/>
  <c r="BH52" i="34"/>
  <c r="BH54" i="34"/>
  <c r="BH56" i="34"/>
  <c r="BH58" i="34"/>
  <c r="BH60" i="34"/>
  <c r="BH62" i="34"/>
  <c r="BH64" i="34"/>
  <c r="BH66" i="34"/>
  <c r="BH68" i="34"/>
  <c r="BH70" i="34"/>
  <c r="BH72" i="34"/>
  <c r="BH74" i="34"/>
  <c r="BH76" i="34"/>
  <c r="BH78" i="34"/>
  <c r="BH80" i="34"/>
  <c r="BH82" i="34"/>
  <c r="BH84" i="34"/>
  <c r="BH86" i="34"/>
  <c r="BH88" i="34"/>
  <c r="BH90" i="34"/>
  <c r="BH92" i="34"/>
  <c r="BH94" i="34"/>
  <c r="BH96" i="34"/>
  <c r="BH98" i="34"/>
  <c r="BH100" i="34"/>
  <c r="BH102" i="34"/>
  <c r="BH104" i="34"/>
  <c r="BH5" i="34"/>
  <c r="BH7" i="34"/>
  <c r="BH11" i="34"/>
  <c r="BH15" i="34"/>
  <c r="BH19" i="34"/>
  <c r="BH23" i="34"/>
  <c r="BH27" i="34"/>
  <c r="BH31" i="34"/>
  <c r="BH35" i="34"/>
  <c r="BH39" i="34"/>
  <c r="BH43" i="34"/>
  <c r="BH47" i="34"/>
  <c r="BH51" i="34"/>
  <c r="BH55" i="34"/>
  <c r="BH59" i="34"/>
  <c r="BH63" i="34"/>
  <c r="BH67" i="34"/>
  <c r="BH71" i="34"/>
  <c r="BH75" i="34"/>
  <c r="BH79" i="34"/>
  <c r="BH83" i="34"/>
  <c r="BH87" i="34"/>
  <c r="BH91" i="34"/>
  <c r="BH95" i="34"/>
  <c r="BH99" i="34"/>
  <c r="BH103" i="34"/>
  <c r="BH9" i="34"/>
  <c r="BH17" i="34"/>
  <c r="BH25" i="34"/>
  <c r="BH33" i="34"/>
  <c r="BH41" i="34"/>
  <c r="BH49" i="34"/>
  <c r="BH57" i="34"/>
  <c r="BH65" i="34"/>
  <c r="BH73" i="34"/>
  <c r="BH81" i="34"/>
  <c r="BH89" i="34"/>
  <c r="BH97" i="34"/>
  <c r="BH105" i="34"/>
  <c r="BH21" i="34"/>
  <c r="BH37" i="34"/>
  <c r="BH53" i="34"/>
  <c r="BH69" i="34"/>
  <c r="BH85" i="34"/>
  <c r="BH101" i="34"/>
  <c r="BH13" i="34"/>
  <c r="BH29" i="34"/>
  <c r="BH45" i="34"/>
  <c r="BH61" i="34"/>
  <c r="BH77" i="34"/>
  <c r="BH93" i="34"/>
  <c r="BI73" i="34"/>
  <c r="BM77" i="34"/>
  <c r="BK87" i="34"/>
  <c r="BK20" i="34"/>
  <c r="BK32" i="34"/>
  <c r="BK105" i="34"/>
  <c r="E40" i="39"/>
  <c r="E39" i="39"/>
  <c r="E35" i="39"/>
  <c r="E32" i="39"/>
  <c r="E31" i="39"/>
  <c r="E28" i="39"/>
  <c r="E25" i="39"/>
  <c r="E24" i="39"/>
  <c r="E21" i="39"/>
  <c r="E18" i="39"/>
  <c r="E11" i="39"/>
  <c r="E3" i="39"/>
  <c r="E42" i="39"/>
  <c r="E38" i="39"/>
  <c r="E36" i="39"/>
  <c r="E34" i="39"/>
  <c r="E30" i="39"/>
  <c r="E27" i="39"/>
  <c r="E22" i="39"/>
  <c r="E19" i="39"/>
  <c r="E16" i="39"/>
  <c r="E14" i="39"/>
  <c r="E12" i="39"/>
  <c r="E9" i="39"/>
  <c r="E5" i="39"/>
  <c r="E41" i="39"/>
  <c r="E37" i="39"/>
  <c r="E33" i="39"/>
  <c r="E29" i="39"/>
  <c r="E26" i="39"/>
  <c r="E23" i="39"/>
  <c r="E20" i="39"/>
  <c r="E17" i="39"/>
  <c r="E15" i="39"/>
  <c r="E13" i="39"/>
  <c r="E10" i="39"/>
  <c r="E8" i="39"/>
  <c r="E7" i="39"/>
  <c r="E6" i="39"/>
  <c r="E4" i="39"/>
  <c r="B46" i="7"/>
  <c r="E46" i="32" s="1"/>
  <c r="B42" i="39"/>
  <c r="F220" i="38"/>
  <c r="E216" i="38"/>
  <c r="I40" i="37"/>
  <c r="F225" i="38" s="1"/>
  <c r="H40" i="37"/>
  <c r="F226" i="38" s="1"/>
  <c r="J40" i="37"/>
  <c r="F222" i="38" s="1"/>
  <c r="L40" i="37"/>
  <c r="F224" i="38" s="1"/>
  <c r="B42" i="7"/>
  <c r="E42" i="32" s="1"/>
  <c r="B38" i="39"/>
  <c r="F166" i="38"/>
  <c r="E162" i="38"/>
  <c r="I36" i="37"/>
  <c r="F171" i="38" s="1"/>
  <c r="J36" i="37"/>
  <c r="F168" i="38" s="1"/>
  <c r="H36" i="37"/>
  <c r="F172" i="38" s="1"/>
  <c r="L36" i="37"/>
  <c r="F170" i="38" s="1"/>
  <c r="C166" i="38"/>
  <c r="B162" i="38"/>
  <c r="H16" i="37"/>
  <c r="C172" i="38" s="1"/>
  <c r="I16" i="37"/>
  <c r="C171" i="38" s="1"/>
  <c r="J16" i="37"/>
  <c r="C168" i="38" s="1"/>
  <c r="L16" i="37"/>
  <c r="C170" i="38" s="1"/>
  <c r="I15" i="37"/>
  <c r="C157" i="38" s="1"/>
  <c r="C152" i="38"/>
  <c r="B148" i="38"/>
  <c r="J15" i="37"/>
  <c r="C154" i="38" s="1"/>
  <c r="H15" i="37"/>
  <c r="C158" i="38" s="1"/>
  <c r="L15" i="37"/>
  <c r="C156" i="38" s="1"/>
  <c r="I14" i="37"/>
  <c r="C144" i="38" s="1"/>
  <c r="C139" i="38"/>
  <c r="B135" i="38"/>
  <c r="L14" i="37"/>
  <c r="C143" i="38" s="1"/>
  <c r="H14" i="37"/>
  <c r="C145" i="38" s="1"/>
  <c r="J14" i="37"/>
  <c r="C141" i="38" s="1"/>
  <c r="B165" i="34"/>
  <c r="G33" i="35" s="1"/>
  <c r="B12" i="39"/>
  <c r="B164" i="34"/>
  <c r="B11" i="39"/>
  <c r="J9" i="37"/>
  <c r="C76" i="38" s="1"/>
  <c r="C74" i="38"/>
  <c r="I9" i="37"/>
  <c r="C79" i="38" s="1"/>
  <c r="L9" i="37"/>
  <c r="C78" i="38" s="1"/>
  <c r="B158" i="34"/>
  <c r="G25" i="35" s="1"/>
  <c r="B5" i="39"/>
  <c r="I43" i="37"/>
  <c r="F264" i="38" s="1"/>
  <c r="F259" i="38"/>
  <c r="E255" i="38"/>
  <c r="J43" i="37"/>
  <c r="F261" i="38" s="1"/>
  <c r="H43" i="37"/>
  <c r="F265" i="38" s="1"/>
  <c r="L43" i="37"/>
  <c r="F263" i="38" s="1"/>
  <c r="B45" i="7"/>
  <c r="E45" i="32" s="1"/>
  <c r="B41" i="39"/>
  <c r="I39" i="37"/>
  <c r="F210" i="38" s="1"/>
  <c r="F205" i="38"/>
  <c r="E201" i="38"/>
  <c r="J39" i="37"/>
  <c r="F207" i="38" s="1"/>
  <c r="H39" i="37"/>
  <c r="F211" i="38" s="1"/>
  <c r="L39" i="37"/>
  <c r="F209" i="38" s="1"/>
  <c r="B41" i="7"/>
  <c r="E41" i="32" s="1"/>
  <c r="B37" i="39"/>
  <c r="I35" i="37"/>
  <c r="F157" i="38" s="1"/>
  <c r="F152" i="38"/>
  <c r="E148" i="38"/>
  <c r="J35" i="37"/>
  <c r="F154" i="38" s="1"/>
  <c r="H35" i="37"/>
  <c r="F158" i="38" s="1"/>
  <c r="L35" i="37"/>
  <c r="F156" i="38" s="1"/>
  <c r="B183" i="34"/>
  <c r="B40" i="25" s="1"/>
  <c r="B30" i="39"/>
  <c r="B182" i="34"/>
  <c r="B39" i="25" s="1"/>
  <c r="B29" i="39"/>
  <c r="B180" i="34"/>
  <c r="B37" i="25" s="1"/>
  <c r="B27" i="39"/>
  <c r="B179" i="34"/>
  <c r="CH27" i="14" s="1"/>
  <c r="B26" i="39"/>
  <c r="B178" i="34"/>
  <c r="B35" i="25" s="1"/>
  <c r="B25" i="39"/>
  <c r="B177" i="34"/>
  <c r="B34" i="25" s="1"/>
  <c r="B24" i="39"/>
  <c r="B176" i="34"/>
  <c r="B33" i="25" s="1"/>
  <c r="B23" i="39"/>
  <c r="B175" i="34"/>
  <c r="B32" i="25" s="1"/>
  <c r="B22" i="39"/>
  <c r="B174" i="34"/>
  <c r="CH22" i="14" s="1"/>
  <c r="B21" i="39"/>
  <c r="B173" i="34"/>
  <c r="B30" i="25" s="1"/>
  <c r="B20" i="39"/>
  <c r="B172" i="34"/>
  <c r="CH20" i="14" s="1"/>
  <c r="B19" i="39"/>
  <c r="B171" i="34"/>
  <c r="B28" i="25" s="1"/>
  <c r="B18" i="39"/>
  <c r="B170" i="34"/>
  <c r="B27" i="25" s="1"/>
  <c r="B17" i="39"/>
  <c r="J13" i="37"/>
  <c r="C128" i="38" s="1"/>
  <c r="C126" i="38"/>
  <c r="B122" i="38"/>
  <c r="I13" i="37"/>
  <c r="C131" i="38" s="1"/>
  <c r="L13" i="37"/>
  <c r="C130" i="38" s="1"/>
  <c r="H13" i="37"/>
  <c r="C132" i="38" s="1"/>
  <c r="C113" i="38"/>
  <c r="B109" i="38"/>
  <c r="I12" i="37"/>
  <c r="C118" i="38" s="1"/>
  <c r="J12" i="37"/>
  <c r="C115" i="38" s="1"/>
  <c r="H12" i="37"/>
  <c r="C119" i="38" s="1"/>
  <c r="L12" i="37"/>
  <c r="C117" i="38" s="1"/>
  <c r="B163" i="34"/>
  <c r="G30" i="35" s="1"/>
  <c r="B10" i="39"/>
  <c r="I7" i="37"/>
  <c r="C53" i="38" s="1"/>
  <c r="C48" i="38"/>
  <c r="J7" i="37"/>
  <c r="C50" i="38" s="1"/>
  <c r="L7" i="37"/>
  <c r="C52" i="38" s="1"/>
  <c r="I42" i="37"/>
  <c r="F251" i="38" s="1"/>
  <c r="F246" i="38"/>
  <c r="E242" i="38"/>
  <c r="H42" i="37"/>
  <c r="F252" i="38" s="1"/>
  <c r="J42" i="37"/>
  <c r="F248" i="38" s="1"/>
  <c r="L42" i="37"/>
  <c r="F250" i="38" s="1"/>
  <c r="I38" i="37"/>
  <c r="F197" i="38" s="1"/>
  <c r="F192" i="38"/>
  <c r="E188" i="38"/>
  <c r="L38" i="37"/>
  <c r="F196" i="38" s="1"/>
  <c r="H38" i="37"/>
  <c r="F198" i="38" s="1"/>
  <c r="J38" i="37"/>
  <c r="F194" i="38" s="1"/>
  <c r="B40" i="7"/>
  <c r="E40" i="32" s="1"/>
  <c r="B36" i="39"/>
  <c r="I34" i="37"/>
  <c r="F144" i="38" s="1"/>
  <c r="F139" i="38"/>
  <c r="E135" i="38"/>
  <c r="L34" i="37"/>
  <c r="F143" i="38" s="1"/>
  <c r="J34" i="37"/>
  <c r="F141" i="38" s="1"/>
  <c r="H34" i="37"/>
  <c r="F145" i="38" s="1"/>
  <c r="J33" i="37"/>
  <c r="F128" i="38" s="1"/>
  <c r="F126" i="38"/>
  <c r="E122" i="38"/>
  <c r="L33" i="37"/>
  <c r="F130" i="38" s="1"/>
  <c r="I33" i="37"/>
  <c r="F131" i="38" s="1"/>
  <c r="H33" i="37"/>
  <c r="F132" i="38" s="1"/>
  <c r="F113" i="38"/>
  <c r="E109" i="38"/>
  <c r="I32" i="37"/>
  <c r="F118" i="38" s="1"/>
  <c r="J32" i="37"/>
  <c r="F115" i="38" s="1"/>
  <c r="H32" i="37"/>
  <c r="F119" i="38" s="1"/>
  <c r="L32" i="37"/>
  <c r="F117" i="38" s="1"/>
  <c r="I31" i="37"/>
  <c r="F105" i="38" s="1"/>
  <c r="F100" i="38"/>
  <c r="E96" i="38"/>
  <c r="J31" i="37"/>
  <c r="F102" i="38" s="1"/>
  <c r="H31" i="37"/>
  <c r="F106" i="38" s="1"/>
  <c r="L31" i="37"/>
  <c r="F104" i="38" s="1"/>
  <c r="I30" i="37"/>
  <c r="F92" i="38" s="1"/>
  <c r="F87" i="38"/>
  <c r="E83" i="38"/>
  <c r="H30" i="37"/>
  <c r="F93" i="38" s="1"/>
  <c r="L30" i="37"/>
  <c r="F91" i="38" s="1"/>
  <c r="J30" i="37"/>
  <c r="F89" i="38" s="1"/>
  <c r="J29" i="37"/>
  <c r="F76" i="38" s="1"/>
  <c r="F74" i="38"/>
  <c r="E70" i="38"/>
  <c r="H29" i="37"/>
  <c r="F80" i="38" s="1"/>
  <c r="I29" i="37"/>
  <c r="F79" i="38" s="1"/>
  <c r="L29" i="37"/>
  <c r="F78" i="38" s="1"/>
  <c r="F61" i="38"/>
  <c r="E57" i="38"/>
  <c r="I28" i="37"/>
  <c r="F66" i="38" s="1"/>
  <c r="H28" i="37"/>
  <c r="F67" i="38" s="1"/>
  <c r="J28" i="37"/>
  <c r="F63" i="38" s="1"/>
  <c r="L28" i="37"/>
  <c r="F65" i="38" s="1"/>
  <c r="I27" i="37"/>
  <c r="F53" i="38" s="1"/>
  <c r="F48" i="38"/>
  <c r="E44" i="38"/>
  <c r="J27" i="37"/>
  <c r="F50" i="38" s="1"/>
  <c r="H27" i="37"/>
  <c r="F54" i="38" s="1"/>
  <c r="L27" i="37"/>
  <c r="F52" i="38" s="1"/>
  <c r="I26" i="37"/>
  <c r="F40" i="38" s="1"/>
  <c r="E31" i="38"/>
  <c r="F35" i="38"/>
  <c r="H26" i="37"/>
  <c r="F41" i="38" s="1"/>
  <c r="L26" i="37"/>
  <c r="F39" i="38" s="1"/>
  <c r="J26" i="37"/>
  <c r="F37" i="38" s="1"/>
  <c r="J25" i="37"/>
  <c r="F24" i="38" s="1"/>
  <c r="E18" i="38"/>
  <c r="F22" i="38"/>
  <c r="H25" i="37"/>
  <c r="F28" i="38" s="1"/>
  <c r="I25" i="37"/>
  <c r="F27" i="38" s="1"/>
  <c r="L25" i="37"/>
  <c r="F26" i="38" s="1"/>
  <c r="F9" i="38"/>
  <c r="E5" i="38"/>
  <c r="I24" i="37"/>
  <c r="F14" i="38" s="1"/>
  <c r="H24" i="37"/>
  <c r="F15" i="38" s="1"/>
  <c r="J24" i="37"/>
  <c r="F11" i="38" s="1"/>
  <c r="L24" i="37"/>
  <c r="F13" i="38" s="1"/>
  <c r="I23" i="37"/>
  <c r="C264" i="38" s="1"/>
  <c r="C259" i="38"/>
  <c r="B255" i="38"/>
  <c r="J23" i="37"/>
  <c r="C261" i="38" s="1"/>
  <c r="H23" i="37"/>
  <c r="C265" i="38" s="1"/>
  <c r="L23" i="37"/>
  <c r="C263" i="38" s="1"/>
  <c r="I22" i="37"/>
  <c r="C251" i="38" s="1"/>
  <c r="C246" i="38"/>
  <c r="B242" i="38"/>
  <c r="L22" i="37"/>
  <c r="C250" i="38" s="1"/>
  <c r="H22" i="37"/>
  <c r="C252" i="38" s="1"/>
  <c r="J22" i="37"/>
  <c r="C248" i="38" s="1"/>
  <c r="J21" i="37"/>
  <c r="C235" i="38" s="1"/>
  <c r="C233" i="38"/>
  <c r="B229" i="38"/>
  <c r="H21" i="37"/>
  <c r="C239" i="38" s="1"/>
  <c r="I21" i="37"/>
  <c r="C238" i="38" s="1"/>
  <c r="L21" i="37"/>
  <c r="C237" i="38" s="1"/>
  <c r="C220" i="38"/>
  <c r="B216" i="38"/>
  <c r="I20" i="37"/>
  <c r="C225" i="38" s="1"/>
  <c r="H20" i="37"/>
  <c r="C226" i="38" s="1"/>
  <c r="J20" i="37"/>
  <c r="C222" i="38" s="1"/>
  <c r="L20" i="37"/>
  <c r="C224" i="38" s="1"/>
  <c r="I19" i="37"/>
  <c r="C210" i="38" s="1"/>
  <c r="C205" i="38"/>
  <c r="B201" i="38"/>
  <c r="J19" i="37"/>
  <c r="C207" i="38" s="1"/>
  <c r="H19" i="37"/>
  <c r="C211" i="38" s="1"/>
  <c r="L19" i="37"/>
  <c r="C209" i="38" s="1"/>
  <c r="I18" i="37"/>
  <c r="C197" i="38" s="1"/>
  <c r="C192" i="38"/>
  <c r="B188" i="38"/>
  <c r="L18" i="37"/>
  <c r="C196" i="38" s="1"/>
  <c r="H18" i="37"/>
  <c r="C198" i="38" s="1"/>
  <c r="J18" i="37"/>
  <c r="C194" i="38" s="1"/>
  <c r="B169" i="34"/>
  <c r="CH17" i="14" s="1"/>
  <c r="B16" i="39"/>
  <c r="I11" i="37"/>
  <c r="C105" i="38" s="1"/>
  <c r="C100" i="38"/>
  <c r="J11" i="37"/>
  <c r="C102" i="38" s="1"/>
  <c r="B162" i="34"/>
  <c r="G29" i="35" s="1"/>
  <c r="B9" i="39"/>
  <c r="C61" i="38"/>
  <c r="I8" i="37"/>
  <c r="C66" i="38" s="1"/>
  <c r="J8" i="37"/>
  <c r="C63" i="38" s="1"/>
  <c r="B159" i="34"/>
  <c r="G26" i="35" s="1"/>
  <c r="B6" i="39"/>
  <c r="B44" i="7"/>
  <c r="E44" i="32" s="1"/>
  <c r="B40" i="39"/>
  <c r="B161" i="34"/>
  <c r="G28" i="35" s="1"/>
  <c r="B8" i="39"/>
  <c r="J41" i="37"/>
  <c r="F235" i="38" s="1"/>
  <c r="F233" i="38"/>
  <c r="E229" i="38"/>
  <c r="H41" i="37"/>
  <c r="F239" i="38" s="1"/>
  <c r="I41" i="37"/>
  <c r="F238" i="38" s="1"/>
  <c r="L41" i="37"/>
  <c r="F237" i="38" s="1"/>
  <c r="B43" i="7"/>
  <c r="E43" i="32" s="1"/>
  <c r="B39" i="39"/>
  <c r="J37" i="37"/>
  <c r="F181" i="38" s="1"/>
  <c r="F179" i="38"/>
  <c r="E175" i="38"/>
  <c r="L37" i="37"/>
  <c r="F183" i="38" s="1"/>
  <c r="I37" i="37"/>
  <c r="F184" i="38" s="1"/>
  <c r="H37" i="37"/>
  <c r="F185" i="38" s="1"/>
  <c r="B39" i="7"/>
  <c r="E39" i="32" s="1"/>
  <c r="B35" i="39"/>
  <c r="J17" i="37"/>
  <c r="C181" i="38" s="1"/>
  <c r="C179" i="38"/>
  <c r="B175" i="38"/>
  <c r="I17" i="37"/>
  <c r="C184" i="38" s="1"/>
  <c r="L17" i="37"/>
  <c r="C183" i="38" s="1"/>
  <c r="H17" i="37"/>
  <c r="C185" i="38" s="1"/>
  <c r="B168" i="34"/>
  <c r="B15" i="39"/>
  <c r="B167" i="34"/>
  <c r="B14" i="39"/>
  <c r="B166" i="34"/>
  <c r="G34" i="35" s="1"/>
  <c r="B13" i="39"/>
  <c r="I10" i="37"/>
  <c r="C92" i="38" s="1"/>
  <c r="C87" i="38"/>
  <c r="J10" i="37"/>
  <c r="C89" i="38" s="1"/>
  <c r="L10" i="37"/>
  <c r="C91" i="38" s="1"/>
  <c r="I6" i="37"/>
  <c r="C40" i="38" s="1"/>
  <c r="C35" i="38"/>
  <c r="B31" i="38"/>
  <c r="B57" i="38" s="1"/>
  <c r="B83" i="38" s="1"/>
  <c r="J6" i="37"/>
  <c r="C37" i="38" s="1"/>
  <c r="E26" i="15"/>
  <c r="F26" i="15" s="1"/>
  <c r="D26" i="37"/>
  <c r="F31" i="38" s="1"/>
  <c r="E24" i="15"/>
  <c r="F24" i="15" s="1"/>
  <c r="D24" i="37"/>
  <c r="F5" i="38" s="1"/>
  <c r="A26" i="7"/>
  <c r="D23" i="37"/>
  <c r="C255" i="38" s="1"/>
  <c r="E22" i="15"/>
  <c r="F22" i="15" s="1"/>
  <c r="D22" i="37"/>
  <c r="C242" i="38" s="1"/>
  <c r="E20" i="15"/>
  <c r="F20" i="15" s="1"/>
  <c r="D20" i="37"/>
  <c r="C216" i="38" s="1"/>
  <c r="A22" i="7"/>
  <c r="D19" i="37"/>
  <c r="C201" i="38" s="1"/>
  <c r="E18" i="15"/>
  <c r="F18" i="15" s="1"/>
  <c r="D18" i="37"/>
  <c r="C188" i="38" s="1"/>
  <c r="A19" i="7"/>
  <c r="D16" i="37"/>
  <c r="C162" i="38" s="1"/>
  <c r="A30" i="7"/>
  <c r="D27" i="37"/>
  <c r="F44" i="38" s="1"/>
  <c r="A18" i="7"/>
  <c r="D15" i="37"/>
  <c r="C148" i="38" s="1"/>
  <c r="A17" i="7"/>
  <c r="D14" i="37"/>
  <c r="C135" i="38" s="1"/>
  <c r="E12" i="15"/>
  <c r="F12" i="15" s="1"/>
  <c r="D12" i="37"/>
  <c r="C109" i="38" s="1"/>
  <c r="B18" i="38"/>
  <c r="B44" i="38" s="1"/>
  <c r="B70" i="38" s="1"/>
  <c r="B96" i="38" s="1"/>
  <c r="C22" i="38"/>
  <c r="I5" i="37"/>
  <c r="C27" i="38" s="1"/>
  <c r="H4" i="39"/>
  <c r="L4" i="39" s="1"/>
  <c r="J5" i="37"/>
  <c r="H3" i="39"/>
  <c r="L3" i="39" s="1"/>
  <c r="J4" i="37"/>
  <c r="B181" i="34"/>
  <c r="B38" i="25" s="1"/>
  <c r="BI35" i="34"/>
  <c r="BI94" i="34"/>
  <c r="BM38" i="34"/>
  <c r="BK14" i="34"/>
  <c r="B37" i="7"/>
  <c r="E37" i="32" s="1"/>
  <c r="EW35" i="14"/>
  <c r="B36" i="27" s="1"/>
  <c r="B186" i="34"/>
  <c r="B43" i="25" s="1"/>
  <c r="BL2" i="34"/>
  <c r="EZ35" i="14"/>
  <c r="E36" i="27" s="1"/>
  <c r="FA35" i="14"/>
  <c r="F36" i="27" s="1"/>
  <c r="B36" i="7"/>
  <c r="D36" i="32" s="1"/>
  <c r="B185" i="34"/>
  <c r="B42" i="25" s="1"/>
  <c r="BJ2" i="34"/>
  <c r="B35" i="7"/>
  <c r="B35" i="32" s="1"/>
  <c r="B184" i="34"/>
  <c r="B41" i="25" s="1"/>
  <c r="BH2" i="34"/>
  <c r="B31" i="25"/>
  <c r="EZ36" i="14"/>
  <c r="E37" i="27" s="1"/>
  <c r="FA36" i="14"/>
  <c r="F37" i="27" s="1"/>
  <c r="B38" i="7"/>
  <c r="A38" i="32" s="1"/>
  <c r="B187" i="34"/>
  <c r="B44" i="25" s="1"/>
  <c r="EW36" i="14"/>
  <c r="B37" i="27" s="1"/>
  <c r="BN2" i="34"/>
  <c r="F15" i="24"/>
  <c r="F14" i="24"/>
  <c r="E42" i="1"/>
  <c r="E12" i="1"/>
  <c r="H3" i="34" s="1"/>
  <c r="E49" i="1"/>
  <c r="E45" i="1"/>
  <c r="BN3" i="34"/>
  <c r="E46" i="1"/>
  <c r="AZ3" i="34"/>
  <c r="E48" i="1"/>
  <c r="E44" i="1"/>
  <c r="E47" i="1"/>
  <c r="E43" i="1"/>
  <c r="B21" i="25"/>
  <c r="CH25" i="14"/>
  <c r="CH18" i="14"/>
  <c r="V2" i="34"/>
  <c r="H2" i="34"/>
  <c r="BF2" i="34"/>
  <c r="J2" i="34"/>
  <c r="B12" i="7"/>
  <c r="N2" i="34"/>
  <c r="B15" i="7"/>
  <c r="T2" i="34"/>
  <c r="B14" i="7"/>
  <c r="R2" i="34"/>
  <c r="B13" i="7"/>
  <c r="C13" i="32" s="1"/>
  <c r="P2" i="34"/>
  <c r="B29" i="7"/>
  <c r="AV2" i="34"/>
  <c r="B28" i="7"/>
  <c r="AT2" i="34"/>
  <c r="B27" i="7"/>
  <c r="AR2" i="34"/>
  <c r="B26" i="7"/>
  <c r="B29" i="23" s="1"/>
  <c r="F29" i="23" s="1"/>
  <c r="AP2" i="34"/>
  <c r="B25" i="7"/>
  <c r="AN2" i="34"/>
  <c r="B24" i="7"/>
  <c r="AL2" i="34"/>
  <c r="B23" i="7"/>
  <c r="AJ2" i="34"/>
  <c r="B22" i="7"/>
  <c r="AH2" i="34"/>
  <c r="B21" i="7"/>
  <c r="AF2" i="34"/>
  <c r="B20" i="7"/>
  <c r="AD2" i="34"/>
  <c r="B19" i="7"/>
  <c r="AB2" i="34"/>
  <c r="B18" i="7"/>
  <c r="Z2" i="34"/>
  <c r="B17" i="7"/>
  <c r="X2" i="34"/>
  <c r="B30" i="7"/>
  <c r="AX2" i="34"/>
  <c r="B31" i="7"/>
  <c r="AZ2" i="34"/>
  <c r="B32" i="7"/>
  <c r="BB2" i="34"/>
  <c r="B33" i="7"/>
  <c r="BD2" i="34"/>
  <c r="B34" i="7"/>
  <c r="B16" i="7"/>
  <c r="C4" i="7"/>
  <c r="B4" i="32" s="1"/>
  <c r="C14" i="15"/>
  <c r="H14" i="15" s="1"/>
  <c r="C7" i="15"/>
  <c r="H7" i="15" s="1"/>
  <c r="C10" i="15"/>
  <c r="H10" i="15" s="1"/>
  <c r="C8" i="15"/>
  <c r="H8" i="15" s="1"/>
  <c r="F12" i="24"/>
  <c r="F11" i="24"/>
  <c r="F8" i="24"/>
  <c r="F6" i="24"/>
  <c r="F13" i="24"/>
  <c r="F7" i="24"/>
  <c r="F10" i="24"/>
  <c r="F9" i="24"/>
  <c r="G4" i="7"/>
  <c r="K8" i="7" s="1"/>
  <c r="C4" i="39" s="1"/>
  <c r="H46" i="7"/>
  <c r="I46" i="7" s="1"/>
  <c r="H44" i="7"/>
  <c r="I44" i="7" s="1"/>
  <c r="H42" i="7"/>
  <c r="I42" i="7" s="1"/>
  <c r="H39" i="7"/>
  <c r="I39" i="7" s="1"/>
  <c r="H37" i="7"/>
  <c r="I37" i="7" s="1"/>
  <c r="H35" i="7"/>
  <c r="I35" i="7" s="1"/>
  <c r="H33" i="7"/>
  <c r="I33" i="7" s="1"/>
  <c r="H30" i="7"/>
  <c r="I30" i="7" s="1"/>
  <c r="H28" i="7"/>
  <c r="I28" i="7" s="1"/>
  <c r="H26" i="7"/>
  <c r="I26" i="7" s="1"/>
  <c r="H25" i="7"/>
  <c r="I25" i="7" s="1"/>
  <c r="H22" i="7"/>
  <c r="I22" i="7" s="1"/>
  <c r="H20" i="7"/>
  <c r="I20" i="7" s="1"/>
  <c r="H18" i="7"/>
  <c r="I18" i="7" s="1"/>
  <c r="H16" i="7"/>
  <c r="I16" i="7" s="1"/>
  <c r="H15" i="7"/>
  <c r="I15" i="7" s="1"/>
  <c r="H13" i="7"/>
  <c r="I13" i="7" s="1"/>
  <c r="H11" i="7"/>
  <c r="I11" i="7" s="1"/>
  <c r="Q15" i="22"/>
  <c r="AU9" i="14" s="1"/>
  <c r="F5" i="24"/>
  <c r="AU6" i="14"/>
  <c r="H45" i="7"/>
  <c r="I45" i="7" s="1"/>
  <c r="H43" i="7"/>
  <c r="I43" i="7" s="1"/>
  <c r="H41" i="7"/>
  <c r="I41" i="7" s="1"/>
  <c r="H40" i="7"/>
  <c r="I40" i="7" s="1"/>
  <c r="H38" i="7"/>
  <c r="I38" i="7" s="1"/>
  <c r="H36" i="7"/>
  <c r="I36" i="7" s="1"/>
  <c r="H34" i="7"/>
  <c r="I34" i="7" s="1"/>
  <c r="H32" i="7"/>
  <c r="I32" i="7" s="1"/>
  <c r="H31" i="7"/>
  <c r="I31" i="7" s="1"/>
  <c r="H29" i="7"/>
  <c r="I29" i="7" s="1"/>
  <c r="H27" i="7"/>
  <c r="I27" i="7" s="1"/>
  <c r="H24" i="7"/>
  <c r="I24" i="7" s="1"/>
  <c r="H23" i="7"/>
  <c r="I23" i="7" s="1"/>
  <c r="H21" i="7"/>
  <c r="I21" i="7" s="1"/>
  <c r="H19" i="7"/>
  <c r="I19" i="7" s="1"/>
  <c r="H17" i="7"/>
  <c r="I17" i="7" s="1"/>
  <c r="H14" i="7"/>
  <c r="I14" i="7" s="1"/>
  <c r="H12" i="7"/>
  <c r="I12" i="7" s="1"/>
  <c r="D4" i="7"/>
  <c r="H10" i="7"/>
  <c r="I10" i="7" s="1"/>
  <c r="H9" i="7"/>
  <c r="I9" i="7" s="1"/>
  <c r="H8" i="7"/>
  <c r="I8" i="7" s="1"/>
  <c r="E4" i="7"/>
  <c r="D4" i="32" s="1"/>
  <c r="H7" i="7"/>
  <c r="I7" i="7" s="1"/>
  <c r="B45" i="32"/>
  <c r="A45" i="32"/>
  <c r="D46" i="32"/>
  <c r="B42" i="32"/>
  <c r="C42" i="32"/>
  <c r="B41" i="32"/>
  <c r="D13" i="37"/>
  <c r="C122" i="38" s="1"/>
  <c r="B38" i="6"/>
  <c r="C38" i="6" s="1"/>
  <c r="Z38" i="32" s="1"/>
  <c r="B43" i="6"/>
  <c r="C43" i="6" s="1"/>
  <c r="Z43" i="32" s="1"/>
  <c r="N3" i="7"/>
  <c r="X2" i="14"/>
  <c r="M3" i="7"/>
  <c r="O2" i="7" s="1"/>
  <c r="T2" i="14"/>
  <c r="Z3" i="34"/>
  <c r="AH3" i="34"/>
  <c r="AP3" i="34"/>
  <c r="AX3" i="34"/>
  <c r="X3" i="34"/>
  <c r="BD3" i="34"/>
  <c r="AJ3" i="34"/>
  <c r="AR3" i="34"/>
  <c r="AF3" i="34"/>
  <c r="E10" i="1"/>
  <c r="D3" i="34" s="1"/>
  <c r="BB3" i="34"/>
  <c r="BF3" i="34"/>
  <c r="AD3" i="34"/>
  <c r="AT3" i="34"/>
  <c r="AL3" i="34"/>
  <c r="L3" i="34"/>
  <c r="V3" i="34"/>
  <c r="AV3" i="34"/>
  <c r="AN3" i="34"/>
  <c r="P3" i="34"/>
  <c r="AB3" i="34"/>
  <c r="T3" i="34"/>
  <c r="R3" i="34"/>
  <c r="E11" i="1"/>
  <c r="F3" i="34" s="1"/>
  <c r="A25" i="7"/>
  <c r="A29" i="7"/>
  <c r="A21" i="7"/>
  <c r="E6" i="6"/>
  <c r="C29" i="35" s="1"/>
  <c r="A9" i="7"/>
  <c r="A28" i="7"/>
  <c r="A24" i="7"/>
  <c r="A20" i="7"/>
  <c r="H41" i="32"/>
  <c r="A27" i="7"/>
  <c r="A23" i="7"/>
  <c r="A15" i="7"/>
  <c r="EZ15" i="14"/>
  <c r="E16" i="27" s="1"/>
  <c r="D42" i="37"/>
  <c r="F242" i="38" s="1"/>
  <c r="D40" i="37"/>
  <c r="F216" i="38" s="1"/>
  <c r="D39" i="37"/>
  <c r="F201" i="38" s="1"/>
  <c r="D38" i="37"/>
  <c r="F188" i="38" s="1"/>
  <c r="D37" i="37"/>
  <c r="F175" i="38" s="1"/>
  <c r="D36" i="37"/>
  <c r="F162" i="38" s="1"/>
  <c r="D35" i="37"/>
  <c r="F148" i="38" s="1"/>
  <c r="D34" i="37"/>
  <c r="F135" i="38" s="1"/>
  <c r="D33" i="37"/>
  <c r="F122" i="38" s="1"/>
  <c r="D32" i="37"/>
  <c r="F109" i="38" s="1"/>
  <c r="D31" i="37"/>
  <c r="F96" i="38" s="1"/>
  <c r="D30" i="37"/>
  <c r="F83" i="38" s="1"/>
  <c r="D28" i="37"/>
  <c r="F57" i="38" s="1"/>
  <c r="G43" i="6"/>
  <c r="AD43" i="32" s="1"/>
  <c r="G42" i="6"/>
  <c r="G36" i="6"/>
  <c r="AD36" i="32" s="1"/>
  <c r="G30" i="6"/>
  <c r="AD30" i="32" s="1"/>
  <c r="G22" i="6"/>
  <c r="AD22" i="32" s="1"/>
  <c r="G16" i="6"/>
  <c r="G6" i="6"/>
  <c r="AD6" i="32" s="1"/>
  <c r="B10" i="15"/>
  <c r="G40" i="6"/>
  <c r="G33" i="6"/>
  <c r="AD33" i="32" s="1"/>
  <c r="G31" i="6"/>
  <c r="AD31" i="32" s="1"/>
  <c r="G28" i="6"/>
  <c r="AD28" i="32" s="1"/>
  <c r="G25" i="6"/>
  <c r="G23" i="6"/>
  <c r="G20" i="6"/>
  <c r="AD20" i="32" s="1"/>
  <c r="G14" i="6"/>
  <c r="AD14" i="32" s="1"/>
  <c r="B14" i="15"/>
  <c r="G37" i="6"/>
  <c r="G35" i="6"/>
  <c r="G34" i="6"/>
  <c r="AD34" i="32" s="1"/>
  <c r="G26" i="6"/>
  <c r="G17" i="6"/>
  <c r="AD17" i="32" s="1"/>
  <c r="G15" i="6"/>
  <c r="G12" i="6"/>
  <c r="AD12" i="32" s="1"/>
  <c r="B18" i="15"/>
  <c r="G41" i="6"/>
  <c r="G39" i="6"/>
  <c r="AD39" i="32" s="1"/>
  <c r="G38" i="6"/>
  <c r="AD38" i="32" s="1"/>
  <c r="G32" i="6"/>
  <c r="G29" i="6"/>
  <c r="G27" i="6"/>
  <c r="AD27" i="32" s="1"/>
  <c r="G24" i="6"/>
  <c r="G21" i="6"/>
  <c r="G19" i="6"/>
  <c r="AD19" i="32" s="1"/>
  <c r="G18" i="6"/>
  <c r="AD18" i="32" s="1"/>
  <c r="B10" i="7"/>
  <c r="E10" i="32" s="1"/>
  <c r="EW8" i="14"/>
  <c r="B7" i="15"/>
  <c r="J3" i="34"/>
  <c r="N3" i="34"/>
  <c r="AF16" i="14"/>
  <c r="AJ16" i="14" s="1"/>
  <c r="AF12" i="14"/>
  <c r="AJ12" i="14" s="1"/>
  <c r="AF35" i="14"/>
  <c r="AJ35" i="14" s="1"/>
  <c r="AF31" i="14"/>
  <c r="AJ31" i="14" s="1"/>
  <c r="AF27" i="14"/>
  <c r="AJ27" i="14" s="1"/>
  <c r="AF23" i="14"/>
  <c r="AJ23" i="14" s="1"/>
  <c r="B43" i="15"/>
  <c r="B41" i="15"/>
  <c r="B39" i="15"/>
  <c r="B37" i="15"/>
  <c r="B35" i="15"/>
  <c r="B33" i="15"/>
  <c r="B31" i="15"/>
  <c r="B29" i="15"/>
  <c r="B27" i="15"/>
  <c r="B25" i="15"/>
  <c r="B23" i="15"/>
  <c r="B21" i="15"/>
  <c r="B19" i="15"/>
  <c r="B17" i="15"/>
  <c r="B15" i="15"/>
  <c r="B13" i="15"/>
  <c r="B11" i="15"/>
  <c r="B9" i="15"/>
  <c r="AF17" i="14"/>
  <c r="AF13" i="14"/>
  <c r="AF32" i="14"/>
  <c r="AF28" i="14"/>
  <c r="AF24" i="14"/>
  <c r="AF20" i="14"/>
  <c r="AJ20" i="14" s="1"/>
  <c r="C43" i="15"/>
  <c r="H43" i="15" s="1"/>
  <c r="C41" i="15"/>
  <c r="H41" i="15" s="1"/>
  <c r="C39" i="15"/>
  <c r="H39" i="15" s="1"/>
  <c r="C37" i="15"/>
  <c r="H37" i="15" s="1"/>
  <c r="C35" i="15"/>
  <c r="H35" i="15" s="1"/>
  <c r="C33" i="15"/>
  <c r="H33" i="15" s="1"/>
  <c r="C31" i="15"/>
  <c r="H31" i="15" s="1"/>
  <c r="C29" i="15"/>
  <c r="H29" i="15" s="1"/>
  <c r="C27" i="15"/>
  <c r="H27" i="15" s="1"/>
  <c r="C25" i="15"/>
  <c r="H25" i="15" s="1"/>
  <c r="C23" i="15"/>
  <c r="H23" i="15" s="1"/>
  <c r="C21" i="15"/>
  <c r="H21" i="15" s="1"/>
  <c r="C19" i="15"/>
  <c r="H19" i="15" s="1"/>
  <c r="C17" i="15"/>
  <c r="H17" i="15" s="1"/>
  <c r="C15" i="15"/>
  <c r="H15" i="15" s="1"/>
  <c r="C13" i="15"/>
  <c r="H13" i="15" s="1"/>
  <c r="C11" i="15"/>
  <c r="H11" i="15" s="1"/>
  <c r="C9" i="15"/>
  <c r="H9" i="15" s="1"/>
  <c r="C5" i="15"/>
  <c r="H5" i="15" s="1"/>
  <c r="FA5" i="14"/>
  <c r="F6" i="27" s="1"/>
  <c r="FA34" i="14"/>
  <c r="F35" i="27" s="1"/>
  <c r="EW34" i="14"/>
  <c r="FA32" i="14"/>
  <c r="F33" i="27" s="1"/>
  <c r="EW32" i="14"/>
  <c r="FA30" i="14"/>
  <c r="F31" i="27" s="1"/>
  <c r="EW30" i="14"/>
  <c r="FA28" i="14"/>
  <c r="F29" i="27" s="1"/>
  <c r="EW28" i="14"/>
  <c r="FA26" i="14"/>
  <c r="F27" i="27" s="1"/>
  <c r="EW26" i="14"/>
  <c r="FA24" i="14"/>
  <c r="F25" i="27" s="1"/>
  <c r="EW24" i="14"/>
  <c r="FA22" i="14"/>
  <c r="F23" i="27" s="1"/>
  <c r="EW22" i="14"/>
  <c r="FA20" i="14"/>
  <c r="F21" i="27" s="1"/>
  <c r="EW20" i="14"/>
  <c r="FA18" i="14"/>
  <c r="F19" i="27" s="1"/>
  <c r="EW18" i="14"/>
  <c r="FA16" i="14"/>
  <c r="F17" i="27" s="1"/>
  <c r="EW16" i="14"/>
  <c r="EW14" i="14"/>
  <c r="EW12" i="14"/>
  <c r="EW10" i="14"/>
  <c r="AF18" i="14"/>
  <c r="AJ18" i="14" s="1"/>
  <c r="AF14" i="14"/>
  <c r="AF10" i="14"/>
  <c r="AF33" i="14"/>
  <c r="AJ33" i="14" s="1"/>
  <c r="AF29" i="14"/>
  <c r="AJ29" i="14" s="1"/>
  <c r="AF25" i="14"/>
  <c r="AF21" i="14"/>
  <c r="B42" i="15"/>
  <c r="B40" i="15"/>
  <c r="B38" i="15"/>
  <c r="B36" i="15"/>
  <c r="B34" i="15"/>
  <c r="B32" i="15"/>
  <c r="B30" i="15"/>
  <c r="B28" i="15"/>
  <c r="B26" i="15"/>
  <c r="B24" i="15"/>
  <c r="L24" i="32" s="1"/>
  <c r="B22" i="15"/>
  <c r="B20" i="15"/>
  <c r="B16" i="15"/>
  <c r="B12" i="15"/>
  <c r="AF19" i="14"/>
  <c r="AJ19" i="14" s="1"/>
  <c r="AF15" i="14"/>
  <c r="AJ15" i="14" s="1"/>
  <c r="AF11" i="14"/>
  <c r="AJ11" i="14" s="1"/>
  <c r="AF34" i="14"/>
  <c r="AF30" i="14"/>
  <c r="AF26" i="14"/>
  <c r="AF22" i="14"/>
  <c r="C42" i="15"/>
  <c r="H42" i="15" s="1"/>
  <c r="C40" i="15"/>
  <c r="H40" i="15" s="1"/>
  <c r="C38" i="15"/>
  <c r="H38" i="15" s="1"/>
  <c r="C36" i="15"/>
  <c r="H36" i="15" s="1"/>
  <c r="C34" i="15"/>
  <c r="H34" i="15" s="1"/>
  <c r="C32" i="15"/>
  <c r="H32" i="15" s="1"/>
  <c r="C30" i="15"/>
  <c r="H30" i="15" s="1"/>
  <c r="C28" i="15"/>
  <c r="H28" i="15" s="1"/>
  <c r="C26" i="15"/>
  <c r="H26" i="15" s="1"/>
  <c r="C24" i="15"/>
  <c r="H24" i="15" s="1"/>
  <c r="C22" i="15"/>
  <c r="H22" i="15" s="1"/>
  <c r="C20" i="15"/>
  <c r="H20" i="15" s="1"/>
  <c r="C18" i="15"/>
  <c r="H18" i="15" s="1"/>
  <c r="C16" i="15"/>
  <c r="H16" i="15" s="1"/>
  <c r="C12" i="15"/>
  <c r="H12" i="15" s="1"/>
  <c r="C6" i="15"/>
  <c r="H6" i="15" s="1"/>
  <c r="FA33" i="14"/>
  <c r="F34" i="27" s="1"/>
  <c r="EW33" i="14"/>
  <c r="FA31" i="14"/>
  <c r="F32" i="27" s="1"/>
  <c r="EW31" i="14"/>
  <c r="FA29" i="14"/>
  <c r="F30" i="27" s="1"/>
  <c r="EW29" i="14"/>
  <c r="FA27" i="14"/>
  <c r="F28" i="27" s="1"/>
  <c r="EW27" i="14"/>
  <c r="FA25" i="14"/>
  <c r="F26" i="27" s="1"/>
  <c r="EW25" i="14"/>
  <c r="FA23" i="14"/>
  <c r="F24" i="27" s="1"/>
  <c r="EW23" i="14"/>
  <c r="FA21" i="14"/>
  <c r="F22" i="27" s="1"/>
  <c r="EW21" i="14"/>
  <c r="FA19" i="14"/>
  <c r="F20" i="27" s="1"/>
  <c r="EW19" i="14"/>
  <c r="FA17" i="14"/>
  <c r="F18" i="27" s="1"/>
  <c r="EW17" i="14"/>
  <c r="FA15" i="14"/>
  <c r="F16" i="27" s="1"/>
  <c r="EW15" i="14"/>
  <c r="FA13" i="14"/>
  <c r="F14" i="27" s="1"/>
  <c r="EW13" i="14"/>
  <c r="EW11" i="14"/>
  <c r="FA7" i="14"/>
  <c r="F8" i="27" s="1"/>
  <c r="E16" i="15"/>
  <c r="F16" i="15" s="1"/>
  <c r="E6" i="15"/>
  <c r="E42" i="6"/>
  <c r="AB42" i="32" s="1"/>
  <c r="E40" i="6"/>
  <c r="AB40" i="32" s="1"/>
  <c r="E38" i="6"/>
  <c r="AB38" i="32" s="1"/>
  <c r="E36" i="6"/>
  <c r="AB36" i="32" s="1"/>
  <c r="E14" i="15"/>
  <c r="F14" i="15" s="1"/>
  <c r="G4" i="6"/>
  <c r="AD4" i="32" s="1"/>
  <c r="O3" i="4"/>
  <c r="M3" i="4"/>
  <c r="E27" i="15"/>
  <c r="F27" i="15" s="1"/>
  <c r="E25" i="15"/>
  <c r="F25" i="15" s="1"/>
  <c r="E23" i="15"/>
  <c r="F23" i="15" s="1"/>
  <c r="E21" i="15"/>
  <c r="F21" i="15" s="1"/>
  <c r="E19" i="15"/>
  <c r="F19" i="15" s="1"/>
  <c r="E17" i="15"/>
  <c r="F17" i="15" s="1"/>
  <c r="E15" i="15"/>
  <c r="F15" i="15" s="1"/>
  <c r="E43" i="6"/>
  <c r="AB43" i="32" s="1"/>
  <c r="E41" i="6"/>
  <c r="AB41" i="32" s="1"/>
  <c r="E39" i="6"/>
  <c r="AB39" i="32" s="1"/>
  <c r="E37" i="6"/>
  <c r="AB37" i="32" s="1"/>
  <c r="F6" i="15" l="1"/>
  <c r="R7" i="34"/>
  <c r="R9" i="34"/>
  <c r="R11" i="34"/>
  <c r="R13" i="34"/>
  <c r="R15" i="34"/>
  <c r="R17" i="34"/>
  <c r="R19" i="34"/>
  <c r="R21" i="34"/>
  <c r="R23" i="34"/>
  <c r="R25" i="34"/>
  <c r="R27" i="34"/>
  <c r="R29" i="34"/>
  <c r="R31" i="34"/>
  <c r="R33" i="34"/>
  <c r="R35" i="34"/>
  <c r="R37" i="34"/>
  <c r="R39" i="34"/>
  <c r="R41" i="34"/>
  <c r="R43" i="34"/>
  <c r="R45" i="34"/>
  <c r="R47" i="34"/>
  <c r="R49" i="34"/>
  <c r="R51" i="34"/>
  <c r="R53" i="34"/>
  <c r="R55" i="34"/>
  <c r="R57" i="34"/>
  <c r="R59" i="34"/>
  <c r="R61" i="34"/>
  <c r="R63" i="34"/>
  <c r="R65" i="34"/>
  <c r="R67" i="34"/>
  <c r="R69" i="34"/>
  <c r="R71" i="34"/>
  <c r="R73" i="34"/>
  <c r="R75" i="34"/>
  <c r="R77" i="34"/>
  <c r="R79" i="34"/>
  <c r="R81" i="34"/>
  <c r="R83" i="34"/>
  <c r="R85" i="34"/>
  <c r="R87" i="34"/>
  <c r="R89" i="34"/>
  <c r="R91" i="34"/>
  <c r="R93" i="34"/>
  <c r="R95" i="34"/>
  <c r="R97" i="34"/>
  <c r="R99" i="34"/>
  <c r="R101" i="34"/>
  <c r="R103" i="34"/>
  <c r="R105" i="34"/>
  <c r="R6" i="34"/>
  <c r="R8" i="34"/>
  <c r="R10" i="34"/>
  <c r="R12" i="34"/>
  <c r="R14" i="34"/>
  <c r="R16" i="34"/>
  <c r="R18" i="34"/>
  <c r="R20" i="34"/>
  <c r="R22" i="34"/>
  <c r="R24" i="34"/>
  <c r="R26" i="34"/>
  <c r="R28" i="34"/>
  <c r="R30" i="34"/>
  <c r="R32" i="34"/>
  <c r="R34" i="34"/>
  <c r="R36" i="34"/>
  <c r="R38" i="34"/>
  <c r="R40" i="34"/>
  <c r="R42" i="34"/>
  <c r="R44" i="34"/>
  <c r="R46" i="34"/>
  <c r="R48" i="34"/>
  <c r="R50" i="34"/>
  <c r="R52" i="34"/>
  <c r="R54" i="34"/>
  <c r="R56" i="34"/>
  <c r="R58" i="34"/>
  <c r="R60" i="34"/>
  <c r="R62" i="34"/>
  <c r="R64" i="34"/>
  <c r="R66" i="34"/>
  <c r="R68" i="34"/>
  <c r="R70" i="34"/>
  <c r="R72" i="34"/>
  <c r="R74" i="34"/>
  <c r="R78" i="34"/>
  <c r="R82" i="34"/>
  <c r="R86" i="34"/>
  <c r="R90" i="34"/>
  <c r="R94" i="34"/>
  <c r="R98" i="34"/>
  <c r="R102" i="34"/>
  <c r="R76" i="34"/>
  <c r="R80" i="34"/>
  <c r="R84" i="34"/>
  <c r="R88" i="34"/>
  <c r="R92" i="34"/>
  <c r="R96" i="34"/>
  <c r="R100" i="34"/>
  <c r="R104" i="34"/>
  <c r="G32" i="35"/>
  <c r="G31" i="35"/>
  <c r="BI16" i="34"/>
  <c r="BM85" i="34"/>
  <c r="BM14" i="34"/>
  <c r="BK77" i="34"/>
  <c r="L11" i="37"/>
  <c r="C104" i="38" s="1"/>
  <c r="H11" i="37"/>
  <c r="C106" i="38" s="1"/>
  <c r="H30" i="35"/>
  <c r="J30" i="35" s="1"/>
  <c r="H10" i="37"/>
  <c r="C93" i="38" s="1"/>
  <c r="H9" i="37"/>
  <c r="C80" i="38" s="1"/>
  <c r="L8" i="37"/>
  <c r="C65" i="38" s="1"/>
  <c r="H8" i="37"/>
  <c r="C67" i="38" s="1"/>
  <c r="H7" i="37"/>
  <c r="C54" i="38" s="1"/>
  <c r="H6" i="37"/>
  <c r="C41" i="38" s="1"/>
  <c r="L6" i="37"/>
  <c r="C39" i="38" s="1"/>
  <c r="J6" i="34"/>
  <c r="J8" i="34"/>
  <c r="J10" i="34"/>
  <c r="J12" i="34"/>
  <c r="J14" i="34"/>
  <c r="J16" i="34"/>
  <c r="J18" i="34"/>
  <c r="J20" i="34"/>
  <c r="J22" i="34"/>
  <c r="J24" i="34"/>
  <c r="J26" i="34"/>
  <c r="J28" i="34"/>
  <c r="J30" i="34"/>
  <c r="J32" i="34"/>
  <c r="J34" i="34"/>
  <c r="J36" i="34"/>
  <c r="J38" i="34"/>
  <c r="J40" i="34"/>
  <c r="J42" i="34"/>
  <c r="J44" i="34"/>
  <c r="J46" i="34"/>
  <c r="J48" i="34"/>
  <c r="J50" i="34"/>
  <c r="J52" i="34"/>
  <c r="J54" i="34"/>
  <c r="J56" i="34"/>
  <c r="J58" i="34"/>
  <c r="J60" i="34"/>
  <c r="J62" i="34"/>
  <c r="J64" i="34"/>
  <c r="J66" i="34"/>
  <c r="J68" i="34"/>
  <c r="J70" i="34"/>
  <c r="J72" i="34"/>
  <c r="J74" i="34"/>
  <c r="J76" i="34"/>
  <c r="J78" i="34"/>
  <c r="J80" i="34"/>
  <c r="J82" i="34"/>
  <c r="J84" i="34"/>
  <c r="J86" i="34"/>
  <c r="J88" i="34"/>
  <c r="J90" i="34"/>
  <c r="J92" i="34"/>
  <c r="J94" i="34"/>
  <c r="J96" i="34"/>
  <c r="J98" i="34"/>
  <c r="J100" i="34"/>
  <c r="J102" i="34"/>
  <c r="J104" i="34"/>
  <c r="J5" i="34"/>
  <c r="J7" i="34"/>
  <c r="J9" i="34"/>
  <c r="J11" i="34"/>
  <c r="J13" i="34"/>
  <c r="J15" i="34"/>
  <c r="J17" i="34"/>
  <c r="J19" i="34"/>
  <c r="J21" i="34"/>
  <c r="J23" i="34"/>
  <c r="J25" i="34"/>
  <c r="J27" i="34"/>
  <c r="J29" i="34"/>
  <c r="J31" i="34"/>
  <c r="J33" i="34"/>
  <c r="J35" i="34"/>
  <c r="J37" i="34"/>
  <c r="J39" i="34"/>
  <c r="J41" i="34"/>
  <c r="J43" i="34"/>
  <c r="J45" i="34"/>
  <c r="J47" i="34"/>
  <c r="J49" i="34"/>
  <c r="J51" i="34"/>
  <c r="J53" i="34"/>
  <c r="J55" i="34"/>
  <c r="J57" i="34"/>
  <c r="J59" i="34"/>
  <c r="J61" i="34"/>
  <c r="J63" i="34"/>
  <c r="J65" i="34"/>
  <c r="J67" i="34"/>
  <c r="J69" i="34"/>
  <c r="J71" i="34"/>
  <c r="J73" i="34"/>
  <c r="J75" i="34"/>
  <c r="J77" i="34"/>
  <c r="J79" i="34"/>
  <c r="J81" i="34"/>
  <c r="J83" i="34"/>
  <c r="J85" i="34"/>
  <c r="J87" i="34"/>
  <c r="J89" i="34"/>
  <c r="J91" i="34"/>
  <c r="J93" i="34"/>
  <c r="J95" i="34"/>
  <c r="J97" i="34"/>
  <c r="J99" i="34"/>
  <c r="J101" i="34"/>
  <c r="J103" i="34"/>
  <c r="J105" i="34"/>
  <c r="R5" i="34"/>
  <c r="AN7" i="34"/>
  <c r="AN9" i="34"/>
  <c r="AN11" i="34"/>
  <c r="AN13" i="34"/>
  <c r="AN15" i="34"/>
  <c r="AN17" i="34"/>
  <c r="AN19" i="34"/>
  <c r="AN21" i="34"/>
  <c r="AN23" i="34"/>
  <c r="AN25" i="34"/>
  <c r="AN27" i="34"/>
  <c r="AN29" i="34"/>
  <c r="AN31" i="34"/>
  <c r="AN33" i="34"/>
  <c r="AN35" i="34"/>
  <c r="AN37" i="34"/>
  <c r="AN39" i="34"/>
  <c r="AN41" i="34"/>
  <c r="AN43" i="34"/>
  <c r="AN45" i="34"/>
  <c r="AN47" i="34"/>
  <c r="AN49" i="34"/>
  <c r="AN51" i="34"/>
  <c r="AN53" i="34"/>
  <c r="AN55" i="34"/>
  <c r="AN57" i="34"/>
  <c r="AN59" i="34"/>
  <c r="AN61" i="34"/>
  <c r="AN63" i="34"/>
  <c r="AN65" i="34"/>
  <c r="AN67" i="34"/>
  <c r="AN69" i="34"/>
  <c r="AN71" i="34"/>
  <c r="AN73" i="34"/>
  <c r="AN75" i="34"/>
  <c r="AN77" i="34"/>
  <c r="AN79" i="34"/>
  <c r="AN81" i="34"/>
  <c r="AN83" i="34"/>
  <c r="AN85" i="34"/>
  <c r="AN87" i="34"/>
  <c r="AN89" i="34"/>
  <c r="AN91" i="34"/>
  <c r="AN93" i="34"/>
  <c r="AN95" i="34"/>
  <c r="AN97" i="34"/>
  <c r="AN99" i="34"/>
  <c r="AN101" i="34"/>
  <c r="AN103" i="34"/>
  <c r="AN105" i="34"/>
  <c r="AN8" i="34"/>
  <c r="AN12" i="34"/>
  <c r="AN16" i="34"/>
  <c r="AN20" i="34"/>
  <c r="AN24" i="34"/>
  <c r="AN28" i="34"/>
  <c r="AN32" i="34"/>
  <c r="AN36" i="34"/>
  <c r="AN40" i="34"/>
  <c r="AN44" i="34"/>
  <c r="AN48" i="34"/>
  <c r="AN52" i="34"/>
  <c r="AN56" i="34"/>
  <c r="AN60" i="34"/>
  <c r="AN64" i="34"/>
  <c r="AN68" i="34"/>
  <c r="AN72" i="34"/>
  <c r="AN76" i="34"/>
  <c r="AN80" i="34"/>
  <c r="AN84" i="34"/>
  <c r="AN88" i="34"/>
  <c r="AN92" i="34"/>
  <c r="AN96" i="34"/>
  <c r="AN100" i="34"/>
  <c r="AN104" i="34"/>
  <c r="AN10" i="34"/>
  <c r="AN18" i="34"/>
  <c r="AN26" i="34"/>
  <c r="AN34" i="34"/>
  <c r="AN42" i="34"/>
  <c r="AN50" i="34"/>
  <c r="AN58" i="34"/>
  <c r="AN66" i="34"/>
  <c r="AN74" i="34"/>
  <c r="AN82" i="34"/>
  <c r="AN90" i="34"/>
  <c r="AN98" i="34"/>
  <c r="AN5" i="34"/>
  <c r="AN6" i="34"/>
  <c r="AN14" i="34"/>
  <c r="AN22" i="34"/>
  <c r="AN30" i="34"/>
  <c r="AN38" i="34"/>
  <c r="AN46" i="34"/>
  <c r="AN54" i="34"/>
  <c r="AN62" i="34"/>
  <c r="AN70" i="34"/>
  <c r="AN78" i="34"/>
  <c r="AN86" i="34"/>
  <c r="AN94" i="34"/>
  <c r="AN102" i="34"/>
  <c r="AL6" i="34"/>
  <c r="AL8" i="34"/>
  <c r="AL10" i="34"/>
  <c r="AL12" i="34"/>
  <c r="AL14" i="34"/>
  <c r="AL16" i="34"/>
  <c r="AL18" i="34"/>
  <c r="AL20" i="34"/>
  <c r="AL22" i="34"/>
  <c r="AL24" i="34"/>
  <c r="AL26" i="34"/>
  <c r="AL28" i="34"/>
  <c r="AL30" i="34"/>
  <c r="AL32" i="34"/>
  <c r="AL34" i="34"/>
  <c r="AL36" i="34"/>
  <c r="AL38" i="34"/>
  <c r="AL40" i="34"/>
  <c r="AL42" i="34"/>
  <c r="AL44" i="34"/>
  <c r="AL46" i="34"/>
  <c r="AL48" i="34"/>
  <c r="AL50" i="34"/>
  <c r="AL52" i="34"/>
  <c r="AL54" i="34"/>
  <c r="AL56" i="34"/>
  <c r="AL58" i="34"/>
  <c r="AL60" i="34"/>
  <c r="AL62" i="34"/>
  <c r="AL64" i="34"/>
  <c r="AL66" i="34"/>
  <c r="AL68" i="34"/>
  <c r="AL70" i="34"/>
  <c r="AL72" i="34"/>
  <c r="AL74" i="34"/>
  <c r="AL76" i="34"/>
  <c r="AL78" i="34"/>
  <c r="AL80" i="34"/>
  <c r="AL82" i="34"/>
  <c r="AL84" i="34"/>
  <c r="AL86" i="34"/>
  <c r="AL88" i="34"/>
  <c r="AL90" i="34"/>
  <c r="AL92" i="34"/>
  <c r="AL94" i="34"/>
  <c r="AL96" i="34"/>
  <c r="AL98" i="34"/>
  <c r="AL100" i="34"/>
  <c r="AL102" i="34"/>
  <c r="AL104" i="34"/>
  <c r="AL5" i="34"/>
  <c r="AL7" i="34"/>
  <c r="AL11" i="34"/>
  <c r="AL15" i="34"/>
  <c r="AL19" i="34"/>
  <c r="AL23" i="34"/>
  <c r="AL27" i="34"/>
  <c r="AL31" i="34"/>
  <c r="AL35" i="34"/>
  <c r="AL39" i="34"/>
  <c r="AL43" i="34"/>
  <c r="AL47" i="34"/>
  <c r="AL51" i="34"/>
  <c r="AL55" i="34"/>
  <c r="AL59" i="34"/>
  <c r="AL63" i="34"/>
  <c r="AL67" i="34"/>
  <c r="AL71" i="34"/>
  <c r="AL75" i="34"/>
  <c r="AL79" i="34"/>
  <c r="AL83" i="34"/>
  <c r="AL87" i="34"/>
  <c r="AL91" i="34"/>
  <c r="AL95" i="34"/>
  <c r="AL99" i="34"/>
  <c r="AL103" i="34"/>
  <c r="AL13" i="34"/>
  <c r="AL21" i="34"/>
  <c r="AL29" i="34"/>
  <c r="AL37" i="34"/>
  <c r="AL45" i="34"/>
  <c r="AL53" i="34"/>
  <c r="AL61" i="34"/>
  <c r="AL69" i="34"/>
  <c r="AL77" i="34"/>
  <c r="AL85" i="34"/>
  <c r="AL93" i="34"/>
  <c r="AL101" i="34"/>
  <c r="AL9" i="34"/>
  <c r="AL17" i="34"/>
  <c r="AL25" i="34"/>
  <c r="AL33" i="34"/>
  <c r="AL41" i="34"/>
  <c r="AL49" i="34"/>
  <c r="AL57" i="34"/>
  <c r="AL65" i="34"/>
  <c r="AL73" i="34"/>
  <c r="AL81" i="34"/>
  <c r="AL89" i="34"/>
  <c r="AL97" i="34"/>
  <c r="AL105" i="34"/>
  <c r="BB7" i="34"/>
  <c r="BB9" i="34"/>
  <c r="BB11" i="34"/>
  <c r="BB13" i="34"/>
  <c r="BB15" i="34"/>
  <c r="BB17" i="34"/>
  <c r="BB19" i="34"/>
  <c r="BB21" i="34"/>
  <c r="BB23" i="34"/>
  <c r="BB25" i="34"/>
  <c r="BB27" i="34"/>
  <c r="BB29" i="34"/>
  <c r="BB31" i="34"/>
  <c r="BB33" i="34"/>
  <c r="BB35" i="34"/>
  <c r="BB37" i="34"/>
  <c r="BB39" i="34"/>
  <c r="BB41" i="34"/>
  <c r="BB43" i="34"/>
  <c r="BB45" i="34"/>
  <c r="BB47" i="34"/>
  <c r="BB49" i="34"/>
  <c r="BB51" i="34"/>
  <c r="BB53" i="34"/>
  <c r="BB55" i="34"/>
  <c r="BB57" i="34"/>
  <c r="BB59" i="34"/>
  <c r="BB61" i="34"/>
  <c r="BB63" i="34"/>
  <c r="BB65" i="34"/>
  <c r="BB67" i="34"/>
  <c r="BB69" i="34"/>
  <c r="BB71" i="34"/>
  <c r="BB73" i="34"/>
  <c r="BB75" i="34"/>
  <c r="BB77" i="34"/>
  <c r="BB79" i="34"/>
  <c r="BB81" i="34"/>
  <c r="BB83" i="34"/>
  <c r="BB85" i="34"/>
  <c r="BB87" i="34"/>
  <c r="BB89" i="34"/>
  <c r="BB91" i="34"/>
  <c r="BB93" i="34"/>
  <c r="BB95" i="34"/>
  <c r="BB97" i="34"/>
  <c r="BB99" i="34"/>
  <c r="BB101" i="34"/>
  <c r="BB103" i="34"/>
  <c r="BB105" i="34"/>
  <c r="BB6" i="34"/>
  <c r="BB10" i="34"/>
  <c r="BB14" i="34"/>
  <c r="BB18" i="34"/>
  <c r="BB22" i="34"/>
  <c r="BB26" i="34"/>
  <c r="BB30" i="34"/>
  <c r="BB34" i="34"/>
  <c r="BB38" i="34"/>
  <c r="BB42" i="34"/>
  <c r="BB46" i="34"/>
  <c r="BB50" i="34"/>
  <c r="BB54" i="34"/>
  <c r="BB58" i="34"/>
  <c r="BB62" i="34"/>
  <c r="BB66" i="34"/>
  <c r="BB70" i="34"/>
  <c r="BB74" i="34"/>
  <c r="BB78" i="34"/>
  <c r="BB82" i="34"/>
  <c r="BB86" i="34"/>
  <c r="BB90" i="34"/>
  <c r="BB94" i="34"/>
  <c r="BB98" i="34"/>
  <c r="BB102" i="34"/>
  <c r="BB5" i="34"/>
  <c r="BB12" i="34"/>
  <c r="BB20" i="34"/>
  <c r="BB28" i="34"/>
  <c r="BB36" i="34"/>
  <c r="BB44" i="34"/>
  <c r="BB52" i="34"/>
  <c r="BB60" i="34"/>
  <c r="BB68" i="34"/>
  <c r="BB76" i="34"/>
  <c r="BB84" i="34"/>
  <c r="BB92" i="34"/>
  <c r="BB100" i="34"/>
  <c r="BB8" i="34"/>
  <c r="BB16" i="34"/>
  <c r="BB24" i="34"/>
  <c r="BB32" i="34"/>
  <c r="BB40" i="34"/>
  <c r="BB48" i="34"/>
  <c r="BB56" i="34"/>
  <c r="BB64" i="34"/>
  <c r="BB72" i="34"/>
  <c r="BB80" i="34"/>
  <c r="BB88" i="34"/>
  <c r="BB96" i="34"/>
  <c r="BB104" i="34"/>
  <c r="X6" i="34"/>
  <c r="X8" i="34"/>
  <c r="X10" i="34"/>
  <c r="X12" i="34"/>
  <c r="X14" i="34"/>
  <c r="X16" i="34"/>
  <c r="X18" i="34"/>
  <c r="X20" i="34"/>
  <c r="X22" i="34"/>
  <c r="X24" i="34"/>
  <c r="X26" i="34"/>
  <c r="X28" i="34"/>
  <c r="X30" i="34"/>
  <c r="X32" i="34"/>
  <c r="X34" i="34"/>
  <c r="X36" i="34"/>
  <c r="X38" i="34"/>
  <c r="X40" i="34"/>
  <c r="X42" i="34"/>
  <c r="X44" i="34"/>
  <c r="X46" i="34"/>
  <c r="X48" i="34"/>
  <c r="X50" i="34"/>
  <c r="X52" i="34"/>
  <c r="X54" i="34"/>
  <c r="X56" i="34"/>
  <c r="X58" i="34"/>
  <c r="X60" i="34"/>
  <c r="X62" i="34"/>
  <c r="X64" i="34"/>
  <c r="X66" i="34"/>
  <c r="X68" i="34"/>
  <c r="X70" i="34"/>
  <c r="X72" i="34"/>
  <c r="X74" i="34"/>
  <c r="X76" i="34"/>
  <c r="X78" i="34"/>
  <c r="X80" i="34"/>
  <c r="X82" i="34"/>
  <c r="X84" i="34"/>
  <c r="X86" i="34"/>
  <c r="X88" i="34"/>
  <c r="X90" i="34"/>
  <c r="X92" i="34"/>
  <c r="X94" i="34"/>
  <c r="X96" i="34"/>
  <c r="X98" i="34"/>
  <c r="X100" i="34"/>
  <c r="X102" i="34"/>
  <c r="X104" i="34"/>
  <c r="X5" i="34"/>
  <c r="X7" i="34"/>
  <c r="X9" i="34"/>
  <c r="X11" i="34"/>
  <c r="X13" i="34"/>
  <c r="X15" i="34"/>
  <c r="X17" i="34"/>
  <c r="X19" i="34"/>
  <c r="X21" i="34"/>
  <c r="X23" i="34"/>
  <c r="X25" i="34"/>
  <c r="X27" i="34"/>
  <c r="X29" i="34"/>
  <c r="X31" i="34"/>
  <c r="X33" i="34"/>
  <c r="X35" i="34"/>
  <c r="X37" i="34"/>
  <c r="X39" i="34"/>
  <c r="X41" i="34"/>
  <c r="X43" i="34"/>
  <c r="X45" i="34"/>
  <c r="X47" i="34"/>
  <c r="X49" i="34"/>
  <c r="X51" i="34"/>
  <c r="X53" i="34"/>
  <c r="X55" i="34"/>
  <c r="X57" i="34"/>
  <c r="X59" i="34"/>
  <c r="X61" i="34"/>
  <c r="X63" i="34"/>
  <c r="X65" i="34"/>
  <c r="X67" i="34"/>
  <c r="X69" i="34"/>
  <c r="X71" i="34"/>
  <c r="X73" i="34"/>
  <c r="X75" i="34"/>
  <c r="X77" i="34"/>
  <c r="X79" i="34"/>
  <c r="X81" i="34"/>
  <c r="X83" i="34"/>
  <c r="X85" i="34"/>
  <c r="X87" i="34"/>
  <c r="X89" i="34"/>
  <c r="X91" i="34"/>
  <c r="X93" i="34"/>
  <c r="X95" i="34"/>
  <c r="X97" i="34"/>
  <c r="X99" i="34"/>
  <c r="X101" i="34"/>
  <c r="X103" i="34"/>
  <c r="X105" i="34"/>
  <c r="AZ6" i="34"/>
  <c r="AZ8" i="34"/>
  <c r="AZ10" i="34"/>
  <c r="AZ12" i="34"/>
  <c r="AZ14" i="34"/>
  <c r="AZ16" i="34"/>
  <c r="AZ18" i="34"/>
  <c r="AZ20" i="34"/>
  <c r="AZ22" i="34"/>
  <c r="AZ24" i="34"/>
  <c r="AZ26" i="34"/>
  <c r="AZ28" i="34"/>
  <c r="AZ30" i="34"/>
  <c r="AZ32" i="34"/>
  <c r="AZ34" i="34"/>
  <c r="AZ36" i="34"/>
  <c r="AZ38" i="34"/>
  <c r="AZ40" i="34"/>
  <c r="AZ42" i="34"/>
  <c r="AZ44" i="34"/>
  <c r="AZ46" i="34"/>
  <c r="AZ48" i="34"/>
  <c r="AZ50" i="34"/>
  <c r="AZ52" i="34"/>
  <c r="AZ54" i="34"/>
  <c r="AZ56" i="34"/>
  <c r="AZ58" i="34"/>
  <c r="AZ60" i="34"/>
  <c r="AZ62" i="34"/>
  <c r="AZ64" i="34"/>
  <c r="AZ66" i="34"/>
  <c r="AZ68" i="34"/>
  <c r="AZ70" i="34"/>
  <c r="AZ72" i="34"/>
  <c r="AZ74" i="34"/>
  <c r="AZ76" i="34"/>
  <c r="AZ78" i="34"/>
  <c r="AZ80" i="34"/>
  <c r="AZ82" i="34"/>
  <c r="AZ84" i="34"/>
  <c r="AZ86" i="34"/>
  <c r="AZ88" i="34"/>
  <c r="AZ90" i="34"/>
  <c r="AZ92" i="34"/>
  <c r="AZ94" i="34"/>
  <c r="AZ96" i="34"/>
  <c r="AZ98" i="34"/>
  <c r="AZ100" i="34"/>
  <c r="AZ102" i="34"/>
  <c r="AZ104" i="34"/>
  <c r="AZ5" i="34"/>
  <c r="AZ9" i="34"/>
  <c r="AZ13" i="34"/>
  <c r="AZ17" i="34"/>
  <c r="AZ21" i="34"/>
  <c r="AZ25" i="34"/>
  <c r="AZ29" i="34"/>
  <c r="AZ33" i="34"/>
  <c r="AZ37" i="34"/>
  <c r="AZ41" i="34"/>
  <c r="AZ45" i="34"/>
  <c r="AZ49" i="34"/>
  <c r="AZ53" i="34"/>
  <c r="AZ57" i="34"/>
  <c r="AZ61" i="34"/>
  <c r="AZ65" i="34"/>
  <c r="AZ69" i="34"/>
  <c r="AZ73" i="34"/>
  <c r="AZ77" i="34"/>
  <c r="AZ81" i="34"/>
  <c r="AZ85" i="34"/>
  <c r="AZ89" i="34"/>
  <c r="AZ93" i="34"/>
  <c r="AZ97" i="34"/>
  <c r="AZ101" i="34"/>
  <c r="AZ105" i="34"/>
  <c r="AZ7" i="34"/>
  <c r="AZ15" i="34"/>
  <c r="AZ23" i="34"/>
  <c r="AZ31" i="34"/>
  <c r="AZ39" i="34"/>
  <c r="AZ47" i="34"/>
  <c r="AZ55" i="34"/>
  <c r="AZ63" i="34"/>
  <c r="AZ71" i="34"/>
  <c r="AZ79" i="34"/>
  <c r="AZ87" i="34"/>
  <c r="AZ95" i="34"/>
  <c r="AZ103" i="34"/>
  <c r="AZ11" i="34"/>
  <c r="AZ19" i="34"/>
  <c r="AZ27" i="34"/>
  <c r="AZ35" i="34"/>
  <c r="AZ43" i="34"/>
  <c r="AZ51" i="34"/>
  <c r="AZ59" i="34"/>
  <c r="AZ67" i="34"/>
  <c r="AZ75" i="34"/>
  <c r="AZ83" i="34"/>
  <c r="AZ91" i="34"/>
  <c r="AZ99" i="34"/>
  <c r="AB7" i="34"/>
  <c r="AB9" i="34"/>
  <c r="AB11" i="34"/>
  <c r="AB13" i="34"/>
  <c r="AB15" i="34"/>
  <c r="AB17" i="34"/>
  <c r="AB19" i="34"/>
  <c r="AB21" i="34"/>
  <c r="AB23" i="34"/>
  <c r="AB25" i="34"/>
  <c r="AB27" i="34"/>
  <c r="AB29" i="34"/>
  <c r="AB31" i="34"/>
  <c r="AB33" i="34"/>
  <c r="AB35" i="34"/>
  <c r="AB37" i="34"/>
  <c r="AB39" i="34"/>
  <c r="AB41" i="34"/>
  <c r="AB43" i="34"/>
  <c r="AB45" i="34"/>
  <c r="AB47" i="34"/>
  <c r="AB49" i="34"/>
  <c r="AB51" i="34"/>
  <c r="AB53" i="34"/>
  <c r="AB55" i="34"/>
  <c r="AB57" i="34"/>
  <c r="AB59" i="34"/>
  <c r="AB61" i="34"/>
  <c r="AB63" i="34"/>
  <c r="AB65" i="34"/>
  <c r="AB67" i="34"/>
  <c r="AB69" i="34"/>
  <c r="AB71" i="34"/>
  <c r="AB73" i="34"/>
  <c r="AB75" i="34"/>
  <c r="AB77" i="34"/>
  <c r="AB79" i="34"/>
  <c r="AB81" i="34"/>
  <c r="AB83" i="34"/>
  <c r="AB85" i="34"/>
  <c r="AB87" i="34"/>
  <c r="AB89" i="34"/>
  <c r="AB91" i="34"/>
  <c r="AB93" i="34"/>
  <c r="AB95" i="34"/>
  <c r="AB97" i="34"/>
  <c r="AB99" i="34"/>
  <c r="AB101" i="34"/>
  <c r="AB103" i="34"/>
  <c r="AB105" i="34"/>
  <c r="AB6" i="34"/>
  <c r="AB10" i="34"/>
  <c r="AB14" i="34"/>
  <c r="AB18" i="34"/>
  <c r="AB22" i="34"/>
  <c r="AB26" i="34"/>
  <c r="AB30" i="34"/>
  <c r="AB34" i="34"/>
  <c r="AB38" i="34"/>
  <c r="AB42" i="34"/>
  <c r="AB46" i="34"/>
  <c r="AB50" i="34"/>
  <c r="AB54" i="34"/>
  <c r="AB58" i="34"/>
  <c r="AB62" i="34"/>
  <c r="AB66" i="34"/>
  <c r="AB70" i="34"/>
  <c r="AB74" i="34"/>
  <c r="AB78" i="34"/>
  <c r="AB82" i="34"/>
  <c r="AB86" i="34"/>
  <c r="AB90" i="34"/>
  <c r="AB94" i="34"/>
  <c r="AB98" i="34"/>
  <c r="AB102" i="34"/>
  <c r="AB5" i="34"/>
  <c r="AB8" i="34"/>
  <c r="AB12" i="34"/>
  <c r="AB16" i="34"/>
  <c r="AB20" i="34"/>
  <c r="AB24" i="34"/>
  <c r="AB28" i="34"/>
  <c r="AB32" i="34"/>
  <c r="AB36" i="34"/>
  <c r="AB40" i="34"/>
  <c r="AB44" i="34"/>
  <c r="AB48" i="34"/>
  <c r="AB52" i="34"/>
  <c r="AB56" i="34"/>
  <c r="AB60" i="34"/>
  <c r="AB64" i="34"/>
  <c r="AB68" i="34"/>
  <c r="AB72" i="34"/>
  <c r="AB76" i="34"/>
  <c r="AB80" i="34"/>
  <c r="AB84" i="34"/>
  <c r="AB88" i="34"/>
  <c r="AB92" i="34"/>
  <c r="AB96" i="34"/>
  <c r="AB100" i="34"/>
  <c r="AB104" i="34"/>
  <c r="V7" i="34"/>
  <c r="V9" i="34"/>
  <c r="V11" i="34"/>
  <c r="V13" i="34"/>
  <c r="V15" i="34"/>
  <c r="V17" i="34"/>
  <c r="V19" i="34"/>
  <c r="V21" i="34"/>
  <c r="V23" i="34"/>
  <c r="V25" i="34"/>
  <c r="V27" i="34"/>
  <c r="V29" i="34"/>
  <c r="V31" i="34"/>
  <c r="V33" i="34"/>
  <c r="V35" i="34"/>
  <c r="V37" i="34"/>
  <c r="V39" i="34"/>
  <c r="V41" i="34"/>
  <c r="V43" i="34"/>
  <c r="V45" i="34"/>
  <c r="V47" i="34"/>
  <c r="V49" i="34"/>
  <c r="V51" i="34"/>
  <c r="V53" i="34"/>
  <c r="V55" i="34"/>
  <c r="V57" i="34"/>
  <c r="V59" i="34"/>
  <c r="V61" i="34"/>
  <c r="V63" i="34"/>
  <c r="V65" i="34"/>
  <c r="V67" i="34"/>
  <c r="V69" i="34"/>
  <c r="V71" i="34"/>
  <c r="V73" i="34"/>
  <c r="V75" i="34"/>
  <c r="V77" i="34"/>
  <c r="V79" i="34"/>
  <c r="V81" i="34"/>
  <c r="V83" i="34"/>
  <c r="V85" i="34"/>
  <c r="V87" i="34"/>
  <c r="V89" i="34"/>
  <c r="V91" i="34"/>
  <c r="V93" i="34"/>
  <c r="V95" i="34"/>
  <c r="V97" i="34"/>
  <c r="V99" i="34"/>
  <c r="V101" i="34"/>
  <c r="V103" i="34"/>
  <c r="V105" i="34"/>
  <c r="V6" i="34"/>
  <c r="V8" i="34"/>
  <c r="V10" i="34"/>
  <c r="V12" i="34"/>
  <c r="V14" i="34"/>
  <c r="V16" i="34"/>
  <c r="V18" i="34"/>
  <c r="V20" i="34"/>
  <c r="V22" i="34"/>
  <c r="V24" i="34"/>
  <c r="V26" i="34"/>
  <c r="V28" i="34"/>
  <c r="V30" i="34"/>
  <c r="V32" i="34"/>
  <c r="V34" i="34"/>
  <c r="V36" i="34"/>
  <c r="V38" i="34"/>
  <c r="V40" i="34"/>
  <c r="V42" i="34"/>
  <c r="V44" i="34"/>
  <c r="V46" i="34"/>
  <c r="V48" i="34"/>
  <c r="V50" i="34"/>
  <c r="V52" i="34"/>
  <c r="V54" i="34"/>
  <c r="V56" i="34"/>
  <c r="V58" i="34"/>
  <c r="V60" i="34"/>
  <c r="V62" i="34"/>
  <c r="V64" i="34"/>
  <c r="V66" i="34"/>
  <c r="V68" i="34"/>
  <c r="V70" i="34"/>
  <c r="V72" i="34"/>
  <c r="V74" i="34"/>
  <c r="V76" i="34"/>
  <c r="V78" i="34"/>
  <c r="V80" i="34"/>
  <c r="V82" i="34"/>
  <c r="V84" i="34"/>
  <c r="V86" i="34"/>
  <c r="V88" i="34"/>
  <c r="V90" i="34"/>
  <c r="V92" i="34"/>
  <c r="V94" i="34"/>
  <c r="V96" i="34"/>
  <c r="V98" i="34"/>
  <c r="V100" i="34"/>
  <c r="V102" i="34"/>
  <c r="V104" i="34"/>
  <c r="V5" i="34"/>
  <c r="AD6" i="34"/>
  <c r="AD8" i="34"/>
  <c r="AD10" i="34"/>
  <c r="AD12" i="34"/>
  <c r="AD14" i="34"/>
  <c r="AD16" i="34"/>
  <c r="AD18" i="34"/>
  <c r="AD20" i="34"/>
  <c r="AD22" i="34"/>
  <c r="AD24" i="34"/>
  <c r="AD26" i="34"/>
  <c r="AD28" i="34"/>
  <c r="AD30" i="34"/>
  <c r="AD32" i="34"/>
  <c r="AD34" i="34"/>
  <c r="AD36" i="34"/>
  <c r="AD38" i="34"/>
  <c r="AD40" i="34"/>
  <c r="AD42" i="34"/>
  <c r="AD44" i="34"/>
  <c r="AD46" i="34"/>
  <c r="AD48" i="34"/>
  <c r="AD50" i="34"/>
  <c r="AD52" i="34"/>
  <c r="AD54" i="34"/>
  <c r="AD56" i="34"/>
  <c r="AD58" i="34"/>
  <c r="AD60" i="34"/>
  <c r="AD62" i="34"/>
  <c r="AD64" i="34"/>
  <c r="AD66" i="34"/>
  <c r="AD68" i="34"/>
  <c r="AD70" i="34"/>
  <c r="AD72" i="34"/>
  <c r="AD74" i="34"/>
  <c r="AD76" i="34"/>
  <c r="AD78" i="34"/>
  <c r="AD80" i="34"/>
  <c r="AD82" i="34"/>
  <c r="AD84" i="34"/>
  <c r="AD86" i="34"/>
  <c r="AD88" i="34"/>
  <c r="AD90" i="34"/>
  <c r="AD92" i="34"/>
  <c r="AD94" i="34"/>
  <c r="AD96" i="34"/>
  <c r="AD98" i="34"/>
  <c r="AD100" i="34"/>
  <c r="AD102" i="34"/>
  <c r="AD104" i="34"/>
  <c r="AD5" i="34"/>
  <c r="AD7" i="34"/>
  <c r="AD11" i="34"/>
  <c r="AD15" i="34"/>
  <c r="AD19" i="34"/>
  <c r="AD23" i="34"/>
  <c r="AD27" i="34"/>
  <c r="AD31" i="34"/>
  <c r="AD35" i="34"/>
  <c r="AD39" i="34"/>
  <c r="AD43" i="34"/>
  <c r="AD47" i="34"/>
  <c r="AD51" i="34"/>
  <c r="AD55" i="34"/>
  <c r="AD59" i="34"/>
  <c r="AD63" i="34"/>
  <c r="AD67" i="34"/>
  <c r="AD71" i="34"/>
  <c r="AD75" i="34"/>
  <c r="AD79" i="34"/>
  <c r="AD83" i="34"/>
  <c r="AD87" i="34"/>
  <c r="AD91" i="34"/>
  <c r="AD95" i="34"/>
  <c r="AD99" i="34"/>
  <c r="AD103" i="34"/>
  <c r="AD9" i="34"/>
  <c r="AD13" i="34"/>
  <c r="AD17" i="34"/>
  <c r="AD21" i="34"/>
  <c r="AD25" i="34"/>
  <c r="AD29" i="34"/>
  <c r="AD33" i="34"/>
  <c r="AD37" i="34"/>
  <c r="AD41" i="34"/>
  <c r="AD45" i="34"/>
  <c r="AD49" i="34"/>
  <c r="AD53" i="34"/>
  <c r="AD57" i="34"/>
  <c r="AD61" i="34"/>
  <c r="AD65" i="34"/>
  <c r="AD69" i="34"/>
  <c r="AD73" i="34"/>
  <c r="AD77" i="34"/>
  <c r="AD81" i="34"/>
  <c r="AD85" i="34"/>
  <c r="AD89" i="34"/>
  <c r="AD93" i="34"/>
  <c r="AD97" i="34"/>
  <c r="AD101" i="34"/>
  <c r="AD105" i="34"/>
  <c r="AF7" i="34"/>
  <c r="AF9" i="34"/>
  <c r="AF11" i="34"/>
  <c r="AF13" i="34"/>
  <c r="AF15" i="34"/>
  <c r="AF17" i="34"/>
  <c r="AF19" i="34"/>
  <c r="AF21" i="34"/>
  <c r="AF23" i="34"/>
  <c r="AF25" i="34"/>
  <c r="AF27" i="34"/>
  <c r="AF29" i="34"/>
  <c r="AF31" i="34"/>
  <c r="AF33" i="34"/>
  <c r="AF35" i="34"/>
  <c r="AF37" i="34"/>
  <c r="AF39" i="34"/>
  <c r="AF41" i="34"/>
  <c r="AF43" i="34"/>
  <c r="AF45" i="34"/>
  <c r="AF47" i="34"/>
  <c r="AF49" i="34"/>
  <c r="AF51" i="34"/>
  <c r="AF53" i="34"/>
  <c r="AF55" i="34"/>
  <c r="AF57" i="34"/>
  <c r="AF59" i="34"/>
  <c r="AF61" i="34"/>
  <c r="AF63" i="34"/>
  <c r="AF65" i="34"/>
  <c r="AF67" i="34"/>
  <c r="AF69" i="34"/>
  <c r="AF71" i="34"/>
  <c r="AF73" i="34"/>
  <c r="AF75" i="34"/>
  <c r="AF77" i="34"/>
  <c r="AF79" i="34"/>
  <c r="AF81" i="34"/>
  <c r="AF83" i="34"/>
  <c r="AF85" i="34"/>
  <c r="AF87" i="34"/>
  <c r="AF89" i="34"/>
  <c r="AF91" i="34"/>
  <c r="AF93" i="34"/>
  <c r="AF95" i="34"/>
  <c r="AF97" i="34"/>
  <c r="AF99" i="34"/>
  <c r="AF101" i="34"/>
  <c r="AF103" i="34"/>
  <c r="AF105" i="34"/>
  <c r="AF8" i="34"/>
  <c r="AF12" i="34"/>
  <c r="AF16" i="34"/>
  <c r="AF20" i="34"/>
  <c r="AF24" i="34"/>
  <c r="AF28" i="34"/>
  <c r="AF32" i="34"/>
  <c r="AF36" i="34"/>
  <c r="AF40" i="34"/>
  <c r="AF44" i="34"/>
  <c r="AF48" i="34"/>
  <c r="AF52" i="34"/>
  <c r="AF56" i="34"/>
  <c r="AF60" i="34"/>
  <c r="AF64" i="34"/>
  <c r="AF68" i="34"/>
  <c r="AF72" i="34"/>
  <c r="AF76" i="34"/>
  <c r="AF80" i="34"/>
  <c r="AF84" i="34"/>
  <c r="AF88" i="34"/>
  <c r="AF92" i="34"/>
  <c r="AF96" i="34"/>
  <c r="AF100" i="34"/>
  <c r="AF104" i="34"/>
  <c r="AF6" i="34"/>
  <c r="AF14" i="34"/>
  <c r="AF22" i="34"/>
  <c r="AF30" i="34"/>
  <c r="AF38" i="34"/>
  <c r="AF46" i="34"/>
  <c r="AF54" i="34"/>
  <c r="AF62" i="34"/>
  <c r="AF70" i="34"/>
  <c r="AF78" i="34"/>
  <c r="AF86" i="34"/>
  <c r="AF94" i="34"/>
  <c r="AF102" i="34"/>
  <c r="AF10" i="34"/>
  <c r="AF18" i="34"/>
  <c r="AF26" i="34"/>
  <c r="AF34" i="34"/>
  <c r="AF42" i="34"/>
  <c r="AF50" i="34"/>
  <c r="AF58" i="34"/>
  <c r="AF66" i="34"/>
  <c r="AF74" i="34"/>
  <c r="AF82" i="34"/>
  <c r="AF90" i="34"/>
  <c r="AF98" i="34"/>
  <c r="AF5" i="34"/>
  <c r="AJ7" i="34"/>
  <c r="AJ9" i="34"/>
  <c r="AJ11" i="34"/>
  <c r="AJ13" i="34"/>
  <c r="AJ15" i="34"/>
  <c r="AJ17" i="34"/>
  <c r="AJ19" i="34"/>
  <c r="AJ21" i="34"/>
  <c r="AJ23" i="34"/>
  <c r="AJ25" i="34"/>
  <c r="AJ27" i="34"/>
  <c r="AJ29" i="34"/>
  <c r="AJ31" i="34"/>
  <c r="AJ33" i="34"/>
  <c r="AJ35" i="34"/>
  <c r="AJ37" i="34"/>
  <c r="AJ39" i="34"/>
  <c r="AJ41" i="34"/>
  <c r="AJ43" i="34"/>
  <c r="AJ45" i="34"/>
  <c r="AJ47" i="34"/>
  <c r="AJ49" i="34"/>
  <c r="AJ51" i="34"/>
  <c r="AJ53" i="34"/>
  <c r="AJ55" i="34"/>
  <c r="AJ57" i="34"/>
  <c r="AJ59" i="34"/>
  <c r="AJ61" i="34"/>
  <c r="AJ63" i="34"/>
  <c r="AJ65" i="34"/>
  <c r="AJ67" i="34"/>
  <c r="AJ69" i="34"/>
  <c r="AJ71" i="34"/>
  <c r="AJ73" i="34"/>
  <c r="AJ75" i="34"/>
  <c r="AJ77" i="34"/>
  <c r="AJ79" i="34"/>
  <c r="AJ81" i="34"/>
  <c r="AJ83" i="34"/>
  <c r="AJ85" i="34"/>
  <c r="AJ87" i="34"/>
  <c r="AJ89" i="34"/>
  <c r="AJ91" i="34"/>
  <c r="AJ93" i="34"/>
  <c r="AJ95" i="34"/>
  <c r="AJ97" i="34"/>
  <c r="AJ99" i="34"/>
  <c r="AJ101" i="34"/>
  <c r="AJ103" i="34"/>
  <c r="AJ105" i="34"/>
  <c r="AJ6" i="34"/>
  <c r="AJ10" i="34"/>
  <c r="AJ14" i="34"/>
  <c r="AJ18" i="34"/>
  <c r="AJ22" i="34"/>
  <c r="AJ26" i="34"/>
  <c r="AJ30" i="34"/>
  <c r="AJ34" i="34"/>
  <c r="AJ38" i="34"/>
  <c r="AJ42" i="34"/>
  <c r="AJ46" i="34"/>
  <c r="AJ50" i="34"/>
  <c r="AJ54" i="34"/>
  <c r="AJ58" i="34"/>
  <c r="AJ62" i="34"/>
  <c r="AJ66" i="34"/>
  <c r="AJ70" i="34"/>
  <c r="AJ74" i="34"/>
  <c r="AJ78" i="34"/>
  <c r="AJ82" i="34"/>
  <c r="AJ86" i="34"/>
  <c r="AJ90" i="34"/>
  <c r="AJ94" i="34"/>
  <c r="AJ98" i="34"/>
  <c r="AJ102" i="34"/>
  <c r="AJ5" i="34"/>
  <c r="AJ8" i="34"/>
  <c r="AJ16" i="34"/>
  <c r="AJ24" i="34"/>
  <c r="AJ32" i="34"/>
  <c r="AJ40" i="34"/>
  <c r="AJ48" i="34"/>
  <c r="AJ56" i="34"/>
  <c r="AJ64" i="34"/>
  <c r="AJ72" i="34"/>
  <c r="AJ80" i="34"/>
  <c r="AJ88" i="34"/>
  <c r="AJ96" i="34"/>
  <c r="AJ104" i="34"/>
  <c r="AJ12" i="34"/>
  <c r="AJ20" i="34"/>
  <c r="AJ28" i="34"/>
  <c r="AJ36" i="34"/>
  <c r="AJ44" i="34"/>
  <c r="AJ52" i="34"/>
  <c r="AJ60" i="34"/>
  <c r="AJ68" i="34"/>
  <c r="AJ76" i="34"/>
  <c r="AJ84" i="34"/>
  <c r="AJ92" i="34"/>
  <c r="AJ100" i="34"/>
  <c r="AP6" i="34"/>
  <c r="AP8" i="34"/>
  <c r="AP10" i="34"/>
  <c r="AP12" i="34"/>
  <c r="AP14" i="34"/>
  <c r="AP16" i="34"/>
  <c r="AP18" i="34"/>
  <c r="AP20" i="34"/>
  <c r="AP22" i="34"/>
  <c r="AP24" i="34"/>
  <c r="AP26" i="34"/>
  <c r="AP28" i="34"/>
  <c r="AP30" i="34"/>
  <c r="AP32" i="34"/>
  <c r="AP34" i="34"/>
  <c r="AP36" i="34"/>
  <c r="AP38" i="34"/>
  <c r="AP40" i="34"/>
  <c r="AP42" i="34"/>
  <c r="AP44" i="34"/>
  <c r="AP46" i="34"/>
  <c r="AP48" i="34"/>
  <c r="AP50" i="34"/>
  <c r="AP52" i="34"/>
  <c r="AP54" i="34"/>
  <c r="AP56" i="34"/>
  <c r="AP58" i="34"/>
  <c r="AP60" i="34"/>
  <c r="AP62" i="34"/>
  <c r="AP64" i="34"/>
  <c r="AP66" i="34"/>
  <c r="AP68" i="34"/>
  <c r="AP70" i="34"/>
  <c r="AP72" i="34"/>
  <c r="AP74" i="34"/>
  <c r="AP76" i="34"/>
  <c r="AP78" i="34"/>
  <c r="AP80" i="34"/>
  <c r="AP82" i="34"/>
  <c r="AP84" i="34"/>
  <c r="AP86" i="34"/>
  <c r="AP88" i="34"/>
  <c r="AP90" i="34"/>
  <c r="AP92" i="34"/>
  <c r="AP94" i="34"/>
  <c r="AP96" i="34"/>
  <c r="AP98" i="34"/>
  <c r="AP100" i="34"/>
  <c r="AP102" i="34"/>
  <c r="AP104" i="34"/>
  <c r="AP5" i="34"/>
  <c r="AP9" i="34"/>
  <c r="AP13" i="34"/>
  <c r="AP17" i="34"/>
  <c r="AP21" i="34"/>
  <c r="AP25" i="34"/>
  <c r="AP29" i="34"/>
  <c r="AP33" i="34"/>
  <c r="AP37" i="34"/>
  <c r="AP41" i="34"/>
  <c r="AP45" i="34"/>
  <c r="AP49" i="34"/>
  <c r="AP53" i="34"/>
  <c r="AP57" i="34"/>
  <c r="AP61" i="34"/>
  <c r="AP65" i="34"/>
  <c r="AP69" i="34"/>
  <c r="AP73" i="34"/>
  <c r="AP77" i="34"/>
  <c r="AP81" i="34"/>
  <c r="AP85" i="34"/>
  <c r="AP89" i="34"/>
  <c r="AP93" i="34"/>
  <c r="AP97" i="34"/>
  <c r="AP101" i="34"/>
  <c r="AP105" i="34"/>
  <c r="AP7" i="34"/>
  <c r="AP15" i="34"/>
  <c r="AP23" i="34"/>
  <c r="AP31" i="34"/>
  <c r="AP39" i="34"/>
  <c r="AP47" i="34"/>
  <c r="AP55" i="34"/>
  <c r="AP63" i="34"/>
  <c r="AP71" i="34"/>
  <c r="AP79" i="34"/>
  <c r="AP87" i="34"/>
  <c r="AP95" i="34"/>
  <c r="AP103" i="34"/>
  <c r="AP11" i="34"/>
  <c r="AP19" i="34"/>
  <c r="AP27" i="34"/>
  <c r="AP35" i="34"/>
  <c r="AP43" i="34"/>
  <c r="AP51" i="34"/>
  <c r="AP59" i="34"/>
  <c r="AP67" i="34"/>
  <c r="AP75" i="34"/>
  <c r="AP83" i="34"/>
  <c r="AP91" i="34"/>
  <c r="AP99" i="34"/>
  <c r="Z6" i="34"/>
  <c r="Z8" i="34"/>
  <c r="Z10" i="34"/>
  <c r="Z9" i="34"/>
  <c r="Z12" i="34"/>
  <c r="Z14" i="34"/>
  <c r="Z16" i="34"/>
  <c r="Z18" i="34"/>
  <c r="Z20" i="34"/>
  <c r="Z22" i="34"/>
  <c r="Z24" i="34"/>
  <c r="Z26" i="34"/>
  <c r="Z28" i="34"/>
  <c r="Z30" i="34"/>
  <c r="Z32" i="34"/>
  <c r="Z34" i="34"/>
  <c r="Z36" i="34"/>
  <c r="Z38" i="34"/>
  <c r="Z40" i="34"/>
  <c r="Z42" i="34"/>
  <c r="Z44" i="34"/>
  <c r="Z7" i="34"/>
  <c r="Z11" i="34"/>
  <c r="Z13" i="34"/>
  <c r="Z15" i="34"/>
  <c r="Z17" i="34"/>
  <c r="Z19" i="34"/>
  <c r="Z21" i="34"/>
  <c r="Z23" i="34"/>
  <c r="Z25" i="34"/>
  <c r="Z27" i="34"/>
  <c r="Z29" i="34"/>
  <c r="Z31" i="34"/>
  <c r="Z33" i="34"/>
  <c r="Z35" i="34"/>
  <c r="Z37" i="34"/>
  <c r="Z39" i="34"/>
  <c r="Z41" i="34"/>
  <c r="Z43" i="34"/>
  <c r="Z45" i="34"/>
  <c r="Z47" i="34"/>
  <c r="Z49" i="34"/>
  <c r="Z51" i="34"/>
  <c r="Z53" i="34"/>
  <c r="Z55" i="34"/>
  <c r="Z57" i="34"/>
  <c r="Z59" i="34"/>
  <c r="Z61" i="34"/>
  <c r="Z63" i="34"/>
  <c r="Z65" i="34"/>
  <c r="Z67" i="34"/>
  <c r="Z69" i="34"/>
  <c r="Z71" i="34"/>
  <c r="Z73" i="34"/>
  <c r="Z75" i="34"/>
  <c r="Z77" i="34"/>
  <c r="Z79" i="34"/>
  <c r="Z81" i="34"/>
  <c r="Z83" i="34"/>
  <c r="Z85" i="34"/>
  <c r="Z87" i="34"/>
  <c r="Z89" i="34"/>
  <c r="Z91" i="34"/>
  <c r="Z93" i="34"/>
  <c r="Z95" i="34"/>
  <c r="Z97" i="34"/>
  <c r="Z99" i="34"/>
  <c r="Z101" i="34"/>
  <c r="Z103" i="34"/>
  <c r="Z105" i="34"/>
  <c r="Z46" i="34"/>
  <c r="Z48" i="34"/>
  <c r="Z50" i="34"/>
  <c r="Z52" i="34"/>
  <c r="Z54" i="34"/>
  <c r="Z56" i="34"/>
  <c r="Z58" i="34"/>
  <c r="Z60" i="34"/>
  <c r="Z62" i="34"/>
  <c r="Z64" i="34"/>
  <c r="Z66" i="34"/>
  <c r="Z68" i="34"/>
  <c r="Z70" i="34"/>
  <c r="Z72" i="34"/>
  <c r="Z74" i="34"/>
  <c r="Z76" i="34"/>
  <c r="Z78" i="34"/>
  <c r="Z80" i="34"/>
  <c r="Z82" i="34"/>
  <c r="Z84" i="34"/>
  <c r="Z86" i="34"/>
  <c r="Z88" i="34"/>
  <c r="Z90" i="34"/>
  <c r="Z92" i="34"/>
  <c r="Z94" i="34"/>
  <c r="Z96" i="34"/>
  <c r="Z98" i="34"/>
  <c r="Z100" i="34"/>
  <c r="Z102" i="34"/>
  <c r="Z104" i="34"/>
  <c r="Z5" i="34"/>
  <c r="BN7" i="34"/>
  <c r="BN9" i="34"/>
  <c r="BN11" i="34"/>
  <c r="BN13" i="34"/>
  <c r="BN15" i="34"/>
  <c r="BN17" i="34"/>
  <c r="BN19" i="34"/>
  <c r="BN21" i="34"/>
  <c r="BN23" i="34"/>
  <c r="BN25" i="34"/>
  <c r="BN27" i="34"/>
  <c r="BN29" i="34"/>
  <c r="BN31" i="34"/>
  <c r="BN33" i="34"/>
  <c r="BN35" i="34"/>
  <c r="BN37" i="34"/>
  <c r="BN39" i="34"/>
  <c r="BN41" i="34"/>
  <c r="BN43" i="34"/>
  <c r="BN45" i="34"/>
  <c r="BN47" i="34"/>
  <c r="BN49" i="34"/>
  <c r="BN51" i="34"/>
  <c r="BN53" i="34"/>
  <c r="BN55" i="34"/>
  <c r="BN57" i="34"/>
  <c r="BN59" i="34"/>
  <c r="BN61" i="34"/>
  <c r="BN63" i="34"/>
  <c r="BN65" i="34"/>
  <c r="BN67" i="34"/>
  <c r="BN69" i="34"/>
  <c r="BN71" i="34"/>
  <c r="BN73" i="34"/>
  <c r="BN75" i="34"/>
  <c r="BN77" i="34"/>
  <c r="BN79" i="34"/>
  <c r="BN81" i="34"/>
  <c r="BN83" i="34"/>
  <c r="BN85" i="34"/>
  <c r="BN87" i="34"/>
  <c r="BN89" i="34"/>
  <c r="BN91" i="34"/>
  <c r="BN93" i="34"/>
  <c r="BN95" i="34"/>
  <c r="BN97" i="34"/>
  <c r="BN99" i="34"/>
  <c r="BN101" i="34"/>
  <c r="BN103" i="34"/>
  <c r="BN105" i="34"/>
  <c r="BN6" i="34"/>
  <c r="BN8" i="34"/>
  <c r="BN10" i="34"/>
  <c r="BN12" i="34"/>
  <c r="BN14" i="34"/>
  <c r="BN16" i="34"/>
  <c r="BN18" i="34"/>
  <c r="BN20" i="34"/>
  <c r="BN22" i="34"/>
  <c r="BN24" i="34"/>
  <c r="BN26" i="34"/>
  <c r="BN28" i="34"/>
  <c r="BN30" i="34"/>
  <c r="BN32" i="34"/>
  <c r="BN34" i="34"/>
  <c r="BN36" i="34"/>
  <c r="BN38" i="34"/>
  <c r="BN40" i="34"/>
  <c r="BN42" i="34"/>
  <c r="BN44" i="34"/>
  <c r="BN46" i="34"/>
  <c r="BN48" i="34"/>
  <c r="BN50" i="34"/>
  <c r="BN52" i="34"/>
  <c r="BN54" i="34"/>
  <c r="BN56" i="34"/>
  <c r="BN58" i="34"/>
  <c r="BN60" i="34"/>
  <c r="BN62" i="34"/>
  <c r="BN64" i="34"/>
  <c r="BN66" i="34"/>
  <c r="BN68" i="34"/>
  <c r="BN70" i="34"/>
  <c r="BN72" i="34"/>
  <c r="BN74" i="34"/>
  <c r="BN76" i="34"/>
  <c r="BN78" i="34"/>
  <c r="BN80" i="34"/>
  <c r="BN82" i="34"/>
  <c r="BN84" i="34"/>
  <c r="BN86" i="34"/>
  <c r="BN88" i="34"/>
  <c r="BN90" i="34"/>
  <c r="BN92" i="34"/>
  <c r="BN94" i="34"/>
  <c r="BN96" i="34"/>
  <c r="BN98" i="34"/>
  <c r="BN100" i="34"/>
  <c r="BN102" i="34"/>
  <c r="BN104" i="34"/>
  <c r="BN5" i="34"/>
  <c r="N7" i="34"/>
  <c r="N9" i="34"/>
  <c r="N11" i="34"/>
  <c r="N13" i="34"/>
  <c r="N15" i="34"/>
  <c r="N17" i="34"/>
  <c r="N19" i="34"/>
  <c r="N21" i="34"/>
  <c r="N23" i="34"/>
  <c r="N25" i="34"/>
  <c r="N27" i="34"/>
  <c r="N29" i="34"/>
  <c r="N31" i="34"/>
  <c r="N33" i="34"/>
  <c r="N35" i="34"/>
  <c r="N37" i="34"/>
  <c r="N39" i="34"/>
  <c r="N41" i="34"/>
  <c r="N43" i="34"/>
  <c r="N45" i="34"/>
  <c r="N47" i="34"/>
  <c r="N49" i="34"/>
  <c r="N51" i="34"/>
  <c r="N53" i="34"/>
  <c r="N55" i="34"/>
  <c r="N57" i="34"/>
  <c r="N59" i="34"/>
  <c r="N61" i="34"/>
  <c r="N63" i="34"/>
  <c r="N65" i="34"/>
  <c r="N67" i="34"/>
  <c r="N69" i="34"/>
  <c r="N71" i="34"/>
  <c r="N73" i="34"/>
  <c r="N75" i="34"/>
  <c r="N77" i="34"/>
  <c r="N79" i="34"/>
  <c r="N81" i="34"/>
  <c r="N83" i="34"/>
  <c r="N85" i="34"/>
  <c r="N87" i="34"/>
  <c r="N89" i="34"/>
  <c r="N91" i="34"/>
  <c r="N93" i="34"/>
  <c r="N95" i="34"/>
  <c r="N97" i="34"/>
  <c r="N99" i="34"/>
  <c r="N101" i="34"/>
  <c r="N103" i="34"/>
  <c r="N105" i="34"/>
  <c r="N6" i="34"/>
  <c r="N8" i="34"/>
  <c r="N10" i="34"/>
  <c r="N12" i="34"/>
  <c r="N14" i="34"/>
  <c r="N16" i="34"/>
  <c r="N18" i="34"/>
  <c r="N20" i="34"/>
  <c r="N22" i="34"/>
  <c r="N24" i="34"/>
  <c r="N26" i="34"/>
  <c r="N28" i="34"/>
  <c r="N30" i="34"/>
  <c r="N32" i="34"/>
  <c r="N34" i="34"/>
  <c r="N36" i="34"/>
  <c r="N38" i="34"/>
  <c r="N40" i="34"/>
  <c r="N42" i="34"/>
  <c r="N44" i="34"/>
  <c r="N46" i="34"/>
  <c r="N48" i="34"/>
  <c r="N50" i="34"/>
  <c r="N52" i="34"/>
  <c r="N54" i="34"/>
  <c r="N56" i="34"/>
  <c r="N58" i="34"/>
  <c r="N60" i="34"/>
  <c r="N62" i="34"/>
  <c r="N64" i="34"/>
  <c r="N66" i="34"/>
  <c r="N68" i="34"/>
  <c r="N70" i="34"/>
  <c r="N72" i="34"/>
  <c r="N74" i="34"/>
  <c r="N76" i="34"/>
  <c r="N78" i="34"/>
  <c r="N80" i="34"/>
  <c r="N82" i="34"/>
  <c r="N84" i="34"/>
  <c r="N86" i="34"/>
  <c r="N88" i="34"/>
  <c r="N90" i="34"/>
  <c r="N92" i="34"/>
  <c r="N94" i="34"/>
  <c r="N96" i="34"/>
  <c r="N98" i="34"/>
  <c r="N100" i="34"/>
  <c r="N102" i="34"/>
  <c r="N104" i="34"/>
  <c r="N5" i="34"/>
  <c r="F6" i="34"/>
  <c r="F8" i="34"/>
  <c r="F10" i="34"/>
  <c r="F12" i="34"/>
  <c r="F14" i="34"/>
  <c r="F16" i="34"/>
  <c r="F18" i="34"/>
  <c r="F20" i="34"/>
  <c r="F22" i="34"/>
  <c r="F24" i="34"/>
  <c r="F26" i="34"/>
  <c r="F28" i="34"/>
  <c r="F30" i="34"/>
  <c r="F32" i="34"/>
  <c r="F34" i="34"/>
  <c r="F36" i="34"/>
  <c r="F38" i="34"/>
  <c r="F40" i="34"/>
  <c r="F42" i="34"/>
  <c r="F44" i="34"/>
  <c r="F46" i="34"/>
  <c r="F48" i="34"/>
  <c r="F50" i="34"/>
  <c r="F52" i="34"/>
  <c r="F54" i="34"/>
  <c r="F56" i="34"/>
  <c r="F58" i="34"/>
  <c r="F60" i="34"/>
  <c r="F62" i="34"/>
  <c r="F64" i="34"/>
  <c r="F66" i="34"/>
  <c r="F68" i="34"/>
  <c r="F70" i="34"/>
  <c r="F72" i="34"/>
  <c r="F74" i="34"/>
  <c r="F76" i="34"/>
  <c r="F78" i="34"/>
  <c r="F80" i="34"/>
  <c r="F82" i="34"/>
  <c r="F84" i="34"/>
  <c r="F86" i="34"/>
  <c r="F88" i="34"/>
  <c r="F90" i="34"/>
  <c r="F92" i="34"/>
  <c r="F94" i="34"/>
  <c r="F96" i="34"/>
  <c r="F98" i="34"/>
  <c r="F100" i="34"/>
  <c r="F102" i="34"/>
  <c r="F104" i="34"/>
  <c r="F5" i="34"/>
  <c r="F7" i="34"/>
  <c r="F9" i="34"/>
  <c r="F11" i="34"/>
  <c r="F13" i="34"/>
  <c r="F15" i="34"/>
  <c r="F17" i="34"/>
  <c r="F19" i="34"/>
  <c r="F21" i="34"/>
  <c r="F23" i="34"/>
  <c r="F25" i="34"/>
  <c r="F27" i="34"/>
  <c r="F29" i="34"/>
  <c r="F31" i="34"/>
  <c r="F33" i="34"/>
  <c r="F35" i="34"/>
  <c r="F37" i="34"/>
  <c r="F39" i="34"/>
  <c r="F41" i="34"/>
  <c r="F43" i="34"/>
  <c r="F45" i="34"/>
  <c r="F47" i="34"/>
  <c r="F49" i="34"/>
  <c r="F51" i="34"/>
  <c r="F53" i="34"/>
  <c r="F55" i="34"/>
  <c r="F57" i="34"/>
  <c r="F59" i="34"/>
  <c r="F61" i="34"/>
  <c r="F63" i="34"/>
  <c r="F65" i="34"/>
  <c r="F67" i="34"/>
  <c r="F69" i="34"/>
  <c r="F71" i="34"/>
  <c r="F73" i="34"/>
  <c r="F75" i="34"/>
  <c r="F77" i="34"/>
  <c r="F79" i="34"/>
  <c r="F81" i="34"/>
  <c r="F83" i="34"/>
  <c r="F85" i="34"/>
  <c r="F87" i="34"/>
  <c r="F89" i="34"/>
  <c r="F91" i="34"/>
  <c r="F93" i="34"/>
  <c r="F95" i="34"/>
  <c r="F97" i="34"/>
  <c r="F99" i="34"/>
  <c r="F101" i="34"/>
  <c r="F103" i="34"/>
  <c r="F105" i="34"/>
  <c r="T6" i="34"/>
  <c r="T8" i="34"/>
  <c r="T10" i="34"/>
  <c r="T12" i="34"/>
  <c r="T14" i="34"/>
  <c r="T16" i="34"/>
  <c r="T18" i="34"/>
  <c r="T20" i="34"/>
  <c r="T22" i="34"/>
  <c r="T24" i="34"/>
  <c r="T26" i="34"/>
  <c r="T28" i="34"/>
  <c r="T30" i="34"/>
  <c r="T32" i="34"/>
  <c r="T34" i="34"/>
  <c r="T36" i="34"/>
  <c r="T38" i="34"/>
  <c r="T40" i="34"/>
  <c r="T42" i="34"/>
  <c r="T44" i="34"/>
  <c r="T46" i="34"/>
  <c r="T48" i="34"/>
  <c r="T50" i="34"/>
  <c r="T52" i="34"/>
  <c r="T54" i="34"/>
  <c r="T56" i="34"/>
  <c r="T58" i="34"/>
  <c r="T60" i="34"/>
  <c r="T62" i="34"/>
  <c r="T64" i="34"/>
  <c r="T66" i="34"/>
  <c r="T68" i="34"/>
  <c r="T70" i="34"/>
  <c r="T72" i="34"/>
  <c r="T74" i="34"/>
  <c r="T76" i="34"/>
  <c r="T78" i="34"/>
  <c r="T80" i="34"/>
  <c r="T82" i="34"/>
  <c r="T84" i="34"/>
  <c r="T86" i="34"/>
  <c r="T88" i="34"/>
  <c r="T90" i="34"/>
  <c r="T92" i="34"/>
  <c r="T94" i="34"/>
  <c r="T96" i="34"/>
  <c r="T98" i="34"/>
  <c r="T100" i="34"/>
  <c r="T102" i="34"/>
  <c r="T104" i="34"/>
  <c r="T5" i="34"/>
  <c r="T7" i="34"/>
  <c r="T9" i="34"/>
  <c r="T11" i="34"/>
  <c r="T13" i="34"/>
  <c r="T15" i="34"/>
  <c r="T17" i="34"/>
  <c r="T19" i="34"/>
  <c r="T21" i="34"/>
  <c r="T23" i="34"/>
  <c r="T25" i="34"/>
  <c r="T27" i="34"/>
  <c r="T29" i="34"/>
  <c r="T31" i="34"/>
  <c r="T33" i="34"/>
  <c r="T35" i="34"/>
  <c r="T37" i="34"/>
  <c r="T39" i="34"/>
  <c r="T41" i="34"/>
  <c r="T43" i="34"/>
  <c r="T45" i="34"/>
  <c r="T47" i="34"/>
  <c r="T49" i="34"/>
  <c r="T51" i="34"/>
  <c r="T53" i="34"/>
  <c r="T55" i="34"/>
  <c r="T57" i="34"/>
  <c r="T59" i="34"/>
  <c r="T61" i="34"/>
  <c r="T63" i="34"/>
  <c r="T65" i="34"/>
  <c r="T67" i="34"/>
  <c r="T69" i="34"/>
  <c r="T71" i="34"/>
  <c r="T73" i="34"/>
  <c r="T75" i="34"/>
  <c r="T77" i="34"/>
  <c r="T79" i="34"/>
  <c r="T81" i="34"/>
  <c r="T83" i="34"/>
  <c r="T85" i="34"/>
  <c r="T87" i="34"/>
  <c r="T89" i="34"/>
  <c r="T91" i="34"/>
  <c r="T93" i="34"/>
  <c r="T95" i="34"/>
  <c r="T97" i="34"/>
  <c r="T99" i="34"/>
  <c r="T101" i="34"/>
  <c r="T103" i="34"/>
  <c r="T105" i="34"/>
  <c r="P6" i="34"/>
  <c r="P8" i="34"/>
  <c r="P10" i="34"/>
  <c r="P12" i="34"/>
  <c r="P14" i="34"/>
  <c r="P16" i="34"/>
  <c r="P18" i="34"/>
  <c r="P20" i="34"/>
  <c r="P22" i="34"/>
  <c r="P24" i="34"/>
  <c r="P26" i="34"/>
  <c r="P28" i="34"/>
  <c r="P30" i="34"/>
  <c r="P32" i="34"/>
  <c r="P34" i="34"/>
  <c r="P36" i="34"/>
  <c r="P38" i="34"/>
  <c r="P40" i="34"/>
  <c r="P42" i="34"/>
  <c r="P44" i="34"/>
  <c r="P46" i="34"/>
  <c r="P48" i="34"/>
  <c r="P50" i="34"/>
  <c r="P52" i="34"/>
  <c r="P54" i="34"/>
  <c r="P56" i="34"/>
  <c r="P58" i="34"/>
  <c r="P60" i="34"/>
  <c r="P62" i="34"/>
  <c r="P64" i="34"/>
  <c r="P66" i="34"/>
  <c r="P68" i="34"/>
  <c r="P70" i="34"/>
  <c r="P72" i="34"/>
  <c r="P74" i="34"/>
  <c r="P76" i="34"/>
  <c r="P78" i="34"/>
  <c r="P80" i="34"/>
  <c r="P82" i="34"/>
  <c r="P84" i="34"/>
  <c r="P86" i="34"/>
  <c r="P88" i="34"/>
  <c r="P90" i="34"/>
  <c r="P92" i="34"/>
  <c r="P94" i="34"/>
  <c r="P96" i="34"/>
  <c r="P98" i="34"/>
  <c r="P100" i="34"/>
  <c r="P102" i="34"/>
  <c r="P104" i="34"/>
  <c r="P5" i="34"/>
  <c r="P7" i="34"/>
  <c r="P9" i="34"/>
  <c r="P11" i="34"/>
  <c r="P13" i="34"/>
  <c r="P15" i="34"/>
  <c r="P17" i="34"/>
  <c r="P19" i="34"/>
  <c r="P21" i="34"/>
  <c r="P23" i="34"/>
  <c r="P25" i="34"/>
  <c r="P27" i="34"/>
  <c r="P29" i="34"/>
  <c r="P31" i="34"/>
  <c r="P33" i="34"/>
  <c r="P35" i="34"/>
  <c r="P37" i="34"/>
  <c r="P39" i="34"/>
  <c r="P41" i="34"/>
  <c r="P43" i="34"/>
  <c r="P45" i="34"/>
  <c r="P47" i="34"/>
  <c r="P49" i="34"/>
  <c r="P51" i="34"/>
  <c r="P53" i="34"/>
  <c r="P55" i="34"/>
  <c r="P57" i="34"/>
  <c r="P59" i="34"/>
  <c r="P61" i="34"/>
  <c r="P63" i="34"/>
  <c r="P65" i="34"/>
  <c r="P67" i="34"/>
  <c r="P69" i="34"/>
  <c r="P71" i="34"/>
  <c r="P73" i="34"/>
  <c r="P75" i="34"/>
  <c r="P77" i="34"/>
  <c r="P79" i="34"/>
  <c r="P81" i="34"/>
  <c r="P83" i="34"/>
  <c r="P85" i="34"/>
  <c r="P87" i="34"/>
  <c r="P89" i="34"/>
  <c r="P91" i="34"/>
  <c r="P93" i="34"/>
  <c r="P95" i="34"/>
  <c r="P97" i="34"/>
  <c r="P99" i="34"/>
  <c r="P101" i="34"/>
  <c r="P103" i="34"/>
  <c r="P105" i="34"/>
  <c r="AV6" i="34"/>
  <c r="AV8" i="34"/>
  <c r="AV10" i="34"/>
  <c r="AV12" i="34"/>
  <c r="AV14" i="34"/>
  <c r="AV16" i="34"/>
  <c r="AV18" i="34"/>
  <c r="AV20" i="34"/>
  <c r="AV22" i="34"/>
  <c r="AV24" i="34"/>
  <c r="AV26" i="34"/>
  <c r="AV28" i="34"/>
  <c r="AV30" i="34"/>
  <c r="AV32" i="34"/>
  <c r="AV34" i="34"/>
  <c r="AV36" i="34"/>
  <c r="AV38" i="34"/>
  <c r="AV40" i="34"/>
  <c r="AV42" i="34"/>
  <c r="AV44" i="34"/>
  <c r="AV46" i="34"/>
  <c r="AV48" i="34"/>
  <c r="AV50" i="34"/>
  <c r="AV52" i="34"/>
  <c r="AV54" i="34"/>
  <c r="AV56" i="34"/>
  <c r="AV58" i="34"/>
  <c r="AV60" i="34"/>
  <c r="AV62" i="34"/>
  <c r="AV64" i="34"/>
  <c r="AV66" i="34"/>
  <c r="AV68" i="34"/>
  <c r="AV70" i="34"/>
  <c r="AV72" i="34"/>
  <c r="AV74" i="34"/>
  <c r="AV76" i="34"/>
  <c r="AV78" i="34"/>
  <c r="AV80" i="34"/>
  <c r="AV82" i="34"/>
  <c r="AV84" i="34"/>
  <c r="AV86" i="34"/>
  <c r="AV88" i="34"/>
  <c r="AV90" i="34"/>
  <c r="AV92" i="34"/>
  <c r="AV94" i="34"/>
  <c r="AV96" i="34"/>
  <c r="AV98" i="34"/>
  <c r="AV7" i="34"/>
  <c r="AV11" i="34"/>
  <c r="AV15" i="34"/>
  <c r="AV19" i="34"/>
  <c r="AV23" i="34"/>
  <c r="AV27" i="34"/>
  <c r="AV31" i="34"/>
  <c r="AV35" i="34"/>
  <c r="AV39" i="34"/>
  <c r="AV43" i="34"/>
  <c r="AV47" i="34"/>
  <c r="AV51" i="34"/>
  <c r="AV55" i="34"/>
  <c r="AV59" i="34"/>
  <c r="AV63" i="34"/>
  <c r="AV67" i="34"/>
  <c r="AV71" i="34"/>
  <c r="AV75" i="34"/>
  <c r="AV79" i="34"/>
  <c r="AV83" i="34"/>
  <c r="AV87" i="34"/>
  <c r="AV91" i="34"/>
  <c r="AV95" i="34"/>
  <c r="AV99" i="34"/>
  <c r="AV101" i="34"/>
  <c r="AV103" i="34"/>
  <c r="AV105" i="34"/>
  <c r="AV13" i="34"/>
  <c r="AV21" i="34"/>
  <c r="AV29" i="34"/>
  <c r="AV37" i="34"/>
  <c r="AV45" i="34"/>
  <c r="AV53" i="34"/>
  <c r="AV61" i="34"/>
  <c r="AV69" i="34"/>
  <c r="AV77" i="34"/>
  <c r="AV85" i="34"/>
  <c r="AV93" i="34"/>
  <c r="AV100" i="34"/>
  <c r="AV104" i="34"/>
  <c r="AV9" i="34"/>
  <c r="AV17" i="34"/>
  <c r="AV25" i="34"/>
  <c r="AV33" i="34"/>
  <c r="AV41" i="34"/>
  <c r="AV49" i="34"/>
  <c r="AV57" i="34"/>
  <c r="AV65" i="34"/>
  <c r="AV73" i="34"/>
  <c r="AV81" i="34"/>
  <c r="AV89" i="34"/>
  <c r="AV97" i="34"/>
  <c r="AV102" i="34"/>
  <c r="AV5" i="34"/>
  <c r="L6" i="34"/>
  <c r="L8" i="34"/>
  <c r="L10" i="34"/>
  <c r="L12" i="34"/>
  <c r="L14" i="34"/>
  <c r="L16" i="34"/>
  <c r="L18" i="34"/>
  <c r="L20" i="34"/>
  <c r="L7" i="34"/>
  <c r="L9" i="34"/>
  <c r="L11" i="34"/>
  <c r="L13" i="34"/>
  <c r="L15" i="34"/>
  <c r="L17" i="34"/>
  <c r="L19" i="34"/>
  <c r="L21" i="34"/>
  <c r="L23" i="34"/>
  <c r="L25" i="34"/>
  <c r="L27" i="34"/>
  <c r="L29" i="34"/>
  <c r="L31" i="34"/>
  <c r="L33" i="34"/>
  <c r="L35" i="34"/>
  <c r="L37" i="34"/>
  <c r="L39" i="34"/>
  <c r="L41" i="34"/>
  <c r="L43" i="34"/>
  <c r="L45" i="34"/>
  <c r="L47" i="34"/>
  <c r="L49" i="34"/>
  <c r="L51" i="34"/>
  <c r="L53" i="34"/>
  <c r="L55" i="34"/>
  <c r="L57" i="34"/>
  <c r="L59" i="34"/>
  <c r="L61" i="34"/>
  <c r="L63" i="34"/>
  <c r="L65" i="34"/>
  <c r="L67" i="34"/>
  <c r="L69" i="34"/>
  <c r="L71" i="34"/>
  <c r="L73" i="34"/>
  <c r="L75" i="34"/>
  <c r="L77" i="34"/>
  <c r="L79" i="34"/>
  <c r="L81" i="34"/>
  <c r="L83" i="34"/>
  <c r="L85" i="34"/>
  <c r="L87" i="34"/>
  <c r="L89" i="34"/>
  <c r="L91" i="34"/>
  <c r="L93" i="34"/>
  <c r="L95" i="34"/>
  <c r="L97" i="34"/>
  <c r="L99" i="34"/>
  <c r="L101" i="34"/>
  <c r="L103" i="34"/>
  <c r="L105" i="34"/>
  <c r="L22" i="34"/>
  <c r="L24" i="34"/>
  <c r="L26" i="34"/>
  <c r="L28" i="34"/>
  <c r="L30" i="34"/>
  <c r="L32" i="34"/>
  <c r="L34" i="34"/>
  <c r="L36" i="34"/>
  <c r="L38" i="34"/>
  <c r="L40" i="34"/>
  <c r="L42" i="34"/>
  <c r="L44" i="34"/>
  <c r="L46" i="34"/>
  <c r="L48" i="34"/>
  <c r="L50" i="34"/>
  <c r="L52" i="34"/>
  <c r="L54" i="34"/>
  <c r="L56" i="34"/>
  <c r="L58" i="34"/>
  <c r="L60" i="34"/>
  <c r="L62" i="34"/>
  <c r="L64" i="34"/>
  <c r="L66" i="34"/>
  <c r="L68" i="34"/>
  <c r="L70" i="34"/>
  <c r="L72" i="34"/>
  <c r="L74" i="34"/>
  <c r="L76" i="34"/>
  <c r="L78" i="34"/>
  <c r="L80" i="34"/>
  <c r="L82" i="34"/>
  <c r="L84" i="34"/>
  <c r="L86" i="34"/>
  <c r="L88" i="34"/>
  <c r="L90" i="34"/>
  <c r="L92" i="34"/>
  <c r="L94" i="34"/>
  <c r="L96" i="34"/>
  <c r="L98" i="34"/>
  <c r="L100" i="34"/>
  <c r="L102" i="34"/>
  <c r="L104" i="34"/>
  <c r="L5" i="34"/>
  <c r="AT6" i="34"/>
  <c r="AT8" i="34"/>
  <c r="AT10" i="34"/>
  <c r="AT12" i="34"/>
  <c r="AT14" i="34"/>
  <c r="AT16" i="34"/>
  <c r="AT18" i="34"/>
  <c r="AT20" i="34"/>
  <c r="AT22" i="34"/>
  <c r="AT24" i="34"/>
  <c r="AT26" i="34"/>
  <c r="AT28" i="34"/>
  <c r="AT30" i="34"/>
  <c r="AT32" i="34"/>
  <c r="AT34" i="34"/>
  <c r="AT36" i="34"/>
  <c r="AT38" i="34"/>
  <c r="AT40" i="34"/>
  <c r="AT42" i="34"/>
  <c r="AT44" i="34"/>
  <c r="AT46" i="34"/>
  <c r="AT48" i="34"/>
  <c r="AT50" i="34"/>
  <c r="AT52" i="34"/>
  <c r="AT54" i="34"/>
  <c r="AT56" i="34"/>
  <c r="AT58" i="34"/>
  <c r="AT60" i="34"/>
  <c r="AT62" i="34"/>
  <c r="AT64" i="34"/>
  <c r="AT66" i="34"/>
  <c r="AT68" i="34"/>
  <c r="AT70" i="34"/>
  <c r="AT72" i="34"/>
  <c r="AT74" i="34"/>
  <c r="AT76" i="34"/>
  <c r="AT78" i="34"/>
  <c r="AT80" i="34"/>
  <c r="AT82" i="34"/>
  <c r="AT84" i="34"/>
  <c r="AT86" i="34"/>
  <c r="AT88" i="34"/>
  <c r="AT90" i="34"/>
  <c r="AT92" i="34"/>
  <c r="AT94" i="34"/>
  <c r="AT96" i="34"/>
  <c r="AT98" i="34"/>
  <c r="AT100" i="34"/>
  <c r="AT102" i="34"/>
  <c r="AT104" i="34"/>
  <c r="AT5" i="34"/>
  <c r="AT7" i="34"/>
  <c r="AT11" i="34"/>
  <c r="AT15" i="34"/>
  <c r="AT19" i="34"/>
  <c r="AT23" i="34"/>
  <c r="AT27" i="34"/>
  <c r="AT31" i="34"/>
  <c r="AT35" i="34"/>
  <c r="AT39" i="34"/>
  <c r="AT43" i="34"/>
  <c r="AT47" i="34"/>
  <c r="AT51" i="34"/>
  <c r="AT55" i="34"/>
  <c r="AT59" i="34"/>
  <c r="AT63" i="34"/>
  <c r="AT67" i="34"/>
  <c r="AT71" i="34"/>
  <c r="AT75" i="34"/>
  <c r="AT79" i="34"/>
  <c r="AT83" i="34"/>
  <c r="AT87" i="34"/>
  <c r="AT91" i="34"/>
  <c r="AT95" i="34"/>
  <c r="AT99" i="34"/>
  <c r="AT103" i="34"/>
  <c r="AT9" i="34"/>
  <c r="AT17" i="34"/>
  <c r="AT25" i="34"/>
  <c r="AT33" i="34"/>
  <c r="AT41" i="34"/>
  <c r="AT49" i="34"/>
  <c r="AT57" i="34"/>
  <c r="AT65" i="34"/>
  <c r="AT73" i="34"/>
  <c r="AT81" i="34"/>
  <c r="AT89" i="34"/>
  <c r="AT97" i="34"/>
  <c r="AT105" i="34"/>
  <c r="AT13" i="34"/>
  <c r="AT21" i="34"/>
  <c r="AT29" i="34"/>
  <c r="AT37" i="34"/>
  <c r="AT45" i="34"/>
  <c r="AT53" i="34"/>
  <c r="AT61" i="34"/>
  <c r="AT69" i="34"/>
  <c r="AT77" i="34"/>
  <c r="AT85" i="34"/>
  <c r="AT93" i="34"/>
  <c r="AT101" i="34"/>
  <c r="BF7" i="34"/>
  <c r="BF9" i="34"/>
  <c r="BF11" i="34"/>
  <c r="BF13" i="34"/>
  <c r="BF15" i="34"/>
  <c r="BF17" i="34"/>
  <c r="BF19" i="34"/>
  <c r="BF21" i="34"/>
  <c r="BF23" i="34"/>
  <c r="BF25" i="34"/>
  <c r="BF27" i="34"/>
  <c r="BF29" i="34"/>
  <c r="BF31" i="34"/>
  <c r="BF33" i="34"/>
  <c r="BF35" i="34"/>
  <c r="BF37" i="34"/>
  <c r="BF39" i="34"/>
  <c r="BF41" i="34"/>
  <c r="BF43" i="34"/>
  <c r="BF45" i="34"/>
  <c r="BF47" i="34"/>
  <c r="BF49" i="34"/>
  <c r="BF51" i="34"/>
  <c r="BF53" i="34"/>
  <c r="BF55" i="34"/>
  <c r="BF57" i="34"/>
  <c r="BF59" i="34"/>
  <c r="BF61" i="34"/>
  <c r="BF63" i="34"/>
  <c r="BF65" i="34"/>
  <c r="BF67" i="34"/>
  <c r="BF69" i="34"/>
  <c r="BF71" i="34"/>
  <c r="BF73" i="34"/>
  <c r="BF75" i="34"/>
  <c r="BF77" i="34"/>
  <c r="BF79" i="34"/>
  <c r="BF81" i="34"/>
  <c r="BF83" i="34"/>
  <c r="BF85" i="34"/>
  <c r="BF87" i="34"/>
  <c r="BF89" i="34"/>
  <c r="BF91" i="34"/>
  <c r="BF6" i="34"/>
  <c r="BF10" i="34"/>
  <c r="BF14" i="34"/>
  <c r="BF18" i="34"/>
  <c r="BF22" i="34"/>
  <c r="BF26" i="34"/>
  <c r="BF30" i="34"/>
  <c r="BF34" i="34"/>
  <c r="BF38" i="34"/>
  <c r="BF42" i="34"/>
  <c r="BF46" i="34"/>
  <c r="BF50" i="34"/>
  <c r="BF54" i="34"/>
  <c r="BF58" i="34"/>
  <c r="BF62" i="34"/>
  <c r="BF66" i="34"/>
  <c r="BF70" i="34"/>
  <c r="BF74" i="34"/>
  <c r="BF78" i="34"/>
  <c r="BF82" i="34"/>
  <c r="BF86" i="34"/>
  <c r="BF90" i="34"/>
  <c r="BF93" i="34"/>
  <c r="BF95" i="34"/>
  <c r="BF97" i="34"/>
  <c r="BF99" i="34"/>
  <c r="BF101" i="34"/>
  <c r="BF103" i="34"/>
  <c r="BF105" i="34"/>
  <c r="BF12" i="34"/>
  <c r="BF20" i="34"/>
  <c r="BF28" i="34"/>
  <c r="BF36" i="34"/>
  <c r="BF44" i="34"/>
  <c r="BF52" i="34"/>
  <c r="BF60" i="34"/>
  <c r="BF68" i="34"/>
  <c r="BF76" i="34"/>
  <c r="BF84" i="34"/>
  <c r="BF92" i="34"/>
  <c r="BF96" i="34"/>
  <c r="BF100" i="34"/>
  <c r="BF104" i="34"/>
  <c r="BF16" i="34"/>
  <c r="BF32" i="34"/>
  <c r="BF48" i="34"/>
  <c r="BF64" i="34"/>
  <c r="BF80" i="34"/>
  <c r="BF94" i="34"/>
  <c r="BF102" i="34"/>
  <c r="BF8" i="34"/>
  <c r="BF24" i="34"/>
  <c r="BF40" i="34"/>
  <c r="BF56" i="34"/>
  <c r="BF72" i="34"/>
  <c r="BF88" i="34"/>
  <c r="BF98" i="34"/>
  <c r="BF5" i="34"/>
  <c r="D7" i="34"/>
  <c r="D9" i="34"/>
  <c r="D11" i="34"/>
  <c r="D13" i="34"/>
  <c r="D15" i="34"/>
  <c r="D17" i="34"/>
  <c r="D19" i="34"/>
  <c r="D21" i="34"/>
  <c r="D23" i="34"/>
  <c r="D25" i="34"/>
  <c r="D27" i="34"/>
  <c r="D29" i="34"/>
  <c r="D31" i="34"/>
  <c r="D33" i="34"/>
  <c r="D35" i="34"/>
  <c r="D37" i="34"/>
  <c r="D39" i="34"/>
  <c r="D41" i="34"/>
  <c r="D43" i="34"/>
  <c r="D45" i="34"/>
  <c r="D47" i="34"/>
  <c r="D49" i="34"/>
  <c r="D51" i="34"/>
  <c r="D53" i="34"/>
  <c r="D55" i="34"/>
  <c r="D57" i="34"/>
  <c r="D59" i="34"/>
  <c r="D61" i="34"/>
  <c r="D63" i="34"/>
  <c r="D65" i="34"/>
  <c r="D67" i="34"/>
  <c r="D69" i="34"/>
  <c r="D71" i="34"/>
  <c r="D73" i="34"/>
  <c r="D75" i="34"/>
  <c r="D77" i="34"/>
  <c r="D79" i="34"/>
  <c r="D81" i="34"/>
  <c r="D83" i="34"/>
  <c r="D85" i="34"/>
  <c r="D87" i="34"/>
  <c r="D89" i="34"/>
  <c r="D91" i="34"/>
  <c r="D93" i="34"/>
  <c r="D95" i="34"/>
  <c r="D97" i="34"/>
  <c r="D99" i="34"/>
  <c r="D101" i="34"/>
  <c r="D103" i="34"/>
  <c r="D105" i="34"/>
  <c r="D6" i="34"/>
  <c r="D8" i="34"/>
  <c r="D10" i="34"/>
  <c r="D12" i="34"/>
  <c r="D14" i="34"/>
  <c r="D16" i="34"/>
  <c r="D18" i="34"/>
  <c r="D20" i="34"/>
  <c r="D22" i="34"/>
  <c r="D24" i="34"/>
  <c r="D26" i="34"/>
  <c r="D28" i="34"/>
  <c r="D30" i="34"/>
  <c r="D32" i="34"/>
  <c r="D34" i="34"/>
  <c r="D36" i="34"/>
  <c r="D38" i="34"/>
  <c r="D40" i="34"/>
  <c r="D42" i="34"/>
  <c r="D44" i="34"/>
  <c r="D46" i="34"/>
  <c r="D48" i="34"/>
  <c r="D50" i="34"/>
  <c r="D52" i="34"/>
  <c r="D54" i="34"/>
  <c r="D56" i="34"/>
  <c r="D58" i="34"/>
  <c r="D60" i="34"/>
  <c r="D62" i="34"/>
  <c r="D64" i="34"/>
  <c r="D66" i="34"/>
  <c r="D68" i="34"/>
  <c r="D70" i="34"/>
  <c r="D72" i="34"/>
  <c r="D74" i="34"/>
  <c r="D76" i="34"/>
  <c r="D78" i="34"/>
  <c r="D80" i="34"/>
  <c r="D82" i="34"/>
  <c r="D84" i="34"/>
  <c r="D86" i="34"/>
  <c r="D88" i="34"/>
  <c r="D90" i="34"/>
  <c r="D92" i="34"/>
  <c r="D94" i="34"/>
  <c r="D96" i="34"/>
  <c r="D98" i="34"/>
  <c r="D100" i="34"/>
  <c r="D102" i="34"/>
  <c r="D104" i="34"/>
  <c r="D5" i="34"/>
  <c r="AR7" i="34"/>
  <c r="AR9" i="34"/>
  <c r="AR11" i="34"/>
  <c r="AR13" i="34"/>
  <c r="AR15" i="34"/>
  <c r="AR17" i="34"/>
  <c r="AR19" i="34"/>
  <c r="AR21" i="34"/>
  <c r="AR23" i="34"/>
  <c r="AR25" i="34"/>
  <c r="AR27" i="34"/>
  <c r="AR29" i="34"/>
  <c r="AR31" i="34"/>
  <c r="AR33" i="34"/>
  <c r="AR35" i="34"/>
  <c r="AR37" i="34"/>
  <c r="AR39" i="34"/>
  <c r="AR41" i="34"/>
  <c r="AR43" i="34"/>
  <c r="AR45" i="34"/>
  <c r="AR47" i="34"/>
  <c r="AR49" i="34"/>
  <c r="AR51" i="34"/>
  <c r="AR53" i="34"/>
  <c r="AR55" i="34"/>
  <c r="AR57" i="34"/>
  <c r="AR59" i="34"/>
  <c r="AR61" i="34"/>
  <c r="AR63" i="34"/>
  <c r="AR65" i="34"/>
  <c r="AR67" i="34"/>
  <c r="AR69" i="34"/>
  <c r="AR71" i="34"/>
  <c r="AR73" i="34"/>
  <c r="AR75" i="34"/>
  <c r="AR77" i="34"/>
  <c r="AR79" i="34"/>
  <c r="AR81" i="34"/>
  <c r="AR83" i="34"/>
  <c r="AR85" i="34"/>
  <c r="AR87" i="34"/>
  <c r="AR89" i="34"/>
  <c r="AR91" i="34"/>
  <c r="AR93" i="34"/>
  <c r="AR95" i="34"/>
  <c r="AR97" i="34"/>
  <c r="AR99" i="34"/>
  <c r="AR101" i="34"/>
  <c r="AR103" i="34"/>
  <c r="AR105" i="34"/>
  <c r="AR6" i="34"/>
  <c r="AR10" i="34"/>
  <c r="AR14" i="34"/>
  <c r="AR18" i="34"/>
  <c r="AR22" i="34"/>
  <c r="AR26" i="34"/>
  <c r="AR30" i="34"/>
  <c r="AR34" i="34"/>
  <c r="AR38" i="34"/>
  <c r="AR42" i="34"/>
  <c r="AR46" i="34"/>
  <c r="AR50" i="34"/>
  <c r="AR54" i="34"/>
  <c r="AR58" i="34"/>
  <c r="AR62" i="34"/>
  <c r="AR66" i="34"/>
  <c r="AR70" i="34"/>
  <c r="AR74" i="34"/>
  <c r="AR78" i="34"/>
  <c r="AR82" i="34"/>
  <c r="AR86" i="34"/>
  <c r="AR90" i="34"/>
  <c r="AR94" i="34"/>
  <c r="AR98" i="34"/>
  <c r="AR102" i="34"/>
  <c r="AR5" i="34"/>
  <c r="AR12" i="34"/>
  <c r="AR20" i="34"/>
  <c r="AR28" i="34"/>
  <c r="AR36" i="34"/>
  <c r="AR44" i="34"/>
  <c r="AR52" i="34"/>
  <c r="AR60" i="34"/>
  <c r="AR68" i="34"/>
  <c r="AR76" i="34"/>
  <c r="AR84" i="34"/>
  <c r="AR92" i="34"/>
  <c r="AR100" i="34"/>
  <c r="AR8" i="34"/>
  <c r="AR16" i="34"/>
  <c r="AR24" i="34"/>
  <c r="AR32" i="34"/>
  <c r="AR40" i="34"/>
  <c r="AR48" i="34"/>
  <c r="AR56" i="34"/>
  <c r="AR64" i="34"/>
  <c r="AR72" i="34"/>
  <c r="AR80" i="34"/>
  <c r="AR88" i="34"/>
  <c r="AR96" i="34"/>
  <c r="AR104" i="34"/>
  <c r="BD6" i="34"/>
  <c r="BD8" i="34"/>
  <c r="BD10" i="34"/>
  <c r="BD12" i="34"/>
  <c r="BD14" i="34"/>
  <c r="BD16" i="34"/>
  <c r="BD18" i="34"/>
  <c r="BD20" i="34"/>
  <c r="BD22" i="34"/>
  <c r="BD24" i="34"/>
  <c r="BD26" i="34"/>
  <c r="BD28" i="34"/>
  <c r="BD30" i="34"/>
  <c r="BD32" i="34"/>
  <c r="BD34" i="34"/>
  <c r="BD36" i="34"/>
  <c r="BD38" i="34"/>
  <c r="BD40" i="34"/>
  <c r="BD42" i="34"/>
  <c r="BD44" i="34"/>
  <c r="BD46" i="34"/>
  <c r="BD48" i="34"/>
  <c r="BD50" i="34"/>
  <c r="BD52" i="34"/>
  <c r="BD54" i="34"/>
  <c r="BD56" i="34"/>
  <c r="BD58" i="34"/>
  <c r="BD60" i="34"/>
  <c r="BD62" i="34"/>
  <c r="BD64" i="34"/>
  <c r="BD66" i="34"/>
  <c r="BD68" i="34"/>
  <c r="BD70" i="34"/>
  <c r="BD72" i="34"/>
  <c r="BD74" i="34"/>
  <c r="BD76" i="34"/>
  <c r="BD78" i="34"/>
  <c r="BD80" i="34"/>
  <c r="BD82" i="34"/>
  <c r="BD84" i="34"/>
  <c r="BD86" i="34"/>
  <c r="BD88" i="34"/>
  <c r="BD90" i="34"/>
  <c r="BD92" i="34"/>
  <c r="BD94" i="34"/>
  <c r="BD96" i="34"/>
  <c r="BD98" i="34"/>
  <c r="BD100" i="34"/>
  <c r="BD102" i="34"/>
  <c r="BD104" i="34"/>
  <c r="BD5" i="34"/>
  <c r="BD7" i="34"/>
  <c r="BD11" i="34"/>
  <c r="BD15" i="34"/>
  <c r="BD19" i="34"/>
  <c r="BD23" i="34"/>
  <c r="BD27" i="34"/>
  <c r="BD31" i="34"/>
  <c r="BD35" i="34"/>
  <c r="BD39" i="34"/>
  <c r="BD43" i="34"/>
  <c r="BD47" i="34"/>
  <c r="BD51" i="34"/>
  <c r="BD55" i="34"/>
  <c r="BD59" i="34"/>
  <c r="BD63" i="34"/>
  <c r="BD67" i="34"/>
  <c r="BD71" i="34"/>
  <c r="BD75" i="34"/>
  <c r="BD79" i="34"/>
  <c r="BD83" i="34"/>
  <c r="BD87" i="34"/>
  <c r="BD91" i="34"/>
  <c r="BD95" i="34"/>
  <c r="BD99" i="34"/>
  <c r="BD103" i="34"/>
  <c r="BD9" i="34"/>
  <c r="BD17" i="34"/>
  <c r="BD25" i="34"/>
  <c r="BD33" i="34"/>
  <c r="BD41" i="34"/>
  <c r="BD49" i="34"/>
  <c r="BD57" i="34"/>
  <c r="BD65" i="34"/>
  <c r="BD73" i="34"/>
  <c r="BD81" i="34"/>
  <c r="BD89" i="34"/>
  <c r="BD97" i="34"/>
  <c r="BD105" i="34"/>
  <c r="BD13" i="34"/>
  <c r="BD21" i="34"/>
  <c r="BD29" i="34"/>
  <c r="BD37" i="34"/>
  <c r="BD45" i="34"/>
  <c r="BD53" i="34"/>
  <c r="BD61" i="34"/>
  <c r="BD69" i="34"/>
  <c r="BD77" i="34"/>
  <c r="BD85" i="34"/>
  <c r="BD93" i="34"/>
  <c r="BD101" i="34"/>
  <c r="AX7" i="34"/>
  <c r="AX9" i="34"/>
  <c r="AX11" i="34"/>
  <c r="AX13" i="34"/>
  <c r="AX15" i="34"/>
  <c r="AX17" i="34"/>
  <c r="AX19" i="34"/>
  <c r="AX21" i="34"/>
  <c r="AX23" i="34"/>
  <c r="AX25" i="34"/>
  <c r="AX27" i="34"/>
  <c r="AX29" i="34"/>
  <c r="AX31" i="34"/>
  <c r="AX33" i="34"/>
  <c r="AX35" i="34"/>
  <c r="AX37" i="34"/>
  <c r="AX39" i="34"/>
  <c r="AX41" i="34"/>
  <c r="AX43" i="34"/>
  <c r="AX45" i="34"/>
  <c r="AX47" i="34"/>
  <c r="AX49" i="34"/>
  <c r="AX51" i="34"/>
  <c r="AX53" i="34"/>
  <c r="AX55" i="34"/>
  <c r="AX57" i="34"/>
  <c r="AX59" i="34"/>
  <c r="AX61" i="34"/>
  <c r="AX63" i="34"/>
  <c r="AX65" i="34"/>
  <c r="AX67" i="34"/>
  <c r="AX69" i="34"/>
  <c r="AX71" i="34"/>
  <c r="AX73" i="34"/>
  <c r="AX75" i="34"/>
  <c r="AX77" i="34"/>
  <c r="AX79" i="34"/>
  <c r="AX81" i="34"/>
  <c r="AX83" i="34"/>
  <c r="AX85" i="34"/>
  <c r="AX87" i="34"/>
  <c r="AX89" i="34"/>
  <c r="AX91" i="34"/>
  <c r="AX93" i="34"/>
  <c r="AX95" i="34"/>
  <c r="AX97" i="34"/>
  <c r="AX99" i="34"/>
  <c r="AX101" i="34"/>
  <c r="AX103" i="34"/>
  <c r="AX105" i="34"/>
  <c r="AX8" i="34"/>
  <c r="AX12" i="34"/>
  <c r="AX16" i="34"/>
  <c r="AX20" i="34"/>
  <c r="AX24" i="34"/>
  <c r="AX28" i="34"/>
  <c r="AX32" i="34"/>
  <c r="AX36" i="34"/>
  <c r="AX40" i="34"/>
  <c r="AX44" i="34"/>
  <c r="AX48" i="34"/>
  <c r="AX52" i="34"/>
  <c r="AX56" i="34"/>
  <c r="AX60" i="34"/>
  <c r="AX64" i="34"/>
  <c r="AX68" i="34"/>
  <c r="AX72" i="34"/>
  <c r="AX76" i="34"/>
  <c r="AX80" i="34"/>
  <c r="AX84" i="34"/>
  <c r="AX88" i="34"/>
  <c r="AX92" i="34"/>
  <c r="AX96" i="34"/>
  <c r="AX100" i="34"/>
  <c r="AX104" i="34"/>
  <c r="AX10" i="34"/>
  <c r="AX18" i="34"/>
  <c r="AX26" i="34"/>
  <c r="AX34" i="34"/>
  <c r="AX42" i="34"/>
  <c r="AX50" i="34"/>
  <c r="AX58" i="34"/>
  <c r="AX66" i="34"/>
  <c r="AX74" i="34"/>
  <c r="AX82" i="34"/>
  <c r="AX90" i="34"/>
  <c r="AX98" i="34"/>
  <c r="AX5" i="34"/>
  <c r="AX6" i="34"/>
  <c r="AX14" i="34"/>
  <c r="AX22" i="34"/>
  <c r="AX30" i="34"/>
  <c r="AX38" i="34"/>
  <c r="AX46" i="34"/>
  <c r="AX54" i="34"/>
  <c r="AX62" i="34"/>
  <c r="AX70" i="34"/>
  <c r="AX78" i="34"/>
  <c r="AX86" i="34"/>
  <c r="AX94" i="34"/>
  <c r="AX102" i="34"/>
  <c r="AH5" i="34"/>
  <c r="AH7" i="34"/>
  <c r="AH9" i="34"/>
  <c r="AH11" i="34"/>
  <c r="AH13" i="34"/>
  <c r="AH15" i="34"/>
  <c r="AH17" i="34"/>
  <c r="AH19" i="34"/>
  <c r="AH21" i="34"/>
  <c r="AH23" i="34"/>
  <c r="AH25" i="34"/>
  <c r="AH27" i="34"/>
  <c r="AH29" i="34"/>
  <c r="AH31" i="34"/>
  <c r="AH33" i="34"/>
  <c r="AH35" i="34"/>
  <c r="AH37" i="34"/>
  <c r="AH39" i="34"/>
  <c r="AH41" i="34"/>
  <c r="AH43" i="34"/>
  <c r="AH45" i="34"/>
  <c r="AH47" i="34"/>
  <c r="AH49" i="34"/>
  <c r="AH51" i="34"/>
  <c r="AH53" i="34"/>
  <c r="AH55" i="34"/>
  <c r="AH57" i="34"/>
  <c r="AH59" i="34"/>
  <c r="AH61" i="34"/>
  <c r="AH63" i="34"/>
  <c r="AH65" i="34"/>
  <c r="AH67" i="34"/>
  <c r="AH69" i="34"/>
  <c r="AH71" i="34"/>
  <c r="AH73" i="34"/>
  <c r="AH75" i="34"/>
  <c r="AH77" i="34"/>
  <c r="AH79" i="34"/>
  <c r="AH81" i="34"/>
  <c r="AH83" i="34"/>
  <c r="AH85" i="34"/>
  <c r="AH87" i="34"/>
  <c r="AH89" i="34"/>
  <c r="AH91" i="34"/>
  <c r="AH93" i="34"/>
  <c r="AH95" i="34"/>
  <c r="AH97" i="34"/>
  <c r="AH99" i="34"/>
  <c r="AH101" i="34"/>
  <c r="AH103" i="34"/>
  <c r="AH105" i="34"/>
  <c r="AH8" i="34"/>
  <c r="AH12" i="34"/>
  <c r="AH16" i="34"/>
  <c r="AH20" i="34"/>
  <c r="AH24" i="34"/>
  <c r="AH28" i="34"/>
  <c r="AH32" i="34"/>
  <c r="AH36" i="34"/>
  <c r="AH40" i="34"/>
  <c r="AH44" i="34"/>
  <c r="AH48" i="34"/>
  <c r="AH52" i="34"/>
  <c r="AH56" i="34"/>
  <c r="AH60" i="34"/>
  <c r="AH64" i="34"/>
  <c r="AH68" i="34"/>
  <c r="AH72" i="34"/>
  <c r="AH76" i="34"/>
  <c r="AH80" i="34"/>
  <c r="AH84" i="34"/>
  <c r="AH88" i="34"/>
  <c r="AH92" i="34"/>
  <c r="AH96" i="34"/>
  <c r="AH100" i="34"/>
  <c r="AH104" i="34"/>
  <c r="AH10" i="34"/>
  <c r="AH18" i="34"/>
  <c r="AH26" i="34"/>
  <c r="AH34" i="34"/>
  <c r="AH42" i="34"/>
  <c r="AH50" i="34"/>
  <c r="AH58" i="34"/>
  <c r="AH66" i="34"/>
  <c r="AH74" i="34"/>
  <c r="AH82" i="34"/>
  <c r="AH90" i="34"/>
  <c r="AH98" i="34"/>
  <c r="AH6" i="34"/>
  <c r="AH14" i="34"/>
  <c r="AH22" i="34"/>
  <c r="AH30" i="34"/>
  <c r="AH38" i="34"/>
  <c r="AH46" i="34"/>
  <c r="AH54" i="34"/>
  <c r="AH62" i="34"/>
  <c r="AH70" i="34"/>
  <c r="AH78" i="34"/>
  <c r="AH86" i="34"/>
  <c r="AH94" i="34"/>
  <c r="AH102" i="34"/>
  <c r="H7" i="34"/>
  <c r="H9" i="34"/>
  <c r="H11" i="34"/>
  <c r="H13" i="34"/>
  <c r="H15" i="34"/>
  <c r="H17" i="34"/>
  <c r="H19" i="34"/>
  <c r="H21" i="34"/>
  <c r="H23" i="34"/>
  <c r="H25" i="34"/>
  <c r="H27" i="34"/>
  <c r="H29" i="34"/>
  <c r="H31" i="34"/>
  <c r="H33" i="34"/>
  <c r="H35" i="34"/>
  <c r="H37" i="34"/>
  <c r="H39" i="34"/>
  <c r="H41" i="34"/>
  <c r="H43" i="34"/>
  <c r="H45" i="34"/>
  <c r="H47" i="34"/>
  <c r="H49" i="34"/>
  <c r="H51" i="34"/>
  <c r="H53" i="34"/>
  <c r="H55" i="34"/>
  <c r="H57" i="34"/>
  <c r="H59" i="34"/>
  <c r="H61" i="34"/>
  <c r="H63" i="34"/>
  <c r="H65" i="34"/>
  <c r="H67" i="34"/>
  <c r="H69" i="34"/>
  <c r="H71" i="34"/>
  <c r="H73" i="34"/>
  <c r="H75" i="34"/>
  <c r="H77" i="34"/>
  <c r="H79" i="34"/>
  <c r="H81" i="34"/>
  <c r="H83" i="34"/>
  <c r="H85" i="34"/>
  <c r="H87" i="34"/>
  <c r="H89" i="34"/>
  <c r="H91" i="34"/>
  <c r="H93" i="34"/>
  <c r="H95" i="34"/>
  <c r="H97" i="34"/>
  <c r="H99" i="34"/>
  <c r="H101" i="34"/>
  <c r="H103" i="34"/>
  <c r="H105" i="34"/>
  <c r="H6" i="34"/>
  <c r="H8" i="34"/>
  <c r="H10" i="34"/>
  <c r="H12" i="34"/>
  <c r="H14" i="34"/>
  <c r="H16" i="34"/>
  <c r="H18" i="34"/>
  <c r="H20" i="34"/>
  <c r="H22" i="34"/>
  <c r="H24" i="34"/>
  <c r="H26" i="34"/>
  <c r="H28" i="34"/>
  <c r="H30" i="34"/>
  <c r="H32" i="34"/>
  <c r="H34" i="34"/>
  <c r="H36" i="34"/>
  <c r="H38" i="34"/>
  <c r="H40" i="34"/>
  <c r="H42" i="34"/>
  <c r="H44" i="34"/>
  <c r="H46" i="34"/>
  <c r="H48" i="34"/>
  <c r="H50" i="34"/>
  <c r="H52" i="34"/>
  <c r="H54" i="34"/>
  <c r="H56" i="34"/>
  <c r="H58" i="34"/>
  <c r="H60" i="34"/>
  <c r="H62" i="34"/>
  <c r="H64" i="34"/>
  <c r="H66" i="34"/>
  <c r="H68" i="34"/>
  <c r="H70" i="34"/>
  <c r="H72" i="34"/>
  <c r="H74" i="34"/>
  <c r="H76" i="34"/>
  <c r="H78" i="34"/>
  <c r="H80" i="34"/>
  <c r="H82" i="34"/>
  <c r="H84" i="34"/>
  <c r="H86" i="34"/>
  <c r="H88" i="34"/>
  <c r="H90" i="34"/>
  <c r="H92" i="34"/>
  <c r="H94" i="34"/>
  <c r="H96" i="34"/>
  <c r="H98" i="34"/>
  <c r="H100" i="34"/>
  <c r="H102" i="34"/>
  <c r="H104" i="34"/>
  <c r="H5" i="34"/>
  <c r="I34" i="35"/>
  <c r="H34" i="35"/>
  <c r="J34" i="35" s="1"/>
  <c r="B24" i="25"/>
  <c r="G35" i="35"/>
  <c r="B25" i="25"/>
  <c r="G36" i="35"/>
  <c r="H28" i="35"/>
  <c r="H26" i="35"/>
  <c r="H29" i="35"/>
  <c r="H25" i="35"/>
  <c r="I32" i="35"/>
  <c r="H32" i="35"/>
  <c r="J32" i="35" s="1"/>
  <c r="H33" i="35"/>
  <c r="J33" i="35" s="1"/>
  <c r="I33" i="35"/>
  <c r="CH29" i="14"/>
  <c r="BM31" i="34"/>
  <c r="BI54" i="34"/>
  <c r="BK90" i="34"/>
  <c r="BK26" i="34"/>
  <c r="BM90" i="34"/>
  <c r="BI22" i="34"/>
  <c r="BM94" i="34"/>
  <c r="BM78" i="34"/>
  <c r="BI96" i="34"/>
  <c r="BI48" i="34"/>
  <c r="BI69" i="34"/>
  <c r="BI53" i="34"/>
  <c r="B41" i="6"/>
  <c r="C41" i="6" s="1"/>
  <c r="Z41" i="32" s="1"/>
  <c r="C44" i="32"/>
  <c r="T18" i="32"/>
  <c r="CH15" i="14"/>
  <c r="B18" i="25"/>
  <c r="CH7" i="14"/>
  <c r="B20" i="25"/>
  <c r="B22" i="25"/>
  <c r="AW22" i="34"/>
  <c r="AW26" i="34"/>
  <c r="AW30" i="34"/>
  <c r="AW34" i="34"/>
  <c r="AW38" i="34"/>
  <c r="AW42" i="34"/>
  <c r="AW46" i="34"/>
  <c r="AW50" i="34"/>
  <c r="AW54" i="34"/>
  <c r="AW58" i="34"/>
  <c r="AW62" i="34"/>
  <c r="AW66" i="34"/>
  <c r="AW70" i="34"/>
  <c r="AW74" i="34"/>
  <c r="AW78" i="34"/>
  <c r="AW82" i="34"/>
  <c r="AW86" i="34"/>
  <c r="AW90" i="34"/>
  <c r="AW94" i="34"/>
  <c r="AW98" i="34"/>
  <c r="AW102" i="34"/>
  <c r="BO10" i="34"/>
  <c r="BO14" i="34"/>
  <c r="BO18" i="34"/>
  <c r="BO22" i="34"/>
  <c r="BO26" i="34"/>
  <c r="BO30" i="34"/>
  <c r="BO34" i="34"/>
  <c r="BO38" i="34"/>
  <c r="BO42" i="34"/>
  <c r="BO46" i="34"/>
  <c r="BO50" i="34"/>
  <c r="BO54" i="34"/>
  <c r="BO58" i="34"/>
  <c r="BO62" i="34"/>
  <c r="BO66" i="34"/>
  <c r="BO70" i="34"/>
  <c r="BO74" i="34"/>
  <c r="BO78" i="34"/>
  <c r="BO82" i="34"/>
  <c r="BO86" i="34"/>
  <c r="BO90" i="34"/>
  <c r="BO94" i="34"/>
  <c r="BO98" i="34"/>
  <c r="BO102" i="34"/>
  <c r="B15" i="25"/>
  <c r="CH12" i="14"/>
  <c r="B49" i="23"/>
  <c r="F49" i="23" s="1"/>
  <c r="B47" i="23"/>
  <c r="F47" i="23" s="1"/>
  <c r="B44" i="23"/>
  <c r="F44" i="23" s="1"/>
  <c r="F41" i="32"/>
  <c r="T20" i="32"/>
  <c r="A42" i="32"/>
  <c r="I42" i="32" s="1"/>
  <c r="J42" i="32" s="1"/>
  <c r="B46" i="32"/>
  <c r="C46" i="32"/>
  <c r="B44" i="32"/>
  <c r="F45" i="32"/>
  <c r="C45" i="32"/>
  <c r="CH28" i="14"/>
  <c r="B29" i="25"/>
  <c r="H42" i="32"/>
  <c r="B42" i="6"/>
  <c r="C42" i="6" s="1"/>
  <c r="Z42" i="32" s="1"/>
  <c r="B39" i="6"/>
  <c r="C39" i="6" s="1"/>
  <c r="Z39" i="32" s="1"/>
  <c r="D41" i="32"/>
  <c r="C41" i="32"/>
  <c r="F42" i="32"/>
  <c r="G46" i="32"/>
  <c r="H46" i="32"/>
  <c r="A44" i="32"/>
  <c r="I44" i="32" s="1"/>
  <c r="J44" i="32" s="1"/>
  <c r="D44" i="32"/>
  <c r="H45" i="32"/>
  <c r="CH26" i="14"/>
  <c r="CH24" i="14"/>
  <c r="H44" i="32"/>
  <c r="B48" i="23"/>
  <c r="F48" i="23" s="1"/>
  <c r="B45" i="23"/>
  <c r="F45" i="23" s="1"/>
  <c r="A41" i="32"/>
  <c r="J41" i="32" s="1"/>
  <c r="D42" i="32"/>
  <c r="A46" i="32"/>
  <c r="I46" i="32" s="1"/>
  <c r="F46" i="32"/>
  <c r="T26" i="32"/>
  <c r="F44" i="32"/>
  <c r="G45" i="32"/>
  <c r="D45" i="32"/>
  <c r="B40" i="32"/>
  <c r="F43" i="32"/>
  <c r="CH30" i="14"/>
  <c r="C38" i="32"/>
  <c r="BK15" i="34"/>
  <c r="B37" i="6"/>
  <c r="C37" i="6" s="1"/>
  <c r="Z37" i="32" s="1"/>
  <c r="D40" i="32"/>
  <c r="C40" i="32"/>
  <c r="CH23" i="14"/>
  <c r="B36" i="25"/>
  <c r="B43" i="23"/>
  <c r="F43" i="23" s="1"/>
  <c r="A40" i="32"/>
  <c r="I40" i="32" s="1"/>
  <c r="CH19" i="14"/>
  <c r="CH11" i="14"/>
  <c r="B26" i="25"/>
  <c r="H40" i="32"/>
  <c r="F40" i="32"/>
  <c r="CH21" i="14"/>
  <c r="BM62" i="34"/>
  <c r="H43" i="32"/>
  <c r="C39" i="32"/>
  <c r="B23" i="25"/>
  <c r="B36" i="32"/>
  <c r="F15" i="39"/>
  <c r="F23" i="39"/>
  <c r="F37" i="39"/>
  <c r="F18" i="39"/>
  <c r="F35" i="39"/>
  <c r="F5" i="39"/>
  <c r="F10" i="39"/>
  <c r="F19" i="39"/>
  <c r="F27" i="39"/>
  <c r="F34" i="39"/>
  <c r="F41" i="39"/>
  <c r="F7" i="39"/>
  <c r="F14" i="39"/>
  <c r="F22" i="39"/>
  <c r="F31" i="39"/>
  <c r="F40" i="39"/>
  <c r="C31" i="38"/>
  <c r="B30" i="38"/>
  <c r="B32" i="38"/>
  <c r="B200" i="38"/>
  <c r="B202" i="38"/>
  <c r="B203" i="38" s="1"/>
  <c r="B204" i="38" s="1"/>
  <c r="B205" i="38" s="1"/>
  <c r="B206" i="38" s="1"/>
  <c r="B207" i="38" s="1"/>
  <c r="B208" i="38" s="1"/>
  <c r="B209" i="38" s="1"/>
  <c r="B210" i="38" s="1"/>
  <c r="B211" i="38" s="1"/>
  <c r="B230" i="38"/>
  <c r="B231" i="38" s="1"/>
  <c r="B232" i="38" s="1"/>
  <c r="B233" i="38" s="1"/>
  <c r="B234" i="38" s="1"/>
  <c r="B235" i="38" s="1"/>
  <c r="B236" i="38" s="1"/>
  <c r="B237" i="38" s="1"/>
  <c r="B238" i="38" s="1"/>
  <c r="B239" i="38" s="1"/>
  <c r="B228" i="38"/>
  <c r="B254" i="38"/>
  <c r="B256" i="38"/>
  <c r="B257" i="38" s="1"/>
  <c r="B258" i="38" s="1"/>
  <c r="B259" i="38" s="1"/>
  <c r="B260" i="38" s="1"/>
  <c r="B261" i="38" s="1"/>
  <c r="B262" i="38" s="1"/>
  <c r="B263" i="38" s="1"/>
  <c r="B264" i="38" s="1"/>
  <c r="B265" i="38" s="1"/>
  <c r="E45" i="38"/>
  <c r="E46" i="38" s="1"/>
  <c r="E47" i="38" s="1"/>
  <c r="E48" i="38" s="1"/>
  <c r="E49" i="38" s="1"/>
  <c r="E50" i="38" s="1"/>
  <c r="E51" i="38" s="1"/>
  <c r="E52" i="38" s="1"/>
  <c r="E53" i="38" s="1"/>
  <c r="E54" i="38" s="1"/>
  <c r="E43" i="38"/>
  <c r="E69" i="38"/>
  <c r="E71" i="38"/>
  <c r="E72" i="38" s="1"/>
  <c r="E73" i="38" s="1"/>
  <c r="E74" i="38" s="1"/>
  <c r="E75" i="38" s="1"/>
  <c r="E76" i="38" s="1"/>
  <c r="E77" i="38" s="1"/>
  <c r="E78" i="38" s="1"/>
  <c r="E79" i="38" s="1"/>
  <c r="E80" i="38" s="1"/>
  <c r="E95" i="38"/>
  <c r="E97" i="38"/>
  <c r="E98" i="38" s="1"/>
  <c r="E99" i="38" s="1"/>
  <c r="E100" i="38" s="1"/>
  <c r="E101" i="38" s="1"/>
  <c r="E102" i="38" s="1"/>
  <c r="E103" i="38" s="1"/>
  <c r="E104" i="38" s="1"/>
  <c r="E105" i="38" s="1"/>
  <c r="E106" i="38" s="1"/>
  <c r="E121" i="38"/>
  <c r="E123" i="38"/>
  <c r="E124" i="38" s="1"/>
  <c r="E125" i="38" s="1"/>
  <c r="E126" i="38" s="1"/>
  <c r="E127" i="38" s="1"/>
  <c r="E128" i="38" s="1"/>
  <c r="E129" i="38" s="1"/>
  <c r="E130" i="38" s="1"/>
  <c r="E131" i="38" s="1"/>
  <c r="E132" i="38" s="1"/>
  <c r="E243" i="38"/>
  <c r="E244" i="38" s="1"/>
  <c r="E245" i="38" s="1"/>
  <c r="E246" i="38" s="1"/>
  <c r="E247" i="38" s="1"/>
  <c r="E248" i="38" s="1"/>
  <c r="E249" i="38" s="1"/>
  <c r="E250" i="38" s="1"/>
  <c r="E251" i="38" s="1"/>
  <c r="E252" i="38" s="1"/>
  <c r="E241" i="38"/>
  <c r="B121" i="38"/>
  <c r="B123" i="38"/>
  <c r="B124" i="38" s="1"/>
  <c r="B125" i="38" s="1"/>
  <c r="B126" i="38" s="1"/>
  <c r="B127" i="38" s="1"/>
  <c r="B128" i="38" s="1"/>
  <c r="B129" i="38" s="1"/>
  <c r="B130" i="38" s="1"/>
  <c r="B131" i="38" s="1"/>
  <c r="B132" i="38" s="1"/>
  <c r="E149" i="38"/>
  <c r="E150" i="38" s="1"/>
  <c r="E151" i="38" s="1"/>
  <c r="E152" i="38" s="1"/>
  <c r="E153" i="38" s="1"/>
  <c r="E154" i="38" s="1"/>
  <c r="E155" i="38" s="1"/>
  <c r="E156" i="38" s="1"/>
  <c r="E157" i="38" s="1"/>
  <c r="E158" i="38" s="1"/>
  <c r="E147" i="38"/>
  <c r="E202" i="38"/>
  <c r="E203" i="38" s="1"/>
  <c r="E204" i="38" s="1"/>
  <c r="E205" i="38" s="1"/>
  <c r="E206" i="38" s="1"/>
  <c r="E207" i="38" s="1"/>
  <c r="E208" i="38" s="1"/>
  <c r="E209" i="38" s="1"/>
  <c r="E210" i="38" s="1"/>
  <c r="E211" i="38" s="1"/>
  <c r="E200" i="38"/>
  <c r="E256" i="38"/>
  <c r="E257" i="38" s="1"/>
  <c r="E258" i="38" s="1"/>
  <c r="E259" i="38" s="1"/>
  <c r="E260" i="38" s="1"/>
  <c r="E261" i="38" s="1"/>
  <c r="E262" i="38" s="1"/>
  <c r="E263" i="38" s="1"/>
  <c r="E264" i="38" s="1"/>
  <c r="E265" i="38" s="1"/>
  <c r="E254" i="38"/>
  <c r="B69" i="38"/>
  <c r="B149" i="38"/>
  <c r="B150" i="38" s="1"/>
  <c r="B151" i="38" s="1"/>
  <c r="B152" i="38" s="1"/>
  <c r="B153" i="38" s="1"/>
  <c r="B154" i="38" s="1"/>
  <c r="B155" i="38" s="1"/>
  <c r="B156" i="38" s="1"/>
  <c r="B157" i="38" s="1"/>
  <c r="B158" i="38" s="1"/>
  <c r="B147" i="38"/>
  <c r="H39" i="32"/>
  <c r="B40" i="6"/>
  <c r="C40" i="6" s="1"/>
  <c r="Z40" i="32" s="1"/>
  <c r="B36" i="6"/>
  <c r="H36" i="6" s="1"/>
  <c r="C43" i="32"/>
  <c r="B39" i="32"/>
  <c r="D39" i="32"/>
  <c r="CH10" i="14"/>
  <c r="CH14" i="14"/>
  <c r="CH9" i="14"/>
  <c r="B16" i="25"/>
  <c r="B19" i="25"/>
  <c r="F30" i="39"/>
  <c r="F11" i="39"/>
  <c r="B82" i="38"/>
  <c r="B160" i="34"/>
  <c r="G27" i="35" s="1"/>
  <c r="B7" i="39"/>
  <c r="F8" i="39"/>
  <c r="F17" i="39"/>
  <c r="F25" i="39"/>
  <c r="F32" i="39"/>
  <c r="F39" i="39"/>
  <c r="F12" i="39"/>
  <c r="F21" i="39"/>
  <c r="F29" i="39"/>
  <c r="F38" i="39"/>
  <c r="B56" i="38"/>
  <c r="B58" i="38"/>
  <c r="B215" i="38"/>
  <c r="B217" i="38"/>
  <c r="B218" i="38" s="1"/>
  <c r="B219" i="38" s="1"/>
  <c r="B220" i="38" s="1"/>
  <c r="B221" i="38" s="1"/>
  <c r="B222" i="38" s="1"/>
  <c r="B223" i="38" s="1"/>
  <c r="B224" i="38" s="1"/>
  <c r="B225" i="38" s="1"/>
  <c r="B226" i="38" s="1"/>
  <c r="E6" i="38"/>
  <c r="E7" i="38" s="1"/>
  <c r="E8" i="38" s="1"/>
  <c r="E9" i="38" s="1"/>
  <c r="E10" i="38" s="1"/>
  <c r="E11" i="38" s="1"/>
  <c r="E12" i="38" s="1"/>
  <c r="E13" i="38" s="1"/>
  <c r="E14" i="38" s="1"/>
  <c r="E15" i="38" s="1"/>
  <c r="E4" i="38"/>
  <c r="E32" i="38"/>
  <c r="E33" i="38" s="1"/>
  <c r="E34" i="38" s="1"/>
  <c r="E35" i="38" s="1"/>
  <c r="E36" i="38" s="1"/>
  <c r="E37" i="38" s="1"/>
  <c r="E38" i="38" s="1"/>
  <c r="E39" i="38" s="1"/>
  <c r="E40" i="38" s="1"/>
  <c r="E41" i="38" s="1"/>
  <c r="E30" i="38"/>
  <c r="E56" i="38"/>
  <c r="E58" i="38"/>
  <c r="E59" i="38" s="1"/>
  <c r="E60" i="38" s="1"/>
  <c r="E61" i="38" s="1"/>
  <c r="E62" i="38" s="1"/>
  <c r="E63" i="38" s="1"/>
  <c r="E64" i="38" s="1"/>
  <c r="E65" i="38" s="1"/>
  <c r="E66" i="38" s="1"/>
  <c r="E67" i="38" s="1"/>
  <c r="E110" i="38"/>
  <c r="E111" i="38" s="1"/>
  <c r="E112" i="38" s="1"/>
  <c r="E113" i="38" s="1"/>
  <c r="E114" i="38" s="1"/>
  <c r="E115" i="38" s="1"/>
  <c r="E116" i="38" s="1"/>
  <c r="E117" i="38" s="1"/>
  <c r="E118" i="38" s="1"/>
  <c r="E119" i="38" s="1"/>
  <c r="E108" i="38"/>
  <c r="B108" i="38"/>
  <c r="B110" i="38"/>
  <c r="B111" i="38" s="1"/>
  <c r="B112" i="38" s="1"/>
  <c r="B113" i="38" s="1"/>
  <c r="B114" i="38" s="1"/>
  <c r="B115" i="38" s="1"/>
  <c r="B116" i="38" s="1"/>
  <c r="B117" i="38" s="1"/>
  <c r="B118" i="38" s="1"/>
  <c r="B119" i="38" s="1"/>
  <c r="B161" i="38"/>
  <c r="B163" i="38"/>
  <c r="B164" i="38" s="1"/>
  <c r="B165" i="38" s="1"/>
  <c r="B166" i="38" s="1"/>
  <c r="B167" i="38" s="1"/>
  <c r="B168" i="38" s="1"/>
  <c r="B169" i="38" s="1"/>
  <c r="B170" i="38" s="1"/>
  <c r="B171" i="38" s="1"/>
  <c r="B172" i="38" s="1"/>
  <c r="B46" i="23"/>
  <c r="F46" i="23" s="1"/>
  <c r="B42" i="23"/>
  <c r="F42" i="23" s="1"/>
  <c r="T12" i="32"/>
  <c r="B43" i="32"/>
  <c r="A43" i="32"/>
  <c r="I43" i="32" s="1"/>
  <c r="F39" i="32"/>
  <c r="CH16" i="14"/>
  <c r="T24" i="32"/>
  <c r="B95" i="38"/>
  <c r="B187" i="38"/>
  <c r="B189" i="38"/>
  <c r="B190" i="38" s="1"/>
  <c r="B191" i="38" s="1"/>
  <c r="B192" i="38" s="1"/>
  <c r="B193" i="38" s="1"/>
  <c r="B194" i="38" s="1"/>
  <c r="B195" i="38" s="1"/>
  <c r="B196" i="38" s="1"/>
  <c r="B197" i="38" s="1"/>
  <c r="B198" i="38" s="1"/>
  <c r="B241" i="38"/>
  <c r="B243" i="38"/>
  <c r="B244" i="38" s="1"/>
  <c r="B245" i="38" s="1"/>
  <c r="B246" i="38" s="1"/>
  <c r="B247" i="38" s="1"/>
  <c r="B248" i="38" s="1"/>
  <c r="B249" i="38" s="1"/>
  <c r="B250" i="38" s="1"/>
  <c r="B251" i="38" s="1"/>
  <c r="B252" i="38" s="1"/>
  <c r="E84" i="38"/>
  <c r="E85" i="38" s="1"/>
  <c r="E86" i="38" s="1"/>
  <c r="E87" i="38" s="1"/>
  <c r="E88" i="38" s="1"/>
  <c r="E89" i="38" s="1"/>
  <c r="E90" i="38" s="1"/>
  <c r="E91" i="38" s="1"/>
  <c r="E92" i="38" s="1"/>
  <c r="E93" i="38" s="1"/>
  <c r="E82" i="38"/>
  <c r="E134" i="38"/>
  <c r="E136" i="38"/>
  <c r="E137" i="38" s="1"/>
  <c r="E138" i="38" s="1"/>
  <c r="E139" i="38" s="1"/>
  <c r="E140" i="38" s="1"/>
  <c r="E141" i="38" s="1"/>
  <c r="E142" i="38" s="1"/>
  <c r="E143" i="38" s="1"/>
  <c r="E144" i="38" s="1"/>
  <c r="E145" i="38" s="1"/>
  <c r="E189" i="38"/>
  <c r="E190" i="38" s="1"/>
  <c r="E191" i="38" s="1"/>
  <c r="E192" i="38" s="1"/>
  <c r="E193" i="38" s="1"/>
  <c r="E194" i="38" s="1"/>
  <c r="E195" i="38" s="1"/>
  <c r="E196" i="38" s="1"/>
  <c r="E197" i="38" s="1"/>
  <c r="E198" i="38" s="1"/>
  <c r="E187" i="38"/>
  <c r="B43" i="38"/>
  <c r="B134" i="38"/>
  <c r="B136" i="38"/>
  <c r="B137" i="38" s="1"/>
  <c r="B138" i="38" s="1"/>
  <c r="B139" i="38" s="1"/>
  <c r="B140" i="38" s="1"/>
  <c r="B141" i="38" s="1"/>
  <c r="B142" i="38" s="1"/>
  <c r="B143" i="38" s="1"/>
  <c r="B144" i="38" s="1"/>
  <c r="B145" i="38" s="1"/>
  <c r="F26" i="39"/>
  <c r="B176" i="38"/>
  <c r="B177" i="38" s="1"/>
  <c r="B178" i="38" s="1"/>
  <c r="B179" i="38" s="1"/>
  <c r="B180" i="38" s="1"/>
  <c r="B181" i="38" s="1"/>
  <c r="B182" i="38" s="1"/>
  <c r="B183" i="38" s="1"/>
  <c r="B184" i="38" s="1"/>
  <c r="B185" i="38" s="1"/>
  <c r="B174" i="38"/>
  <c r="E174" i="38"/>
  <c r="E176" i="38"/>
  <c r="E177" i="38" s="1"/>
  <c r="E178" i="38" s="1"/>
  <c r="E179" i="38" s="1"/>
  <c r="E180" i="38" s="1"/>
  <c r="E181" i="38" s="1"/>
  <c r="E182" i="38" s="1"/>
  <c r="E183" i="38" s="1"/>
  <c r="E184" i="38" s="1"/>
  <c r="E185" i="38" s="1"/>
  <c r="E230" i="38"/>
  <c r="E231" i="38" s="1"/>
  <c r="E232" i="38" s="1"/>
  <c r="E233" i="38" s="1"/>
  <c r="E234" i="38" s="1"/>
  <c r="E235" i="38" s="1"/>
  <c r="E236" i="38" s="1"/>
  <c r="E237" i="38" s="1"/>
  <c r="E238" i="38" s="1"/>
  <c r="E239" i="38" s="1"/>
  <c r="E228" i="38"/>
  <c r="F6" i="39"/>
  <c r="F13" i="39"/>
  <c r="F20" i="39"/>
  <c r="F28" i="39"/>
  <c r="F36" i="39"/>
  <c r="F9" i="39"/>
  <c r="F16" i="39"/>
  <c r="F24" i="39"/>
  <c r="F33" i="39"/>
  <c r="F42" i="39"/>
  <c r="E17" i="38"/>
  <c r="E19" i="38"/>
  <c r="E20" i="38" s="1"/>
  <c r="E21" i="38" s="1"/>
  <c r="E22" i="38" s="1"/>
  <c r="E23" i="38" s="1"/>
  <c r="E24" i="38" s="1"/>
  <c r="E25" i="38" s="1"/>
  <c r="E26" i="38" s="1"/>
  <c r="E27" i="38" s="1"/>
  <c r="E28" i="38" s="1"/>
  <c r="E163" i="38"/>
  <c r="E164" i="38" s="1"/>
  <c r="E165" i="38" s="1"/>
  <c r="E166" i="38" s="1"/>
  <c r="E167" i="38" s="1"/>
  <c r="E168" i="38" s="1"/>
  <c r="E169" i="38" s="1"/>
  <c r="E170" i="38" s="1"/>
  <c r="E171" i="38" s="1"/>
  <c r="E172" i="38" s="1"/>
  <c r="E161" i="38"/>
  <c r="E215" i="38"/>
  <c r="E217" i="38"/>
  <c r="E218" i="38" s="1"/>
  <c r="E219" i="38" s="1"/>
  <c r="E220" i="38" s="1"/>
  <c r="E221" i="38" s="1"/>
  <c r="E222" i="38" s="1"/>
  <c r="E223" i="38" s="1"/>
  <c r="E224" i="38" s="1"/>
  <c r="E225" i="38" s="1"/>
  <c r="E226" i="38" s="1"/>
  <c r="D43" i="32"/>
  <c r="A39" i="32"/>
  <c r="J39" i="32" s="1"/>
  <c r="T22" i="32"/>
  <c r="E43" i="15"/>
  <c r="D43" i="37"/>
  <c r="F255" i="38" s="1"/>
  <c r="A14" i="7"/>
  <c r="D11" i="37"/>
  <c r="C96" i="38" s="1"/>
  <c r="A11" i="7"/>
  <c r="D8" i="37"/>
  <c r="C57" i="38" s="1"/>
  <c r="A10" i="7"/>
  <c r="D7" i="37"/>
  <c r="C44" i="38" s="1"/>
  <c r="E29" i="15"/>
  <c r="T29" i="32" s="1"/>
  <c r="D29" i="37"/>
  <c r="F70" i="38" s="1"/>
  <c r="E41" i="15"/>
  <c r="F41" i="15" s="1"/>
  <c r="D41" i="37"/>
  <c r="F229" i="38" s="1"/>
  <c r="E10" i="15"/>
  <c r="F10" i="15" s="1"/>
  <c r="D10" i="37"/>
  <c r="C83" i="38" s="1"/>
  <c r="A12" i="7"/>
  <c r="D9" i="37"/>
  <c r="C70" i="38" s="1"/>
  <c r="B156" i="34"/>
  <c r="G23" i="35" s="1"/>
  <c r="B3" i="39"/>
  <c r="A7" i="7"/>
  <c r="D4" i="37"/>
  <c r="C5" i="38" s="1"/>
  <c r="B17" i="38"/>
  <c r="B19" i="38"/>
  <c r="B20" i="38" s="1"/>
  <c r="B21" i="38" s="1"/>
  <c r="B22" i="38" s="1"/>
  <c r="B23" i="38" s="1"/>
  <c r="B24" i="38" s="1"/>
  <c r="B25" i="38" s="1"/>
  <c r="B26" i="38" s="1"/>
  <c r="B27" i="38" s="1"/>
  <c r="B28" i="38" s="1"/>
  <c r="B157" i="34"/>
  <c r="G24" i="35" s="1"/>
  <c r="B4" i="39"/>
  <c r="C11" i="38"/>
  <c r="H4" i="37"/>
  <c r="C15" i="38" s="1"/>
  <c r="L4" i="37"/>
  <c r="C13" i="38" s="1"/>
  <c r="C24" i="38"/>
  <c r="H5" i="37"/>
  <c r="C28" i="38" s="1"/>
  <c r="L5" i="37"/>
  <c r="C26" i="38" s="1"/>
  <c r="F3" i="39"/>
  <c r="F4" i="39"/>
  <c r="EX35" i="14"/>
  <c r="C36" i="27" s="1"/>
  <c r="BK18" i="34"/>
  <c r="BK82" i="34"/>
  <c r="BI93" i="34"/>
  <c r="D35" i="32"/>
  <c r="BI72" i="34"/>
  <c r="C36" i="32"/>
  <c r="BK88" i="34"/>
  <c r="BK10" i="34"/>
  <c r="BK74" i="34"/>
  <c r="BK70" i="34"/>
  <c r="BK92" i="34"/>
  <c r="BM99" i="34"/>
  <c r="BM7" i="34"/>
  <c r="BI55" i="34"/>
  <c r="BI9" i="34"/>
  <c r="BK64" i="34"/>
  <c r="BK49" i="34"/>
  <c r="BK23" i="34"/>
  <c r="BK40" i="34"/>
  <c r="BM82" i="34"/>
  <c r="BM53" i="34"/>
  <c r="BM87" i="34"/>
  <c r="BM68" i="34"/>
  <c r="BI102" i="34"/>
  <c r="BI38" i="34"/>
  <c r="BI6" i="34"/>
  <c r="B39" i="23"/>
  <c r="F39" i="23" s="1"/>
  <c r="BK51" i="34"/>
  <c r="BK46" i="34"/>
  <c r="BK97" i="34"/>
  <c r="BM96" i="34"/>
  <c r="BM26" i="34"/>
  <c r="BI85" i="34"/>
  <c r="BI78" i="34"/>
  <c r="BI43" i="34"/>
  <c r="B35" i="6"/>
  <c r="Y35" i="32" s="1"/>
  <c r="BK78" i="34"/>
  <c r="BM13" i="34"/>
  <c r="BI45" i="34"/>
  <c r="BI67" i="34"/>
  <c r="BI26" i="34"/>
  <c r="E35" i="6"/>
  <c r="AB35" i="32" s="1"/>
  <c r="BK93" i="34"/>
  <c r="BK75" i="34"/>
  <c r="BK34" i="34"/>
  <c r="BK66" i="34"/>
  <c r="BK98" i="34"/>
  <c r="BK54" i="34"/>
  <c r="BK84" i="34"/>
  <c r="BM55" i="34"/>
  <c r="BM50" i="34"/>
  <c r="BM61" i="34"/>
  <c r="BM23" i="34"/>
  <c r="BI89" i="34"/>
  <c r="BK61" i="34"/>
  <c r="BK58" i="34"/>
  <c r="BK33" i="34"/>
  <c r="BK8" i="34"/>
  <c r="BK71" i="34"/>
  <c r="BM45" i="34"/>
  <c r="BM104" i="34"/>
  <c r="BM17" i="34"/>
  <c r="BI61" i="34"/>
  <c r="BI83" i="34"/>
  <c r="BI15" i="34"/>
  <c r="BI10" i="34"/>
  <c r="D38" i="32"/>
  <c r="BK29" i="34"/>
  <c r="BM65" i="34"/>
  <c r="BI32" i="34"/>
  <c r="BM37" i="34"/>
  <c r="BM47" i="34"/>
  <c r="BI27" i="34"/>
  <c r="BI88" i="34"/>
  <c r="F38" i="32"/>
  <c r="C35" i="32"/>
  <c r="BK42" i="34"/>
  <c r="BK6" i="34"/>
  <c r="BK55" i="34"/>
  <c r="BK72" i="34"/>
  <c r="BK102" i="34"/>
  <c r="BK7" i="34"/>
  <c r="BK13" i="34"/>
  <c r="BM48" i="34"/>
  <c r="BM32" i="34"/>
  <c r="BM18" i="34"/>
  <c r="BM69" i="34"/>
  <c r="BM44" i="34"/>
  <c r="BI28" i="34"/>
  <c r="BI11" i="34"/>
  <c r="BI49" i="34"/>
  <c r="BI21" i="34"/>
  <c r="BI91" i="34"/>
  <c r="BI82" i="34"/>
  <c r="BK24" i="34"/>
  <c r="BK38" i="34"/>
  <c r="BM101" i="34"/>
  <c r="BM88" i="34"/>
  <c r="BI18" i="34"/>
  <c r="BI66" i="34"/>
  <c r="B41" i="23"/>
  <c r="F41" i="23" s="1"/>
  <c r="B38" i="32"/>
  <c r="BK79" i="34"/>
  <c r="BK50" i="34"/>
  <c r="BK17" i="34"/>
  <c r="BK81" i="34"/>
  <c r="BK96" i="34"/>
  <c r="BK39" i="34"/>
  <c r="BK48" i="34"/>
  <c r="BK45" i="34"/>
  <c r="BK22" i="34"/>
  <c r="BK86" i="34"/>
  <c r="BM72" i="34"/>
  <c r="BM10" i="34"/>
  <c r="BM40" i="34"/>
  <c r="BM24" i="34"/>
  <c r="BM93" i="34"/>
  <c r="BI79" i="34"/>
  <c r="BI99" i="34"/>
  <c r="BI39" i="34"/>
  <c r="BI12" i="34"/>
  <c r="BI101" i="34"/>
  <c r="BI30" i="34"/>
  <c r="BI59" i="34"/>
  <c r="BI64" i="34"/>
  <c r="BI77" i="34"/>
  <c r="BI42" i="34"/>
  <c r="BI37" i="34"/>
  <c r="BM59" i="34"/>
  <c r="BM58" i="34"/>
  <c r="BI98" i="34"/>
  <c r="BI97" i="34"/>
  <c r="BK65" i="34"/>
  <c r="BK43" i="34"/>
  <c r="BK57" i="34"/>
  <c r="BK35" i="34"/>
  <c r="BK27" i="34"/>
  <c r="BK28" i="34"/>
  <c r="BK60" i="34"/>
  <c r="BK53" i="34"/>
  <c r="BK31" i="34"/>
  <c r="BK83" i="34"/>
  <c r="BM19" i="34"/>
  <c r="BM63" i="34"/>
  <c r="BM91" i="34"/>
  <c r="BM54" i="34"/>
  <c r="BM83" i="34"/>
  <c r="BM64" i="34"/>
  <c r="BM49" i="34"/>
  <c r="BM70" i="34"/>
  <c r="BM76" i="34"/>
  <c r="BM33" i="34"/>
  <c r="BM16" i="34"/>
  <c r="BM89" i="34"/>
  <c r="BM103" i="34"/>
  <c r="BI62" i="34"/>
  <c r="BI104" i="34"/>
  <c r="BI40" i="34"/>
  <c r="BI71" i="34"/>
  <c r="BI33" i="34"/>
  <c r="BI50" i="34"/>
  <c r="BI31" i="34"/>
  <c r="BI14" i="34"/>
  <c r="BI51" i="34"/>
  <c r="BI92" i="34"/>
  <c r="BI60" i="34"/>
  <c r="BI24" i="34"/>
  <c r="BM28" i="34"/>
  <c r="BM27" i="34"/>
  <c r="BK59" i="34"/>
  <c r="BK94" i="34"/>
  <c r="BK41" i="34"/>
  <c r="BK103" i="34"/>
  <c r="BK16" i="34"/>
  <c r="BK104" i="34"/>
  <c r="BK47" i="34"/>
  <c r="BK52" i="34"/>
  <c r="BK37" i="34"/>
  <c r="BK101" i="34"/>
  <c r="BK19" i="34"/>
  <c r="BM15" i="34"/>
  <c r="BM20" i="34"/>
  <c r="BM29" i="34"/>
  <c r="BM79" i="34"/>
  <c r="BM56" i="34"/>
  <c r="BM21" i="34"/>
  <c r="BM46" i="34"/>
  <c r="BM36" i="34"/>
  <c r="BM100" i="34"/>
  <c r="BM73" i="34"/>
  <c r="BM71" i="34"/>
  <c r="BM8" i="34"/>
  <c r="BI70" i="34"/>
  <c r="BI19" i="34"/>
  <c r="BI80" i="34"/>
  <c r="BI29" i="34"/>
  <c r="BI87" i="34"/>
  <c r="BI47" i="34"/>
  <c r="BI90" i="34"/>
  <c r="BI20" i="34"/>
  <c r="BI7" i="34"/>
  <c r="BI41" i="34"/>
  <c r="BI65" i="34"/>
  <c r="BI100" i="34"/>
  <c r="BI68" i="34"/>
  <c r="BI36" i="34"/>
  <c r="BI17" i="34"/>
  <c r="BM43" i="34"/>
  <c r="BM42" i="34"/>
  <c r="BM75" i="34"/>
  <c r="BM74" i="34"/>
  <c r="BI58" i="34"/>
  <c r="BI57" i="34"/>
  <c r="BK67" i="34"/>
  <c r="BK62" i="34"/>
  <c r="BK25" i="34"/>
  <c r="BK89" i="34"/>
  <c r="BK11" i="34"/>
  <c r="BK80" i="34"/>
  <c r="BK12" i="34"/>
  <c r="BK44" i="34"/>
  <c r="BK76" i="34"/>
  <c r="BK21" i="34"/>
  <c r="BK85" i="34"/>
  <c r="BK95" i="34"/>
  <c r="BM97" i="34"/>
  <c r="BM51" i="34"/>
  <c r="BM30" i="34"/>
  <c r="BM12" i="34"/>
  <c r="BM102" i="34"/>
  <c r="BM22" i="34"/>
  <c r="BM60" i="34"/>
  <c r="BM92" i="34"/>
  <c r="BM57" i="34"/>
  <c r="BM39" i="34"/>
  <c r="BI46" i="34"/>
  <c r="BI103" i="34"/>
  <c r="BI56" i="34"/>
  <c r="BI105" i="34"/>
  <c r="BI63" i="34"/>
  <c r="BI34" i="34"/>
  <c r="BI81" i="34"/>
  <c r="BI76" i="34"/>
  <c r="BI44" i="34"/>
  <c r="BI25" i="34"/>
  <c r="BM35" i="34"/>
  <c r="BM34" i="34"/>
  <c r="BK30" i="34"/>
  <c r="BK56" i="34"/>
  <c r="BK9" i="34"/>
  <c r="BK73" i="34"/>
  <c r="BK99" i="34"/>
  <c r="BK36" i="34"/>
  <c r="BK68" i="34"/>
  <c r="BK100" i="34"/>
  <c r="BK69" i="34"/>
  <c r="BK63" i="34"/>
  <c r="BK91" i="34"/>
  <c r="BM66" i="34"/>
  <c r="BM98" i="34"/>
  <c r="BM11" i="34"/>
  <c r="BM95" i="34"/>
  <c r="BM80" i="34"/>
  <c r="BM81" i="34"/>
  <c r="BM86" i="34"/>
  <c r="BM6" i="34"/>
  <c r="BM52" i="34"/>
  <c r="BM84" i="34"/>
  <c r="BM25" i="34"/>
  <c r="BM41" i="34"/>
  <c r="BM105" i="34"/>
  <c r="BM67" i="34"/>
  <c r="BI86" i="34"/>
  <c r="BI13" i="34"/>
  <c r="BI74" i="34"/>
  <c r="BI23" i="34"/>
  <c r="BI75" i="34"/>
  <c r="BI95" i="34"/>
  <c r="BI84" i="34"/>
  <c r="BI52" i="34"/>
  <c r="BI8" i="34"/>
  <c r="A36" i="32"/>
  <c r="D37" i="32"/>
  <c r="H36" i="32"/>
  <c r="F36" i="32"/>
  <c r="B33" i="6"/>
  <c r="EX36" i="14"/>
  <c r="C37" i="27" s="1"/>
  <c r="C37" i="32"/>
  <c r="B37" i="32"/>
  <c r="CH34" i="14"/>
  <c r="E34" i="6"/>
  <c r="B34" i="6"/>
  <c r="Y34" i="32" s="1"/>
  <c r="A37" i="32"/>
  <c r="B40" i="23"/>
  <c r="F40" i="23" s="1"/>
  <c r="F37" i="32"/>
  <c r="CH33" i="14"/>
  <c r="E36" i="32"/>
  <c r="CH32" i="14"/>
  <c r="B32" i="6"/>
  <c r="Y32" i="32" s="1"/>
  <c r="E35" i="32"/>
  <c r="B38" i="23"/>
  <c r="F38" i="23" s="1"/>
  <c r="A35" i="32"/>
  <c r="H35" i="32"/>
  <c r="F35" i="32"/>
  <c r="F34" i="32"/>
  <c r="D30" i="32"/>
  <c r="F20" i="32"/>
  <c r="B27" i="32"/>
  <c r="C28" i="32"/>
  <c r="E38" i="32"/>
  <c r="CH35" i="14"/>
  <c r="H38" i="32"/>
  <c r="H37" i="32"/>
  <c r="FB35" i="14"/>
  <c r="G36" i="27" s="1"/>
  <c r="C1" i="15"/>
  <c r="G22" i="15"/>
  <c r="G20" i="15"/>
  <c r="H22" i="32"/>
  <c r="G12" i="15"/>
  <c r="M24" i="32"/>
  <c r="W24" i="32"/>
  <c r="B37" i="23"/>
  <c r="F37" i="23" s="1"/>
  <c r="D34" i="32"/>
  <c r="E34" i="32"/>
  <c r="B35" i="23"/>
  <c r="F35" i="23" s="1"/>
  <c r="E32" i="32"/>
  <c r="F30" i="32"/>
  <c r="E30" i="32"/>
  <c r="B18" i="32"/>
  <c r="E18" i="32"/>
  <c r="B20" i="32"/>
  <c r="E20" i="32"/>
  <c r="B22" i="32"/>
  <c r="E22" i="32"/>
  <c r="C24" i="32"/>
  <c r="E24" i="32"/>
  <c r="D26" i="32"/>
  <c r="E26" i="32"/>
  <c r="D28" i="32"/>
  <c r="E28" i="32"/>
  <c r="A13" i="32"/>
  <c r="E13" i="32"/>
  <c r="H15" i="32"/>
  <c r="E15" i="32"/>
  <c r="D16" i="32"/>
  <c r="E16" i="32"/>
  <c r="A33" i="32"/>
  <c r="E33" i="32"/>
  <c r="F31" i="32"/>
  <c r="E31" i="32"/>
  <c r="C17" i="32"/>
  <c r="E17" i="32"/>
  <c r="B19" i="32"/>
  <c r="E19" i="32"/>
  <c r="A21" i="32"/>
  <c r="E21" i="32"/>
  <c r="B23" i="32"/>
  <c r="E23" i="32"/>
  <c r="D25" i="32"/>
  <c r="E25" i="32"/>
  <c r="F27" i="32"/>
  <c r="E27" i="32"/>
  <c r="A29" i="32"/>
  <c r="E29" i="32"/>
  <c r="B14" i="32"/>
  <c r="E14" i="32"/>
  <c r="B12" i="32"/>
  <c r="E12" i="32"/>
  <c r="B23" i="23"/>
  <c r="E23" i="23" s="1"/>
  <c r="A22" i="32"/>
  <c r="C32" i="32"/>
  <c r="D15" i="32"/>
  <c r="F12" i="32"/>
  <c r="G13" i="6"/>
  <c r="AD13" i="32" s="1"/>
  <c r="H20" i="32"/>
  <c r="C29" i="32"/>
  <c r="C20" i="32"/>
  <c r="C30" i="32"/>
  <c r="A24" i="32"/>
  <c r="B15" i="32"/>
  <c r="E13" i="15"/>
  <c r="F13" i="15" s="1"/>
  <c r="B17" i="6"/>
  <c r="B21" i="6"/>
  <c r="B31" i="6"/>
  <c r="B29" i="6"/>
  <c r="B16" i="23"/>
  <c r="F16" i="23" s="1"/>
  <c r="B13" i="32"/>
  <c r="C34" i="32"/>
  <c r="F28" i="32"/>
  <c r="C15" i="32"/>
  <c r="F17" i="32"/>
  <c r="B32" i="32"/>
  <c r="D21" i="32"/>
  <c r="H25" i="32"/>
  <c r="B28" i="6"/>
  <c r="B30" i="23"/>
  <c r="F30" i="23" s="1"/>
  <c r="B24" i="23"/>
  <c r="E24" i="23" s="1"/>
  <c r="C33" i="32"/>
  <c r="F23" i="32"/>
  <c r="F14" i="32"/>
  <c r="C21" i="32"/>
  <c r="B11" i="6"/>
  <c r="B18" i="6"/>
  <c r="C27" i="32"/>
  <c r="A25" i="32"/>
  <c r="B31" i="32"/>
  <c r="F19" i="32"/>
  <c r="H31" i="32"/>
  <c r="G12" i="32"/>
  <c r="B30" i="6"/>
  <c r="B25" i="32"/>
  <c r="C31" i="32"/>
  <c r="H38" i="6"/>
  <c r="H33" i="32"/>
  <c r="B9" i="6"/>
  <c r="A32" i="35" s="1"/>
  <c r="B28" i="23"/>
  <c r="F28" i="23" s="1"/>
  <c r="B24" i="6"/>
  <c r="D27" i="32"/>
  <c r="C25" i="32"/>
  <c r="F29" i="32"/>
  <c r="D29" i="32"/>
  <c r="F33" i="32"/>
  <c r="B17" i="32"/>
  <c r="A17" i="32"/>
  <c r="A23" i="32"/>
  <c r="D31" i="32"/>
  <c r="A14" i="32"/>
  <c r="A19" i="32"/>
  <c r="F21" i="32"/>
  <c r="A12" i="32"/>
  <c r="H14" i="32"/>
  <c r="A21" i="35"/>
  <c r="B21" i="35" s="1"/>
  <c r="H29" i="32"/>
  <c r="B14" i="6"/>
  <c r="B20" i="6"/>
  <c r="B36" i="23"/>
  <c r="F36" i="23" s="1"/>
  <c r="B34" i="23"/>
  <c r="F34" i="23" s="1"/>
  <c r="B26" i="6"/>
  <c r="B17" i="23"/>
  <c r="C17" i="23" s="1"/>
  <c r="B20" i="23"/>
  <c r="I20" i="23" s="1"/>
  <c r="A27" i="32"/>
  <c r="F25" i="32"/>
  <c r="B29" i="32"/>
  <c r="D33" i="32"/>
  <c r="D17" i="32"/>
  <c r="D23" i="32"/>
  <c r="B26" i="23"/>
  <c r="I26" i="23" s="1"/>
  <c r="A31" i="32"/>
  <c r="D14" i="32"/>
  <c r="D19" i="32"/>
  <c r="B21" i="32"/>
  <c r="D12" i="32"/>
  <c r="C12" i="32"/>
  <c r="H21" i="32"/>
  <c r="H19" i="32"/>
  <c r="B16" i="6"/>
  <c r="B15" i="23"/>
  <c r="F15" i="23" s="1"/>
  <c r="B22" i="6"/>
  <c r="B32" i="23"/>
  <c r="F32" i="23" s="1"/>
  <c r="B33" i="32"/>
  <c r="C23" i="32"/>
  <c r="C14" i="32"/>
  <c r="C19" i="32"/>
  <c r="H16" i="32"/>
  <c r="F16" i="32"/>
  <c r="FA14" i="14"/>
  <c r="F15" i="27" s="1"/>
  <c r="B13" i="6"/>
  <c r="C16" i="32"/>
  <c r="E13" i="6"/>
  <c r="A16" i="7"/>
  <c r="B19" i="23"/>
  <c r="C19" i="23" s="1"/>
  <c r="B16" i="32"/>
  <c r="A16" i="32"/>
  <c r="AF4" i="14"/>
  <c r="CH6" i="14"/>
  <c r="B23" i="6"/>
  <c r="O5" i="7"/>
  <c r="O6" i="7" s="1"/>
  <c r="N6" i="7" s="1"/>
  <c r="H28" i="32"/>
  <c r="B12" i="6"/>
  <c r="B31" i="23"/>
  <c r="F31" i="23" s="1"/>
  <c r="B18" i="23"/>
  <c r="E18" i="23" s="1"/>
  <c r="F26" i="32"/>
  <c r="A34" i="32"/>
  <c r="A18" i="32"/>
  <c r="A28" i="32"/>
  <c r="F32" i="32"/>
  <c r="F15" i="32"/>
  <c r="H26" i="32"/>
  <c r="H32" i="32"/>
  <c r="D32" i="32"/>
  <c r="B25" i="6"/>
  <c r="D20" i="32"/>
  <c r="A26" i="32"/>
  <c r="B34" i="32"/>
  <c r="B28" i="32"/>
  <c r="A32" i="32"/>
  <c r="A15" i="32"/>
  <c r="B10" i="6"/>
  <c r="A33" i="35" s="1"/>
  <c r="H34" i="32"/>
  <c r="B33" i="23"/>
  <c r="F33" i="23" s="1"/>
  <c r="F13" i="32"/>
  <c r="A20" i="32"/>
  <c r="C26" i="32"/>
  <c r="D13" i="32"/>
  <c r="B26" i="32"/>
  <c r="B24" i="32"/>
  <c r="A20" i="35"/>
  <c r="B20" i="35" s="1"/>
  <c r="A19" i="35"/>
  <c r="A18" i="35"/>
  <c r="A17" i="35"/>
  <c r="CH31" i="14"/>
  <c r="CH13" i="14"/>
  <c r="L2" i="34"/>
  <c r="F2" i="34"/>
  <c r="D2" i="34"/>
  <c r="H24" i="32"/>
  <c r="B27" i="23"/>
  <c r="F27" i="23" s="1"/>
  <c r="F24" i="32"/>
  <c r="D24" i="32"/>
  <c r="F22" i="32"/>
  <c r="B19" i="6"/>
  <c r="D22" i="32"/>
  <c r="B25" i="23"/>
  <c r="G25" i="23" s="1"/>
  <c r="C22" i="32"/>
  <c r="B21" i="23"/>
  <c r="C21" i="23" s="1"/>
  <c r="F18" i="32"/>
  <c r="D18" i="32"/>
  <c r="B15" i="6"/>
  <c r="C18" i="32"/>
  <c r="B22" i="23"/>
  <c r="F22" i="23" s="1"/>
  <c r="B30" i="32"/>
  <c r="H30" i="32"/>
  <c r="A30" i="32"/>
  <c r="B27" i="6"/>
  <c r="EW6" i="14"/>
  <c r="EX6" i="14" s="1"/>
  <c r="C7" i="27" s="1"/>
  <c r="H4" i="7"/>
  <c r="I4" i="7" s="1"/>
  <c r="AG34" i="14"/>
  <c r="AJ34" i="14"/>
  <c r="AI25" i="14"/>
  <c r="AJ25" i="14"/>
  <c r="AI14" i="14"/>
  <c r="AJ14" i="14"/>
  <c r="AK24" i="14"/>
  <c r="AJ24" i="14"/>
  <c r="AH17" i="14"/>
  <c r="AJ17" i="14"/>
  <c r="F17" i="24"/>
  <c r="AG30" i="14"/>
  <c r="AJ30" i="14"/>
  <c r="AI21" i="14"/>
  <c r="AJ21" i="14"/>
  <c r="AH10" i="14"/>
  <c r="AJ10" i="14"/>
  <c r="AH13" i="14"/>
  <c r="AJ13" i="14"/>
  <c r="AI22" i="14"/>
  <c r="AJ22" i="14"/>
  <c r="AG26" i="14"/>
  <c r="AJ26" i="14"/>
  <c r="AK32" i="14"/>
  <c r="AJ32" i="14"/>
  <c r="AK28" i="14"/>
  <c r="AJ28" i="14"/>
  <c r="E11" i="15"/>
  <c r="F11" i="15" s="1"/>
  <c r="FA9" i="14"/>
  <c r="F10" i="27" s="1"/>
  <c r="H13" i="32"/>
  <c r="G33" i="32"/>
  <c r="G26" i="32"/>
  <c r="G30" i="32"/>
  <c r="G35" i="32"/>
  <c r="G19" i="32"/>
  <c r="G21" i="32"/>
  <c r="G24" i="32"/>
  <c r="G32" i="32"/>
  <c r="G36" i="32"/>
  <c r="G40" i="32"/>
  <c r="G15" i="32"/>
  <c r="G29" i="32"/>
  <c r="G17" i="32"/>
  <c r="G42" i="32"/>
  <c r="H18" i="32"/>
  <c r="G23" i="32"/>
  <c r="G31" i="32"/>
  <c r="G39" i="32"/>
  <c r="G16" i="32"/>
  <c r="G37" i="32"/>
  <c r="G13" i="32"/>
  <c r="G25" i="32"/>
  <c r="G22" i="32"/>
  <c r="G38" i="32"/>
  <c r="H23" i="32"/>
  <c r="G28" i="32"/>
  <c r="G44" i="32"/>
  <c r="G41" i="32"/>
  <c r="H17" i="32"/>
  <c r="G20" i="32"/>
  <c r="G34" i="32"/>
  <c r="G43" i="32"/>
  <c r="G18" i="32"/>
  <c r="G14" i="32"/>
  <c r="AB6" i="32"/>
  <c r="G9" i="6"/>
  <c r="AD9" i="32" s="1"/>
  <c r="E9" i="15"/>
  <c r="F9" i="15" s="1"/>
  <c r="C4" i="32"/>
  <c r="FA12" i="14"/>
  <c r="F13" i="27" s="1"/>
  <c r="G11" i="6"/>
  <c r="AD11" i="32" s="1"/>
  <c r="D43" i="6"/>
  <c r="AA43" i="32" s="1"/>
  <c r="FA10" i="14"/>
  <c r="F11" i="27" s="1"/>
  <c r="H43" i="6"/>
  <c r="B16" i="27"/>
  <c r="M14" i="32"/>
  <c r="M22" i="32"/>
  <c r="M30" i="32"/>
  <c r="M38" i="32"/>
  <c r="A38" i="15"/>
  <c r="L20" i="32"/>
  <c r="DW25" i="14"/>
  <c r="L28" i="32"/>
  <c r="DZ13" i="14"/>
  <c r="L36" i="32"/>
  <c r="DZ21" i="14"/>
  <c r="B43" i="26" s="1"/>
  <c r="B11" i="27"/>
  <c r="B15" i="27"/>
  <c r="B19" i="27"/>
  <c r="M7" i="32"/>
  <c r="M15" i="32"/>
  <c r="M23" i="32"/>
  <c r="M31" i="32"/>
  <c r="M39" i="32"/>
  <c r="A39" i="15"/>
  <c r="L11" i="32"/>
  <c r="DW16" i="14"/>
  <c r="L19" i="32"/>
  <c r="DW24" i="14"/>
  <c r="L27" i="32"/>
  <c r="DZ12" i="14"/>
  <c r="L35" i="32"/>
  <c r="DZ20" i="14"/>
  <c r="L43" i="32"/>
  <c r="DZ28" i="14"/>
  <c r="A10" i="32"/>
  <c r="F10" i="32"/>
  <c r="D10" i="32"/>
  <c r="C10" i="32"/>
  <c r="B10" i="32"/>
  <c r="G10" i="32"/>
  <c r="AD24" i="32"/>
  <c r="T43" i="32"/>
  <c r="F43" i="6"/>
  <c r="AC43" i="32" s="1"/>
  <c r="Y43" i="32"/>
  <c r="C36" i="6"/>
  <c r="Z36" i="32" s="1"/>
  <c r="M12" i="32"/>
  <c r="M20" i="32"/>
  <c r="M28" i="32"/>
  <c r="M36" i="32"/>
  <c r="A36" i="15"/>
  <c r="L16" i="32"/>
  <c r="DW21" i="14"/>
  <c r="L26" i="32"/>
  <c r="DZ11" i="14"/>
  <c r="L34" i="32"/>
  <c r="DZ19" i="14"/>
  <c r="L42" i="32"/>
  <c r="DZ27" i="14"/>
  <c r="M13" i="32"/>
  <c r="M21" i="32"/>
  <c r="M29" i="32"/>
  <c r="M37" i="32"/>
  <c r="A37" i="15"/>
  <c r="L9" i="32"/>
  <c r="DW14" i="14"/>
  <c r="G52" i="35" s="1"/>
  <c r="L17" i="32"/>
  <c r="DW22" i="14"/>
  <c r="L25" i="32"/>
  <c r="DZ10" i="14"/>
  <c r="L33" i="32"/>
  <c r="DZ18" i="14"/>
  <c r="L41" i="32"/>
  <c r="DZ26" i="14"/>
  <c r="B9" i="27"/>
  <c r="AD21" i="32"/>
  <c r="AD32" i="32"/>
  <c r="L18" i="32"/>
  <c r="DW23" i="14"/>
  <c r="AD26" i="32"/>
  <c r="L14" i="32"/>
  <c r="DW19" i="14"/>
  <c r="L10" i="32"/>
  <c r="DW15" i="14"/>
  <c r="G53" i="35" s="1"/>
  <c r="Y41" i="32"/>
  <c r="F38" i="6"/>
  <c r="AC38" i="32" s="1"/>
  <c r="Y38" i="32"/>
  <c r="I41" i="32"/>
  <c r="I45" i="32"/>
  <c r="J45" i="32"/>
  <c r="T19" i="32"/>
  <c r="T16" i="32"/>
  <c r="B20" i="27"/>
  <c r="U17" i="32"/>
  <c r="T17" i="32"/>
  <c r="T25" i="32"/>
  <c r="T15" i="32"/>
  <c r="T23" i="32"/>
  <c r="B14" i="27"/>
  <c r="B18" i="27"/>
  <c r="B22" i="27"/>
  <c r="M10" i="32"/>
  <c r="M18" i="32"/>
  <c r="M26" i="32"/>
  <c r="M34" i="32"/>
  <c r="A34" i="15"/>
  <c r="M42" i="32"/>
  <c r="A42" i="15"/>
  <c r="L12" i="32"/>
  <c r="DW17" i="14"/>
  <c r="L32" i="32"/>
  <c r="DZ17" i="14"/>
  <c r="L40" i="32"/>
  <c r="DZ25" i="14"/>
  <c r="B13" i="27"/>
  <c r="B17" i="27"/>
  <c r="B21" i="27"/>
  <c r="M11" i="32"/>
  <c r="M19" i="32"/>
  <c r="M27" i="32"/>
  <c r="M35" i="32"/>
  <c r="A35" i="15"/>
  <c r="M43" i="32"/>
  <c r="W43" i="32"/>
  <c r="A43" i="15"/>
  <c r="L15" i="32"/>
  <c r="DW20" i="14"/>
  <c r="L23" i="32"/>
  <c r="DW28" i="14"/>
  <c r="L31" i="32"/>
  <c r="DZ16" i="14"/>
  <c r="L39" i="32"/>
  <c r="DZ24" i="14"/>
  <c r="L7" i="32"/>
  <c r="DW12" i="14"/>
  <c r="G50" i="35" s="1"/>
  <c r="AD29" i="32"/>
  <c r="AD41" i="32"/>
  <c r="AD37" i="32"/>
  <c r="AD25" i="32"/>
  <c r="AD40" i="32"/>
  <c r="AD16" i="32"/>
  <c r="AD42" i="32"/>
  <c r="T27" i="32"/>
  <c r="T14" i="32"/>
  <c r="U21" i="32"/>
  <c r="T21" i="32"/>
  <c r="B12" i="27"/>
  <c r="M8" i="32"/>
  <c r="M16" i="32"/>
  <c r="M32" i="32"/>
  <c r="A32" i="15"/>
  <c r="M40" i="32"/>
  <c r="A40" i="15"/>
  <c r="L22" i="32"/>
  <c r="DW27" i="14"/>
  <c r="L30" i="32"/>
  <c r="DZ15" i="14"/>
  <c r="L38" i="32"/>
  <c r="DZ23" i="14"/>
  <c r="M9" i="32"/>
  <c r="M17" i="32"/>
  <c r="M25" i="32"/>
  <c r="M33" i="32"/>
  <c r="A33" i="15"/>
  <c r="M41" i="32"/>
  <c r="A41" i="15"/>
  <c r="L13" i="32"/>
  <c r="DW18" i="14"/>
  <c r="L21" i="32"/>
  <c r="DW26" i="14"/>
  <c r="L29" i="32"/>
  <c r="DZ14" i="14"/>
  <c r="L37" i="32"/>
  <c r="DZ22" i="14"/>
  <c r="AD15" i="32"/>
  <c r="AD35" i="32"/>
  <c r="AD23" i="32"/>
  <c r="O3" i="7"/>
  <c r="T6" i="32"/>
  <c r="M6" i="32"/>
  <c r="M5" i="32"/>
  <c r="M4" i="32"/>
  <c r="F4" i="32"/>
  <c r="N1" i="32" s="1"/>
  <c r="H27" i="32"/>
  <c r="G27" i="32"/>
  <c r="U24" i="32"/>
  <c r="DZ9" i="14"/>
  <c r="FA6" i="14"/>
  <c r="F7" i="27" s="1"/>
  <c r="G5" i="6"/>
  <c r="AD5" i="32" s="1"/>
  <c r="E9" i="6"/>
  <c r="C32" i="35" s="1"/>
  <c r="E44" i="23"/>
  <c r="E45" i="23"/>
  <c r="D45" i="23"/>
  <c r="H45" i="23"/>
  <c r="I45" i="23"/>
  <c r="G45" i="23"/>
  <c r="G46" i="23"/>
  <c r="I46" i="23"/>
  <c r="C47" i="23"/>
  <c r="E49" i="23"/>
  <c r="D49" i="23"/>
  <c r="G49" i="23"/>
  <c r="H49" i="23"/>
  <c r="C49" i="23"/>
  <c r="I49" i="23"/>
  <c r="G29" i="23"/>
  <c r="E29" i="23"/>
  <c r="D29" i="23"/>
  <c r="C29" i="23"/>
  <c r="H29" i="23"/>
  <c r="I29" i="23"/>
  <c r="U23" i="32"/>
  <c r="U15" i="32"/>
  <c r="EZ11" i="14"/>
  <c r="E12" i="27" s="1"/>
  <c r="B13" i="23"/>
  <c r="B24" i="27"/>
  <c r="B28" i="27"/>
  <c r="B32" i="27"/>
  <c r="B25" i="27"/>
  <c r="B29" i="27"/>
  <c r="B33" i="27"/>
  <c r="B26" i="27"/>
  <c r="B30" i="27"/>
  <c r="B34" i="27"/>
  <c r="B23" i="27"/>
  <c r="B27" i="27"/>
  <c r="B31" i="27"/>
  <c r="B35" i="27"/>
  <c r="C6" i="23"/>
  <c r="N18" i="22"/>
  <c r="E6" i="23"/>
  <c r="P18" i="22"/>
  <c r="H10" i="32"/>
  <c r="G6" i="23"/>
  <c r="R18" i="22"/>
  <c r="O18" i="22"/>
  <c r="D6" i="23"/>
  <c r="E8" i="6"/>
  <c r="C31" i="35" s="1"/>
  <c r="E11" i="6"/>
  <c r="U19" i="32"/>
  <c r="AN15" i="14"/>
  <c r="AN19" i="14"/>
  <c r="U16" i="32"/>
  <c r="AK20" i="14"/>
  <c r="AK18" i="14"/>
  <c r="AK16" i="14"/>
  <c r="AG12" i="14"/>
  <c r="E7" i="15"/>
  <c r="F7" i="15" s="1"/>
  <c r="FA8" i="14"/>
  <c r="F9" i="27" s="1"/>
  <c r="G8" i="6"/>
  <c r="AD8" i="32" s="1"/>
  <c r="G7" i="6"/>
  <c r="AD7" i="32" s="1"/>
  <c r="E7" i="6"/>
  <c r="C30" i="35" s="1"/>
  <c r="E8" i="15"/>
  <c r="F8" i="15" s="1"/>
  <c r="W30" i="32"/>
  <c r="W38" i="32"/>
  <c r="W8" i="32"/>
  <c r="W16" i="32"/>
  <c r="W32" i="32"/>
  <c r="W40" i="32"/>
  <c r="W13" i="32"/>
  <c r="W21" i="32"/>
  <c r="W29" i="32"/>
  <c r="W37" i="32"/>
  <c r="EA10" i="14"/>
  <c r="W22" i="32"/>
  <c r="W11" i="32"/>
  <c r="W27" i="32"/>
  <c r="W12" i="32"/>
  <c r="W9" i="32"/>
  <c r="W17" i="32"/>
  <c r="W25" i="32"/>
  <c r="W33" i="32"/>
  <c r="W41" i="32"/>
  <c r="W14" i="32"/>
  <c r="W19" i="32"/>
  <c r="W35" i="32"/>
  <c r="W20" i="32"/>
  <c r="W28" i="32"/>
  <c r="W36" i="32"/>
  <c r="W10" i="32"/>
  <c r="W18" i="32"/>
  <c r="W26" i="32"/>
  <c r="W34" i="32"/>
  <c r="W42" i="32"/>
  <c r="W15" i="32"/>
  <c r="W23" i="32"/>
  <c r="W31" i="32"/>
  <c r="W39" i="32"/>
  <c r="W7" i="32"/>
  <c r="W6" i="32"/>
  <c r="W4" i="32"/>
  <c r="B8" i="7"/>
  <c r="E8" i="32" s="1"/>
  <c r="AG28" i="14"/>
  <c r="AH24" i="14"/>
  <c r="FA11" i="14"/>
  <c r="F12" i="27" s="1"/>
  <c r="A13" i="7"/>
  <c r="E14" i="6"/>
  <c r="G10" i="6"/>
  <c r="AG35" i="14"/>
  <c r="AK31" i="14"/>
  <c r="AG32" i="14"/>
  <c r="AG19" i="14"/>
  <c r="AG17" i="14"/>
  <c r="AI35" i="14"/>
  <c r="B8" i="15"/>
  <c r="AK35" i="14"/>
  <c r="AK23" i="14"/>
  <c r="EW9" i="14"/>
  <c r="AH19" i="14"/>
  <c r="AI12" i="14"/>
  <c r="AM30" i="14"/>
  <c r="AG31" i="14"/>
  <c r="AH15" i="14"/>
  <c r="AM23" i="14"/>
  <c r="AH12" i="14"/>
  <c r="AN32" i="14"/>
  <c r="AI33" i="14"/>
  <c r="AH35" i="14"/>
  <c r="AI18" i="14"/>
  <c r="AL35" i="14"/>
  <c r="AH32" i="14"/>
  <c r="AN12" i="14"/>
  <c r="AI29" i="14"/>
  <c r="AF9" i="14"/>
  <c r="B11" i="7"/>
  <c r="E11" i="32" s="1"/>
  <c r="AL23" i="14"/>
  <c r="AI32" i="14"/>
  <c r="AK33" i="14"/>
  <c r="AH23" i="14"/>
  <c r="AM35" i="14"/>
  <c r="AI30" i="14"/>
  <c r="AN33" i="14"/>
  <c r="AM28" i="14"/>
  <c r="AM32" i="14"/>
  <c r="AG23" i="14"/>
  <c r="AN28" i="14"/>
  <c r="AI23" i="14"/>
  <c r="AL32" i="14"/>
  <c r="AF8" i="14"/>
  <c r="AK14" i="14"/>
  <c r="B5" i="15"/>
  <c r="AK12" i="14"/>
  <c r="AK19" i="14"/>
  <c r="AH30" i="14"/>
  <c r="AI19" i="14"/>
  <c r="AK11" i="14"/>
  <c r="AH14" i="14"/>
  <c r="AG13" i="14"/>
  <c r="AG24" i="14"/>
  <c r="AN25" i="14"/>
  <c r="AM24" i="14"/>
  <c r="AN24" i="14"/>
  <c r="AI13" i="14"/>
  <c r="AH11" i="14"/>
  <c r="AN14" i="14"/>
  <c r="AI24" i="14"/>
  <c r="AK13" i="14"/>
  <c r="AH22" i="14"/>
  <c r="AK25" i="14"/>
  <c r="AH34" i="14"/>
  <c r="AI11" i="14"/>
  <c r="A36" i="7"/>
  <c r="A44" i="7"/>
  <c r="E30" i="15"/>
  <c r="F30" i="15" s="1"/>
  <c r="A33" i="7"/>
  <c r="E34" i="15"/>
  <c r="F34" i="15" s="1"/>
  <c r="A37" i="7"/>
  <c r="E38" i="15"/>
  <c r="F38" i="15" s="1"/>
  <c r="A41" i="7"/>
  <c r="E42" i="15"/>
  <c r="F42" i="15" s="1"/>
  <c r="A45" i="7"/>
  <c r="AN18" i="14"/>
  <c r="AI28" i="14"/>
  <c r="AN29" i="14"/>
  <c r="AK17" i="14"/>
  <c r="AK29" i="14"/>
  <c r="AG18" i="14"/>
  <c r="A32" i="7"/>
  <c r="A40" i="7"/>
  <c r="E28" i="15"/>
  <c r="F28" i="15" s="1"/>
  <c r="A31" i="7"/>
  <c r="E32" i="15"/>
  <c r="F32" i="15" s="1"/>
  <c r="A35" i="7"/>
  <c r="E36" i="15"/>
  <c r="F36" i="15" s="1"/>
  <c r="A39" i="7"/>
  <c r="E40" i="15"/>
  <c r="F40" i="15" s="1"/>
  <c r="A43" i="7"/>
  <c r="E37" i="15"/>
  <c r="F37" i="15" s="1"/>
  <c r="AH31" i="14"/>
  <c r="AI26" i="14"/>
  <c r="AN17" i="14"/>
  <c r="AH28" i="14"/>
  <c r="AI17" i="14"/>
  <c r="AL28" i="14"/>
  <c r="E31" i="15"/>
  <c r="F31" i="15" s="1"/>
  <c r="A34" i="7"/>
  <c r="E35" i="15"/>
  <c r="F35" i="15" s="1"/>
  <c r="A38" i="7"/>
  <c r="E39" i="15"/>
  <c r="F39" i="15" s="1"/>
  <c r="A42" i="7"/>
  <c r="A46" i="7"/>
  <c r="E33" i="15"/>
  <c r="F33" i="15" s="1"/>
  <c r="AH18" i="14"/>
  <c r="AI31" i="14"/>
  <c r="AH27" i="14"/>
  <c r="AG27" i="14"/>
  <c r="AN16" i="14"/>
  <c r="AI27" i="14"/>
  <c r="AI16" i="14"/>
  <c r="AI34" i="14"/>
  <c r="AG16" i="14"/>
  <c r="AL34" i="14"/>
  <c r="AH16" i="14"/>
  <c r="AK27" i="14"/>
  <c r="AG15" i="14"/>
  <c r="AI15" i="14"/>
  <c r="AG14" i="14"/>
  <c r="AK15" i="14"/>
  <c r="AH26" i="14"/>
  <c r="AL24" i="14"/>
  <c r="AL30" i="14"/>
  <c r="AN21" i="14"/>
  <c r="AN20" i="14"/>
  <c r="AG10" i="14"/>
  <c r="AI20" i="14"/>
  <c r="AH20" i="14"/>
  <c r="AM22" i="14"/>
  <c r="AG11" i="14"/>
  <c r="AL22" i="14"/>
  <c r="AG22" i="14"/>
  <c r="AG20" i="14"/>
  <c r="AI10" i="14"/>
  <c r="AK21" i="14"/>
  <c r="EZ24" i="14"/>
  <c r="E25" i="27" s="1"/>
  <c r="E23" i="6"/>
  <c r="EZ25" i="14"/>
  <c r="E26" i="27" s="1"/>
  <c r="E24" i="6"/>
  <c r="EZ33" i="14"/>
  <c r="E34" i="27" s="1"/>
  <c r="E32" i="6"/>
  <c r="EZ13" i="14"/>
  <c r="E14" i="27" s="1"/>
  <c r="E12" i="6"/>
  <c r="E4" i="15"/>
  <c r="F4" i="15" s="1"/>
  <c r="EZ23" i="14"/>
  <c r="E24" i="27" s="1"/>
  <c r="E22" i="6"/>
  <c r="EZ31" i="14"/>
  <c r="E32" i="27" s="1"/>
  <c r="E30" i="6"/>
  <c r="EZ17" i="14"/>
  <c r="E18" i="27" s="1"/>
  <c r="E16" i="6"/>
  <c r="AF5" i="14"/>
  <c r="EZ30" i="14"/>
  <c r="E31" i="27" s="1"/>
  <c r="E29" i="6"/>
  <c r="EZ21" i="14"/>
  <c r="E22" i="27" s="1"/>
  <c r="E20" i="6"/>
  <c r="EZ29" i="14"/>
  <c r="E30" i="27" s="1"/>
  <c r="E28" i="6"/>
  <c r="EZ16" i="14"/>
  <c r="E17" i="27" s="1"/>
  <c r="E15" i="6"/>
  <c r="EZ32" i="14"/>
  <c r="E33" i="27" s="1"/>
  <c r="E31" i="6"/>
  <c r="EZ22" i="14"/>
  <c r="E23" i="27" s="1"/>
  <c r="E21" i="6"/>
  <c r="EZ20" i="14"/>
  <c r="E21" i="27" s="1"/>
  <c r="E19" i="6"/>
  <c r="EZ28" i="14"/>
  <c r="E29" i="27" s="1"/>
  <c r="E27" i="6"/>
  <c r="EZ18" i="14"/>
  <c r="E19" i="27" s="1"/>
  <c r="E17" i="6"/>
  <c r="EZ26" i="14"/>
  <c r="E27" i="27" s="1"/>
  <c r="E25" i="6"/>
  <c r="EZ34" i="14"/>
  <c r="E35" i="27" s="1"/>
  <c r="E33" i="6"/>
  <c r="EZ19" i="14"/>
  <c r="E20" i="27" s="1"/>
  <c r="E18" i="6"/>
  <c r="EZ27" i="14"/>
  <c r="E28" i="27" s="1"/>
  <c r="E26" i="6"/>
  <c r="B7" i="6"/>
  <c r="A30" i="35" s="1"/>
  <c r="EZ7" i="14"/>
  <c r="E8" i="27" s="1"/>
  <c r="EX11" i="14"/>
  <c r="C12" i="27" s="1"/>
  <c r="EX15" i="14"/>
  <c r="C16" i="27" s="1"/>
  <c r="EX19" i="14"/>
  <c r="C20" i="27" s="1"/>
  <c r="EX23" i="14"/>
  <c r="C24" i="27" s="1"/>
  <c r="EX27" i="14"/>
  <c r="C28" i="27" s="1"/>
  <c r="EX31" i="14"/>
  <c r="C32" i="27" s="1"/>
  <c r="AN26" i="14"/>
  <c r="AK26" i="14"/>
  <c r="AG25" i="14"/>
  <c r="AH25" i="14"/>
  <c r="EX10" i="14"/>
  <c r="C11" i="27" s="1"/>
  <c r="EX14" i="14"/>
  <c r="C15" i="27" s="1"/>
  <c r="EX18" i="14"/>
  <c r="EX22" i="14"/>
  <c r="C23" i="27" s="1"/>
  <c r="EX26" i="14"/>
  <c r="C27" i="27" s="1"/>
  <c r="EX30" i="14"/>
  <c r="C31" i="27" s="1"/>
  <c r="EX34" i="14"/>
  <c r="C35" i="27" s="1"/>
  <c r="AN22" i="14"/>
  <c r="AK22" i="14"/>
  <c r="AH21" i="14"/>
  <c r="AG21" i="14"/>
  <c r="B9" i="7"/>
  <c r="EW7" i="14"/>
  <c r="B8" i="27" s="1"/>
  <c r="B6" i="15"/>
  <c r="AF6" i="14"/>
  <c r="AJ6" i="14" s="1"/>
  <c r="AK10" i="14"/>
  <c r="AF7" i="14"/>
  <c r="AJ7" i="14" s="1"/>
  <c r="EX13" i="14"/>
  <c r="C14" i="27" s="1"/>
  <c r="EX17" i="14"/>
  <c r="C18" i="27" s="1"/>
  <c r="EX21" i="14"/>
  <c r="C22" i="27" s="1"/>
  <c r="EX25" i="14"/>
  <c r="C26" i="27" s="1"/>
  <c r="EX29" i="14"/>
  <c r="C30" i="27" s="1"/>
  <c r="EX33" i="14"/>
  <c r="C34" i="27" s="1"/>
  <c r="AN34" i="14"/>
  <c r="AK34" i="14"/>
  <c r="AL33" i="14"/>
  <c r="AM33" i="14"/>
  <c r="AH33" i="14"/>
  <c r="AG33" i="14"/>
  <c r="EX12" i="14"/>
  <c r="C13" i="27" s="1"/>
  <c r="EX16" i="14"/>
  <c r="C17" i="27" s="1"/>
  <c r="EX20" i="14"/>
  <c r="C21" i="27" s="1"/>
  <c r="EX24" i="14"/>
  <c r="C25" i="27" s="1"/>
  <c r="EX28" i="14"/>
  <c r="C29" i="27" s="1"/>
  <c r="EX32" i="14"/>
  <c r="C33" i="27" s="1"/>
  <c r="EX8" i="14"/>
  <c r="E4" i="6"/>
  <c r="EZ5" i="14"/>
  <c r="E6" i="27" s="1"/>
  <c r="AN30" i="14"/>
  <c r="AK30" i="14"/>
  <c r="AL29" i="14"/>
  <c r="AH29" i="14"/>
  <c r="AG29" i="14"/>
  <c r="AM29" i="14"/>
  <c r="B7" i="7"/>
  <c r="E7" i="32" s="1"/>
  <c r="EW5" i="14"/>
  <c r="B6" i="27" s="1"/>
  <c r="B4" i="15"/>
  <c r="K12" i="7"/>
  <c r="C8" i="39" s="1"/>
  <c r="K16" i="7"/>
  <c r="C12" i="39" s="1"/>
  <c r="K20" i="7"/>
  <c r="C16" i="39" s="1"/>
  <c r="K24" i="7"/>
  <c r="K28" i="7"/>
  <c r="C24" i="39" s="1"/>
  <c r="K32" i="7"/>
  <c r="C28" i="39" s="1"/>
  <c r="K36" i="7"/>
  <c r="K40" i="7"/>
  <c r="K44" i="7"/>
  <c r="K11" i="7"/>
  <c r="C7" i="39" s="1"/>
  <c r="K15" i="7"/>
  <c r="C11" i="39" s="1"/>
  <c r="K19" i="7"/>
  <c r="C15" i="39" s="1"/>
  <c r="K23" i="7"/>
  <c r="C19" i="39" s="1"/>
  <c r="K27" i="7"/>
  <c r="C23" i="39" s="1"/>
  <c r="K31" i="7"/>
  <c r="K35" i="7"/>
  <c r="K39" i="7"/>
  <c r="K43" i="7"/>
  <c r="K10" i="7"/>
  <c r="C6" i="39" s="1"/>
  <c r="K14" i="7"/>
  <c r="C10" i="39" s="1"/>
  <c r="K18" i="7"/>
  <c r="C14" i="39" s="1"/>
  <c r="K22" i="7"/>
  <c r="C18" i="39" s="1"/>
  <c r="K26" i="7"/>
  <c r="K30" i="7"/>
  <c r="C26" i="39" s="1"/>
  <c r="K34" i="7"/>
  <c r="C30" i="39" s="1"/>
  <c r="K38" i="7"/>
  <c r="C34" i="39" s="1"/>
  <c r="K42" i="7"/>
  <c r="K46" i="7"/>
  <c r="C42" i="39" s="1"/>
  <c r="K9" i="7"/>
  <c r="C5" i="39" s="1"/>
  <c r="K13" i="7"/>
  <c r="C9" i="39" s="1"/>
  <c r="K17" i="7"/>
  <c r="C13" i="39" s="1"/>
  <c r="K21" i="7"/>
  <c r="C17" i="39" s="1"/>
  <c r="K25" i="7"/>
  <c r="C21" i="39" s="1"/>
  <c r="K29" i="7"/>
  <c r="C25" i="39" s="1"/>
  <c r="K33" i="7"/>
  <c r="C29" i="39" s="1"/>
  <c r="K37" i="7"/>
  <c r="C33" i="39" s="1"/>
  <c r="K41" i="7"/>
  <c r="K45" i="7"/>
  <c r="C41" i="39" s="1"/>
  <c r="K7" i="7"/>
  <c r="C3" i="39" s="1"/>
  <c r="C45" i="23" l="1"/>
  <c r="J40" i="32"/>
  <c r="B45" i="38"/>
  <c r="B84" i="38"/>
  <c r="H31" i="35"/>
  <c r="J31" i="35" s="1"/>
  <c r="I31" i="35"/>
  <c r="AS7" i="14"/>
  <c r="O5" i="22"/>
  <c r="AS8" i="14" s="1"/>
  <c r="AR7" i="14"/>
  <c r="N5" i="22"/>
  <c r="AR8" i="14" s="1"/>
  <c r="F29" i="15"/>
  <c r="EA14" i="14" s="1"/>
  <c r="C36" i="26" s="1"/>
  <c r="F43" i="15"/>
  <c r="EA28" i="14" s="1"/>
  <c r="AV7" i="14"/>
  <c r="R5" i="22"/>
  <c r="AV8" i="14" s="1"/>
  <c r="I47" i="23"/>
  <c r="G47" i="23"/>
  <c r="D46" i="23"/>
  <c r="J43" i="32"/>
  <c r="H41" i="6"/>
  <c r="F41" i="6"/>
  <c r="AC41" i="32" s="1"/>
  <c r="F36" i="6"/>
  <c r="AC36" i="32" s="1"/>
  <c r="T10" i="32"/>
  <c r="H27" i="35"/>
  <c r="AT7" i="14"/>
  <c r="P5" i="22"/>
  <c r="AT8" i="14" s="1"/>
  <c r="H24" i="35"/>
  <c r="I36" i="35"/>
  <c r="H36" i="35"/>
  <c r="J36" i="35" s="1"/>
  <c r="I35" i="35"/>
  <c r="H35" i="35"/>
  <c r="J35" i="35" s="1"/>
  <c r="D47" i="23"/>
  <c r="H47" i="23"/>
  <c r="E46" i="23"/>
  <c r="Y36" i="32"/>
  <c r="E47" i="23"/>
  <c r="H46" i="23"/>
  <c r="H39" i="6"/>
  <c r="E48" i="23"/>
  <c r="G43" i="23"/>
  <c r="H48" i="23"/>
  <c r="C43" i="23"/>
  <c r="F39" i="6"/>
  <c r="AC39" i="32" s="1"/>
  <c r="I48" i="23"/>
  <c r="D48" i="23"/>
  <c r="I43" i="23"/>
  <c r="F37" i="6"/>
  <c r="AC37" i="32" s="1"/>
  <c r="J46" i="32"/>
  <c r="C48" i="23"/>
  <c r="G48" i="23"/>
  <c r="D44" i="23"/>
  <c r="I42" i="23"/>
  <c r="Y39" i="32"/>
  <c r="I39" i="32"/>
  <c r="C44" i="23"/>
  <c r="C42" i="23"/>
  <c r="Y42" i="32"/>
  <c r="I44" i="23"/>
  <c r="H44" i="23"/>
  <c r="Y37" i="32"/>
  <c r="T41" i="32"/>
  <c r="H37" i="6"/>
  <c r="G44" i="23"/>
  <c r="E42" i="23"/>
  <c r="F42" i="6"/>
  <c r="AC42" i="32" s="1"/>
  <c r="H42" i="6"/>
  <c r="D42" i="6"/>
  <c r="AA42" i="32" s="1"/>
  <c r="AW14" i="34"/>
  <c r="AW10" i="34"/>
  <c r="AW18" i="34"/>
  <c r="H40" i="6"/>
  <c r="BO103" i="34"/>
  <c r="BO87" i="34"/>
  <c r="BO71" i="34"/>
  <c r="BO55" i="34"/>
  <c r="BO39" i="34"/>
  <c r="BO23" i="34"/>
  <c r="BO7" i="34"/>
  <c r="BO92" i="34"/>
  <c r="BO76" i="34"/>
  <c r="BO60" i="34"/>
  <c r="BO44" i="34"/>
  <c r="BO28" i="34"/>
  <c r="BO12" i="34"/>
  <c r="BO97" i="34"/>
  <c r="BO81" i="34"/>
  <c r="BO65" i="34"/>
  <c r="BO49" i="34"/>
  <c r="BO33" i="34"/>
  <c r="BO17" i="34"/>
  <c r="AW91" i="34"/>
  <c r="AW75" i="34"/>
  <c r="AW59" i="34"/>
  <c r="AW43" i="34"/>
  <c r="AW27" i="34"/>
  <c r="AW96" i="34"/>
  <c r="AW80" i="34"/>
  <c r="AW64" i="34"/>
  <c r="AW48" i="34"/>
  <c r="AW32" i="34"/>
  <c r="AW101" i="34"/>
  <c r="AW85" i="34"/>
  <c r="AW69" i="34"/>
  <c r="AW53" i="34"/>
  <c r="AW37" i="34"/>
  <c r="B14" i="25"/>
  <c r="BO6" i="34"/>
  <c r="BO91" i="34"/>
  <c r="BO75" i="34"/>
  <c r="BO59" i="34"/>
  <c r="BO43" i="34"/>
  <c r="BO27" i="34"/>
  <c r="BO11" i="34"/>
  <c r="BO96" i="34"/>
  <c r="BO80" i="34"/>
  <c r="BO64" i="34"/>
  <c r="BO48" i="34"/>
  <c r="BO32" i="34"/>
  <c r="BO16" i="34"/>
  <c r="BO101" i="34"/>
  <c r="BO85" i="34"/>
  <c r="BO69" i="34"/>
  <c r="BO53" i="34"/>
  <c r="BO37" i="34"/>
  <c r="BO21" i="34"/>
  <c r="AW95" i="34"/>
  <c r="AW79" i="34"/>
  <c r="AW63" i="34"/>
  <c r="AW47" i="34"/>
  <c r="AW31" i="34"/>
  <c r="AW100" i="34"/>
  <c r="AW84" i="34"/>
  <c r="AW68" i="34"/>
  <c r="AW52" i="34"/>
  <c r="AW36" i="34"/>
  <c r="AW105" i="34"/>
  <c r="AW89" i="34"/>
  <c r="AW73" i="34"/>
  <c r="AW57" i="34"/>
  <c r="AW41" i="34"/>
  <c r="AW25" i="34"/>
  <c r="AW6" i="34"/>
  <c r="AW7" i="34"/>
  <c r="AW8" i="34"/>
  <c r="AW9" i="34"/>
  <c r="BO95" i="34"/>
  <c r="BO79" i="34"/>
  <c r="BO63" i="34"/>
  <c r="BO47" i="34"/>
  <c r="BO31" i="34"/>
  <c r="BO15" i="34"/>
  <c r="BO100" i="34"/>
  <c r="BO84" i="34"/>
  <c r="BO68" i="34"/>
  <c r="BO52" i="34"/>
  <c r="BO36" i="34"/>
  <c r="BO20" i="34"/>
  <c r="BO105" i="34"/>
  <c r="BO89" i="34"/>
  <c r="BO73" i="34"/>
  <c r="BO57" i="34"/>
  <c r="BO41" i="34"/>
  <c r="BO25" i="34"/>
  <c r="BO9" i="34"/>
  <c r="AW99" i="34"/>
  <c r="AW83" i="34"/>
  <c r="AW67" i="34"/>
  <c r="AW51" i="34"/>
  <c r="AW35" i="34"/>
  <c r="AW104" i="34"/>
  <c r="AW88" i="34"/>
  <c r="AW72" i="34"/>
  <c r="AW56" i="34"/>
  <c r="AW40" i="34"/>
  <c r="AW24" i="34"/>
  <c r="AW93" i="34"/>
  <c r="AW77" i="34"/>
  <c r="AW61" i="34"/>
  <c r="AW45" i="34"/>
  <c r="AW29" i="34"/>
  <c r="AW11" i="34"/>
  <c r="AW12" i="34"/>
  <c r="AW13" i="34"/>
  <c r="BO99" i="34"/>
  <c r="BO83" i="34"/>
  <c r="BO67" i="34"/>
  <c r="BO51" i="34"/>
  <c r="BO35" i="34"/>
  <c r="BO19" i="34"/>
  <c r="BO104" i="34"/>
  <c r="BO88" i="34"/>
  <c r="BO72" i="34"/>
  <c r="BO56" i="34"/>
  <c r="BO40" i="34"/>
  <c r="BO24" i="34"/>
  <c r="BO8" i="34"/>
  <c r="BO93" i="34"/>
  <c r="BO77" i="34"/>
  <c r="BO61" i="34"/>
  <c r="BO45" i="34"/>
  <c r="BO29" i="34"/>
  <c r="BO13" i="34"/>
  <c r="AW103" i="34"/>
  <c r="AW87" i="34"/>
  <c r="AW71" i="34"/>
  <c r="AW55" i="34"/>
  <c r="AW39" i="34"/>
  <c r="AW23" i="34"/>
  <c r="AW92" i="34"/>
  <c r="AW76" i="34"/>
  <c r="AW60" i="34"/>
  <c r="AW44" i="34"/>
  <c r="AW28" i="34"/>
  <c r="AW97" i="34"/>
  <c r="AW81" i="34"/>
  <c r="AW65" i="34"/>
  <c r="AW49" i="34"/>
  <c r="AW33" i="34"/>
  <c r="AW15" i="34"/>
  <c r="AW16" i="34"/>
  <c r="AW17" i="34"/>
  <c r="AW19" i="34"/>
  <c r="AW20" i="34"/>
  <c r="AW21" i="34"/>
  <c r="D43" i="23"/>
  <c r="H43" i="23"/>
  <c r="D42" i="23"/>
  <c r="E43" i="23"/>
  <c r="H42" i="23"/>
  <c r="G42" i="23"/>
  <c r="F40" i="6"/>
  <c r="AC40" i="32" s="1"/>
  <c r="Y40" i="32"/>
  <c r="BL107" i="34"/>
  <c r="BL108" i="34"/>
  <c r="BJ107" i="34"/>
  <c r="BJ108" i="34"/>
  <c r="BH107" i="34"/>
  <c r="BH108" i="34"/>
  <c r="B17" i="25"/>
  <c r="C32" i="38"/>
  <c r="B33" i="38"/>
  <c r="B59" i="38" s="1"/>
  <c r="C46" i="23"/>
  <c r="E5" i="15"/>
  <c r="D5" i="37"/>
  <c r="C18" i="38" s="1"/>
  <c r="EY24" i="14"/>
  <c r="D25" i="27" s="1"/>
  <c r="C22" i="39"/>
  <c r="EY29" i="14"/>
  <c r="D30" i="27" s="1"/>
  <c r="C27" i="39"/>
  <c r="EY33" i="14"/>
  <c r="D34" i="27" s="1"/>
  <c r="C31" i="39"/>
  <c r="D37" i="6"/>
  <c r="AA37" i="32" s="1"/>
  <c r="C36" i="39"/>
  <c r="EY22" i="14"/>
  <c r="D23" i="27" s="1"/>
  <c r="C20" i="39"/>
  <c r="D38" i="6"/>
  <c r="AA38" i="32" s="1"/>
  <c r="C37" i="39"/>
  <c r="D36" i="6"/>
  <c r="AA36" i="32" s="1"/>
  <c r="C35" i="39"/>
  <c r="D41" i="6"/>
  <c r="AA41" i="32" s="1"/>
  <c r="C40" i="39"/>
  <c r="D40" i="6"/>
  <c r="AA40" i="32" s="1"/>
  <c r="C39" i="39"/>
  <c r="D39" i="6"/>
  <c r="AA39" i="32" s="1"/>
  <c r="C38" i="39"/>
  <c r="EY34" i="14"/>
  <c r="D35" i="27" s="1"/>
  <c r="C32" i="39"/>
  <c r="AG4" i="14"/>
  <c r="AM4" i="14"/>
  <c r="F35" i="6"/>
  <c r="AC35" i="32" s="1"/>
  <c r="H35" i="6"/>
  <c r="H32" i="6"/>
  <c r="H41" i="23"/>
  <c r="H34" i="6"/>
  <c r="H39" i="23"/>
  <c r="I39" i="23"/>
  <c r="I40" i="23"/>
  <c r="AE146" i="34"/>
  <c r="C39" i="23"/>
  <c r="C38" i="23"/>
  <c r="G39" i="23"/>
  <c r="D39" i="23"/>
  <c r="E39" i="23"/>
  <c r="G41" i="23"/>
  <c r="D41" i="23"/>
  <c r="E40" i="23"/>
  <c r="H40" i="23"/>
  <c r="C41" i="23"/>
  <c r="C40" i="23"/>
  <c r="I41" i="23"/>
  <c r="E41" i="23"/>
  <c r="G40" i="23"/>
  <c r="D40" i="23"/>
  <c r="C35" i="6"/>
  <c r="Z35" i="32" s="1"/>
  <c r="AF147" i="34"/>
  <c r="AF148" i="34"/>
  <c r="AE147" i="34"/>
  <c r="AF146" i="34"/>
  <c r="AE148" i="34"/>
  <c r="EA20" i="14"/>
  <c r="C42" i="26" s="1"/>
  <c r="EA21" i="14"/>
  <c r="AG148" i="34"/>
  <c r="AG147" i="34"/>
  <c r="AG146" i="34"/>
  <c r="I38" i="23"/>
  <c r="E38" i="23"/>
  <c r="H33" i="6"/>
  <c r="F34" i="6"/>
  <c r="AC34" i="32" s="1"/>
  <c r="H38" i="23"/>
  <c r="Y33" i="32"/>
  <c r="G38" i="23"/>
  <c r="D38" i="23"/>
  <c r="C33" i="6"/>
  <c r="Z33" i="32" s="1"/>
  <c r="F32" i="6"/>
  <c r="AC32" i="32" s="1"/>
  <c r="C32" i="6"/>
  <c r="Z32" i="32" s="1"/>
  <c r="C34" i="6"/>
  <c r="Z34" i="32" s="1"/>
  <c r="AB34" i="32"/>
  <c r="B41" i="26"/>
  <c r="AB33" i="32"/>
  <c r="B40" i="26"/>
  <c r="AB32" i="32"/>
  <c r="B39" i="26"/>
  <c r="AB31" i="32"/>
  <c r="B38" i="26"/>
  <c r="C31" i="6"/>
  <c r="Z31" i="32" s="1"/>
  <c r="H30" i="6"/>
  <c r="B37" i="26"/>
  <c r="AB30" i="32"/>
  <c r="AB29" i="32"/>
  <c r="C29" i="6"/>
  <c r="Z29" i="32" s="1"/>
  <c r="B36" i="26"/>
  <c r="B35" i="26"/>
  <c r="Y28" i="32"/>
  <c r="AB28" i="32"/>
  <c r="B34" i="26"/>
  <c r="AB27" i="32"/>
  <c r="Y27" i="32"/>
  <c r="Y18" i="32"/>
  <c r="Y17" i="32"/>
  <c r="C23" i="6"/>
  <c r="Z23" i="32" s="1"/>
  <c r="AB23" i="32"/>
  <c r="B30" i="26"/>
  <c r="AB22" i="32"/>
  <c r="B29" i="26"/>
  <c r="C22" i="6"/>
  <c r="Z22" i="32" s="1"/>
  <c r="Y21" i="32"/>
  <c r="B28" i="26"/>
  <c r="C20" i="6"/>
  <c r="Z20" i="32" s="1"/>
  <c r="AB20" i="32"/>
  <c r="B27" i="26"/>
  <c r="AB19" i="32"/>
  <c r="C19" i="6"/>
  <c r="Z19" i="32" s="1"/>
  <c r="DZ8" i="14"/>
  <c r="B31" i="26"/>
  <c r="AB24" i="32"/>
  <c r="C24" i="6"/>
  <c r="Z24" i="32" s="1"/>
  <c r="B32" i="26"/>
  <c r="C25" i="6"/>
  <c r="Z25" i="32" s="1"/>
  <c r="AB25" i="32"/>
  <c r="C32" i="26"/>
  <c r="AB26" i="32"/>
  <c r="B33" i="26"/>
  <c r="C26" i="6"/>
  <c r="Z26" i="32" s="1"/>
  <c r="C16" i="6"/>
  <c r="Z16" i="32" s="1"/>
  <c r="C15" i="6"/>
  <c r="Z15" i="32" s="1"/>
  <c r="C14" i="6"/>
  <c r="Z14" i="32" s="1"/>
  <c r="B42" i="26"/>
  <c r="AO33" i="14"/>
  <c r="D34" i="6"/>
  <c r="EY35" i="14"/>
  <c r="D36" i="27" s="1"/>
  <c r="H36" i="27" s="1"/>
  <c r="AM31" i="14"/>
  <c r="D35" i="6"/>
  <c r="EY36" i="14"/>
  <c r="D37" i="27" s="1"/>
  <c r="H37" i="27" s="1"/>
  <c r="AE121" i="34"/>
  <c r="AL31" i="14"/>
  <c r="AI56" i="34"/>
  <c r="U66" i="34"/>
  <c r="C37" i="23"/>
  <c r="S55" i="34"/>
  <c r="S87" i="34"/>
  <c r="S23" i="34"/>
  <c r="U98" i="34"/>
  <c r="K23" i="34"/>
  <c r="U34" i="34"/>
  <c r="AI60" i="34"/>
  <c r="E35" i="23"/>
  <c r="D35" i="23"/>
  <c r="H35" i="23"/>
  <c r="G35" i="23"/>
  <c r="I35" i="23"/>
  <c r="C35" i="23"/>
  <c r="U11" i="32"/>
  <c r="T13" i="32"/>
  <c r="G13" i="15"/>
  <c r="U9" i="32"/>
  <c r="DX9" i="14"/>
  <c r="H47" i="35" s="1"/>
  <c r="K19" i="34"/>
  <c r="AI92" i="34"/>
  <c r="AI28" i="34"/>
  <c r="K15" i="34"/>
  <c r="BG6" i="34"/>
  <c r="I87" i="34"/>
  <c r="I55" i="34"/>
  <c r="I23" i="34"/>
  <c r="AU91" i="34"/>
  <c r="I23" i="23"/>
  <c r="AU87" i="34"/>
  <c r="I99" i="34"/>
  <c r="I67" i="34"/>
  <c r="I35" i="34"/>
  <c r="AI96" i="34"/>
  <c r="AI64" i="34"/>
  <c r="AI32" i="34"/>
  <c r="U70" i="34"/>
  <c r="Q91" i="34"/>
  <c r="AI88" i="34"/>
  <c r="AI24" i="34"/>
  <c r="C28" i="23"/>
  <c r="H23" i="23"/>
  <c r="G23" i="23"/>
  <c r="Q23" i="34"/>
  <c r="Y30" i="32"/>
  <c r="E21" i="23"/>
  <c r="E7" i="34"/>
  <c r="Q59" i="34"/>
  <c r="Q27" i="34"/>
  <c r="U102" i="34"/>
  <c r="U38" i="34"/>
  <c r="S75" i="34"/>
  <c r="S43" i="34"/>
  <c r="S11" i="34"/>
  <c r="I27" i="34"/>
  <c r="W13" i="34"/>
  <c r="AI84" i="34"/>
  <c r="AI52" i="34"/>
  <c r="AI20" i="34"/>
  <c r="K11" i="34"/>
  <c r="I37" i="23"/>
  <c r="E37" i="23"/>
  <c r="H16" i="23"/>
  <c r="I16" i="23"/>
  <c r="G90" i="34"/>
  <c r="G74" i="34"/>
  <c r="Q95" i="34"/>
  <c r="Q63" i="34"/>
  <c r="Q31" i="34"/>
  <c r="U90" i="34"/>
  <c r="U58" i="34"/>
  <c r="U26" i="34"/>
  <c r="S79" i="34"/>
  <c r="S47" i="34"/>
  <c r="S15" i="34"/>
  <c r="I91" i="34"/>
  <c r="I59" i="34"/>
  <c r="D30" i="6"/>
  <c r="D11" i="6"/>
  <c r="C11" i="6"/>
  <c r="Z11" i="32" s="1"/>
  <c r="G37" i="23"/>
  <c r="D37" i="23"/>
  <c r="D17" i="6"/>
  <c r="H11" i="6"/>
  <c r="H17" i="6"/>
  <c r="G28" i="23"/>
  <c r="H37" i="23"/>
  <c r="H34" i="23"/>
  <c r="U94" i="34"/>
  <c r="U62" i="34"/>
  <c r="U30" i="34"/>
  <c r="G6" i="34"/>
  <c r="C34" i="23"/>
  <c r="C17" i="6"/>
  <c r="Z17" i="32" s="1"/>
  <c r="I28" i="23"/>
  <c r="G34" i="23"/>
  <c r="D16" i="23"/>
  <c r="Y11" i="32"/>
  <c r="D19" i="23"/>
  <c r="C21" i="35"/>
  <c r="E28" i="23"/>
  <c r="D34" i="23"/>
  <c r="E16" i="23"/>
  <c r="S83" i="34"/>
  <c r="S51" i="34"/>
  <c r="S19" i="34"/>
  <c r="I95" i="34"/>
  <c r="I63" i="34"/>
  <c r="I31" i="34"/>
  <c r="G54" i="34"/>
  <c r="H18" i="6"/>
  <c r="G86" i="34"/>
  <c r="C16" i="23"/>
  <c r="Q55" i="34"/>
  <c r="D28" i="23"/>
  <c r="H28" i="23"/>
  <c r="I34" i="23"/>
  <c r="E34" i="23"/>
  <c r="H19" i="23"/>
  <c r="G16" i="23"/>
  <c r="D26" i="23"/>
  <c r="Q99" i="34"/>
  <c r="Q35" i="34"/>
  <c r="F22" i="6"/>
  <c r="AC22" i="32" s="1"/>
  <c r="Q87" i="34"/>
  <c r="G17" i="23"/>
  <c r="D22" i="6"/>
  <c r="Y20" i="32"/>
  <c r="C32" i="23"/>
  <c r="D23" i="23"/>
  <c r="C23" i="23"/>
  <c r="H31" i="6"/>
  <c r="G30" i="23"/>
  <c r="G34" i="34"/>
  <c r="G14" i="34"/>
  <c r="I30" i="23"/>
  <c r="H30" i="23"/>
  <c r="D32" i="23"/>
  <c r="H17" i="23"/>
  <c r="H26" i="23"/>
  <c r="C18" i="23"/>
  <c r="I18" i="23"/>
  <c r="I17" i="23"/>
  <c r="C13" i="6"/>
  <c r="Z13" i="32" s="1"/>
  <c r="G26" i="23"/>
  <c r="F18" i="23"/>
  <c r="A14" i="35"/>
  <c r="C14" i="35" s="1"/>
  <c r="E9" i="32"/>
  <c r="D31" i="6"/>
  <c r="D15" i="6"/>
  <c r="D20" i="6"/>
  <c r="D9" i="6"/>
  <c r="B32" i="35" s="1"/>
  <c r="C9" i="6"/>
  <c r="Z9" i="32" s="1"/>
  <c r="H20" i="6"/>
  <c r="C30" i="23"/>
  <c r="D31" i="23"/>
  <c r="H32" i="23"/>
  <c r="G32" i="23"/>
  <c r="E17" i="23"/>
  <c r="F20" i="6"/>
  <c r="AC20" i="32" s="1"/>
  <c r="Y31" i="32"/>
  <c r="Y13" i="32"/>
  <c r="D17" i="23"/>
  <c r="F26" i="23"/>
  <c r="F23" i="23"/>
  <c r="F17" i="23"/>
  <c r="D13" i="6"/>
  <c r="E30" i="23"/>
  <c r="D30" i="23"/>
  <c r="I32" i="23"/>
  <c r="E32" i="23"/>
  <c r="H18" i="23"/>
  <c r="D18" i="23"/>
  <c r="H13" i="6"/>
  <c r="F31" i="6"/>
  <c r="AC31" i="32" s="1"/>
  <c r="Y9" i="32"/>
  <c r="G18" i="23"/>
  <c r="C26" i="23"/>
  <c r="E26" i="23"/>
  <c r="H25" i="23"/>
  <c r="J4" i="7"/>
  <c r="D17" i="35" s="1"/>
  <c r="AN4" i="14"/>
  <c r="E16" i="24"/>
  <c r="D16" i="24"/>
  <c r="G16" i="24"/>
  <c r="G24" i="23"/>
  <c r="E36" i="23"/>
  <c r="C20" i="23"/>
  <c r="F20" i="23"/>
  <c r="H20" i="23"/>
  <c r="F29" i="6"/>
  <c r="AC29" i="32" s="1"/>
  <c r="H29" i="6"/>
  <c r="D29" i="6"/>
  <c r="H33" i="23"/>
  <c r="Y29" i="32"/>
  <c r="D24" i="6"/>
  <c r="Y22" i="32"/>
  <c r="EZ14" i="14"/>
  <c r="E15" i="27" s="1"/>
  <c r="H31" i="23"/>
  <c r="G31" i="23"/>
  <c r="H21" i="6"/>
  <c r="Y23" i="32"/>
  <c r="C21" i="6"/>
  <c r="Z21" i="32" s="1"/>
  <c r="H22" i="6"/>
  <c r="I31" i="23"/>
  <c r="E31" i="23"/>
  <c r="H23" i="6"/>
  <c r="F23" i="6"/>
  <c r="AC23" i="32" s="1"/>
  <c r="C31" i="23"/>
  <c r="D26" i="6"/>
  <c r="C18" i="6"/>
  <c r="Z18" i="32" s="1"/>
  <c r="C28" i="6"/>
  <c r="Z28" i="32" s="1"/>
  <c r="D16" i="6"/>
  <c r="I36" i="23"/>
  <c r="C36" i="23"/>
  <c r="I33" i="23"/>
  <c r="E33" i="23"/>
  <c r="H24" i="23"/>
  <c r="H16" i="6"/>
  <c r="F16" i="6"/>
  <c r="AC16" i="32" s="1"/>
  <c r="G20" i="23"/>
  <c r="D20" i="23"/>
  <c r="F24" i="23"/>
  <c r="D36" i="23"/>
  <c r="G33" i="23"/>
  <c r="D33" i="23"/>
  <c r="Y16" i="32"/>
  <c r="D24" i="23"/>
  <c r="E20" i="23"/>
  <c r="H36" i="23"/>
  <c r="G36" i="23"/>
  <c r="C33" i="23"/>
  <c r="I24" i="23"/>
  <c r="C24" i="23"/>
  <c r="Y15" i="32"/>
  <c r="F15" i="6"/>
  <c r="AC15" i="32" s="1"/>
  <c r="Y19" i="32"/>
  <c r="C30" i="6"/>
  <c r="Z30" i="32" s="1"/>
  <c r="H15" i="6"/>
  <c r="M79" i="34"/>
  <c r="M47" i="34"/>
  <c r="M15" i="34"/>
  <c r="H14" i="6"/>
  <c r="H28" i="6"/>
  <c r="D18" i="6"/>
  <c r="F24" i="6"/>
  <c r="AC24" i="32" s="1"/>
  <c r="H12" i="6"/>
  <c r="H15" i="23"/>
  <c r="E15" i="23"/>
  <c r="Y24" i="32"/>
  <c r="Y14" i="32"/>
  <c r="G15" i="23"/>
  <c r="G19" i="23"/>
  <c r="F26" i="6"/>
  <c r="AC26" i="32" s="1"/>
  <c r="H26" i="6"/>
  <c r="E19" i="23"/>
  <c r="D15" i="23"/>
  <c r="D14" i="6"/>
  <c r="C15" i="23"/>
  <c r="Y26" i="32"/>
  <c r="F14" i="6"/>
  <c r="AC14" i="32" s="1"/>
  <c r="H24" i="6"/>
  <c r="I19" i="23"/>
  <c r="BC83" i="34"/>
  <c r="BC51" i="34"/>
  <c r="BC19" i="34"/>
  <c r="BA103" i="34"/>
  <c r="BA71" i="34"/>
  <c r="BA39" i="34"/>
  <c r="BA7" i="34"/>
  <c r="AQ88" i="34"/>
  <c r="AQ56" i="34"/>
  <c r="AQ24" i="34"/>
  <c r="M103" i="34"/>
  <c r="M71" i="34"/>
  <c r="M39" i="34"/>
  <c r="M7" i="34"/>
  <c r="BG103" i="34"/>
  <c r="BG71" i="34"/>
  <c r="BG39" i="34"/>
  <c r="BG7" i="34"/>
  <c r="W16" i="34"/>
  <c r="O99" i="34"/>
  <c r="O67" i="34"/>
  <c r="O35" i="34"/>
  <c r="F19" i="23"/>
  <c r="AU83" i="34"/>
  <c r="D12" i="6"/>
  <c r="C12" i="6"/>
  <c r="Z12" i="32" s="1"/>
  <c r="Y12" i="32"/>
  <c r="AU67" i="34"/>
  <c r="AU35" i="34"/>
  <c r="W86" i="34"/>
  <c r="W54" i="34"/>
  <c r="W22" i="34"/>
  <c r="B13" i="25"/>
  <c r="K8" i="34"/>
  <c r="K13" i="34"/>
  <c r="K10" i="34"/>
  <c r="K30" i="34"/>
  <c r="O12" i="7"/>
  <c r="N12" i="7" s="1"/>
  <c r="O16" i="7"/>
  <c r="N16" i="7" s="1"/>
  <c r="F25" i="6"/>
  <c r="AC25" i="32" s="1"/>
  <c r="Y25" i="32"/>
  <c r="K16" i="34"/>
  <c r="AU99" i="34"/>
  <c r="D10" i="6"/>
  <c r="B33" i="35" s="1"/>
  <c r="AN13" i="14"/>
  <c r="AN11" i="14"/>
  <c r="O15" i="7"/>
  <c r="N15" i="7" s="1"/>
  <c r="K31" i="34"/>
  <c r="AI80" i="34"/>
  <c r="AI48" i="34"/>
  <c r="AI16" i="34"/>
  <c r="Q83" i="34"/>
  <c r="Q51" i="34"/>
  <c r="Q19" i="34"/>
  <c r="K7" i="34"/>
  <c r="AU51" i="34"/>
  <c r="AU19" i="34"/>
  <c r="U86" i="34"/>
  <c r="U54" i="34"/>
  <c r="U22" i="34"/>
  <c r="S103" i="34"/>
  <c r="S71" i="34"/>
  <c r="S39" i="34"/>
  <c r="S7" i="34"/>
  <c r="I83" i="34"/>
  <c r="I51" i="34"/>
  <c r="I19" i="34"/>
  <c r="W102" i="34"/>
  <c r="W70" i="34"/>
  <c r="W38" i="34"/>
  <c r="C20" i="35"/>
  <c r="G27" i="23"/>
  <c r="O11" i="7"/>
  <c r="N11" i="7" s="1"/>
  <c r="O9" i="7"/>
  <c r="N9" i="7" s="1"/>
  <c r="G10" i="34"/>
  <c r="G48" i="34"/>
  <c r="AI76" i="34"/>
  <c r="AI44" i="34"/>
  <c r="AI12" i="34"/>
  <c r="Q79" i="34"/>
  <c r="Q47" i="34"/>
  <c r="Q15" i="34"/>
  <c r="U82" i="34"/>
  <c r="U50" i="34"/>
  <c r="U18" i="34"/>
  <c r="S99" i="34"/>
  <c r="S67" i="34"/>
  <c r="S35" i="34"/>
  <c r="M95" i="34"/>
  <c r="M63" i="34"/>
  <c r="M31" i="34"/>
  <c r="I79" i="34"/>
  <c r="I47" i="34"/>
  <c r="I15" i="34"/>
  <c r="O10" i="7"/>
  <c r="N10" i="7" s="1"/>
  <c r="H25" i="6"/>
  <c r="C10" i="6"/>
  <c r="Z10" i="32" s="1"/>
  <c r="D25" i="6"/>
  <c r="O17" i="7"/>
  <c r="N17" i="7" s="1"/>
  <c r="O13" i="7"/>
  <c r="N13" i="7" s="1"/>
  <c r="Y10" i="32"/>
  <c r="G21" i="23"/>
  <c r="G28" i="34"/>
  <c r="AI104" i="34"/>
  <c r="AI72" i="34"/>
  <c r="AI40" i="34"/>
  <c r="AI8" i="34"/>
  <c r="Q75" i="34"/>
  <c r="Q43" i="34"/>
  <c r="Q11" i="34"/>
  <c r="U78" i="34"/>
  <c r="U46" i="34"/>
  <c r="U14" i="34"/>
  <c r="S95" i="34"/>
  <c r="S63" i="34"/>
  <c r="S31" i="34"/>
  <c r="I9" i="34"/>
  <c r="I75" i="34"/>
  <c r="I43" i="34"/>
  <c r="I11" i="34"/>
  <c r="O14" i="7"/>
  <c r="N14" i="7" s="1"/>
  <c r="O7" i="7"/>
  <c r="N7" i="7" s="1"/>
  <c r="O8" i="7"/>
  <c r="N8" i="7" s="1"/>
  <c r="B7" i="27"/>
  <c r="D25" i="23"/>
  <c r="AI100" i="34"/>
  <c r="AI68" i="34"/>
  <c r="AI36" i="34"/>
  <c r="BC99" i="34"/>
  <c r="BC67" i="34"/>
  <c r="BC35" i="34"/>
  <c r="BA87" i="34"/>
  <c r="BA55" i="34"/>
  <c r="BA23" i="34"/>
  <c r="Q103" i="34"/>
  <c r="Q71" i="34"/>
  <c r="Q39" i="34"/>
  <c r="Q7" i="34"/>
  <c r="K27" i="34"/>
  <c r="AQ104" i="34"/>
  <c r="AQ72" i="34"/>
  <c r="AQ40" i="34"/>
  <c r="AQ8" i="34"/>
  <c r="U74" i="34"/>
  <c r="U42" i="34"/>
  <c r="U10" i="34"/>
  <c r="S91" i="34"/>
  <c r="S59" i="34"/>
  <c r="S27" i="34"/>
  <c r="M87" i="34"/>
  <c r="M55" i="34"/>
  <c r="M23" i="34"/>
  <c r="I103" i="34"/>
  <c r="I71" i="34"/>
  <c r="I39" i="34"/>
  <c r="BG87" i="34"/>
  <c r="BG55" i="34"/>
  <c r="BG23" i="34"/>
  <c r="O83" i="34"/>
  <c r="O51" i="34"/>
  <c r="O19" i="34"/>
  <c r="D131" i="34"/>
  <c r="D125" i="34"/>
  <c r="D19" i="6"/>
  <c r="H19" i="6"/>
  <c r="AN10" i="14"/>
  <c r="A13" i="35"/>
  <c r="H21" i="23"/>
  <c r="K14" i="34"/>
  <c r="M91" i="34"/>
  <c r="M75" i="34"/>
  <c r="M59" i="34"/>
  <c r="M43" i="34"/>
  <c r="M27" i="34"/>
  <c r="M11" i="34"/>
  <c r="BG91" i="34"/>
  <c r="BG75" i="34"/>
  <c r="BG59" i="34"/>
  <c r="BG43" i="34"/>
  <c r="BG27" i="34"/>
  <c r="BG11" i="34"/>
  <c r="O103" i="34"/>
  <c r="O87" i="34"/>
  <c r="O71" i="34"/>
  <c r="O55" i="34"/>
  <c r="O39" i="34"/>
  <c r="O23" i="34"/>
  <c r="O7" i="34"/>
  <c r="D20" i="35"/>
  <c r="E20" i="35" s="1"/>
  <c r="A11" i="35"/>
  <c r="A12" i="35"/>
  <c r="D21" i="23"/>
  <c r="F21" i="23"/>
  <c r="I21" i="23"/>
  <c r="K17" i="34"/>
  <c r="K6" i="34"/>
  <c r="M99" i="34"/>
  <c r="M83" i="34"/>
  <c r="M67" i="34"/>
  <c r="M51" i="34"/>
  <c r="M35" i="34"/>
  <c r="M19" i="34"/>
  <c r="AB4" i="32"/>
  <c r="C27" i="35"/>
  <c r="D21" i="35"/>
  <c r="AM34" i="14"/>
  <c r="AO34" i="14" s="1"/>
  <c r="B19" i="35"/>
  <c r="C19" i="35"/>
  <c r="D19" i="35"/>
  <c r="C18" i="35"/>
  <c r="D18" i="35"/>
  <c r="B18" i="35"/>
  <c r="B18" i="26"/>
  <c r="B17" i="35"/>
  <c r="C17" i="35"/>
  <c r="A16" i="35"/>
  <c r="A15" i="35"/>
  <c r="CH8" i="14"/>
  <c r="CH4" i="14"/>
  <c r="CH5" i="14"/>
  <c r="G82" i="34"/>
  <c r="W13" i="14"/>
  <c r="AE96" i="34"/>
  <c r="AE80" i="34"/>
  <c r="AE64" i="34"/>
  <c r="AE48" i="34"/>
  <c r="AE32" i="34"/>
  <c r="AE16" i="34"/>
  <c r="H22" i="23"/>
  <c r="C25" i="23"/>
  <c r="H9" i="6"/>
  <c r="D32" i="35" s="1"/>
  <c r="I25" i="23"/>
  <c r="E25" i="23"/>
  <c r="F25" i="23"/>
  <c r="D27" i="6"/>
  <c r="G77" i="34"/>
  <c r="AU63" i="34"/>
  <c r="AU47" i="34"/>
  <c r="AU31" i="34"/>
  <c r="AU15" i="34"/>
  <c r="G52" i="34"/>
  <c r="G58" i="34"/>
  <c r="G32" i="34"/>
  <c r="G38" i="34"/>
  <c r="AS92" i="34"/>
  <c r="AS76" i="34"/>
  <c r="AS60" i="34"/>
  <c r="AS44" i="34"/>
  <c r="AS28" i="34"/>
  <c r="AS12" i="34"/>
  <c r="BC95" i="34"/>
  <c r="BC79" i="34"/>
  <c r="BC63" i="34"/>
  <c r="BC47" i="34"/>
  <c r="BC31" i="34"/>
  <c r="BC15" i="34"/>
  <c r="BA99" i="34"/>
  <c r="BA83" i="34"/>
  <c r="BA67" i="34"/>
  <c r="BA51" i="34"/>
  <c r="BA35" i="34"/>
  <c r="BA19" i="34"/>
  <c r="AA96" i="34"/>
  <c r="AA80" i="34"/>
  <c r="AA64" i="34"/>
  <c r="AA48" i="34"/>
  <c r="AA32" i="34"/>
  <c r="AA16" i="34"/>
  <c r="AQ100" i="34"/>
  <c r="AQ84" i="34"/>
  <c r="AQ68" i="34"/>
  <c r="AQ52" i="34"/>
  <c r="AQ36" i="34"/>
  <c r="AQ20" i="34"/>
  <c r="AK104" i="34"/>
  <c r="AK88" i="34"/>
  <c r="AK72" i="34"/>
  <c r="AK56" i="34"/>
  <c r="AK40" i="34"/>
  <c r="AK24" i="34"/>
  <c r="AK8" i="34"/>
  <c r="AG92" i="34"/>
  <c r="AG76" i="34"/>
  <c r="AG60" i="34"/>
  <c r="AG44" i="34"/>
  <c r="AG28" i="34"/>
  <c r="AG12" i="34"/>
  <c r="AU95" i="34"/>
  <c r="AO100" i="34"/>
  <c r="AO84" i="34"/>
  <c r="AO68" i="34"/>
  <c r="AO52" i="34"/>
  <c r="AO36" i="34"/>
  <c r="AO20" i="34"/>
  <c r="BE95" i="34"/>
  <c r="BE79" i="34"/>
  <c r="BE63" i="34"/>
  <c r="BE47" i="34"/>
  <c r="BE31" i="34"/>
  <c r="BE15" i="34"/>
  <c r="AE92" i="34"/>
  <c r="AE76" i="34"/>
  <c r="AE60" i="34"/>
  <c r="AE44" i="34"/>
  <c r="AE28" i="34"/>
  <c r="AE12" i="34"/>
  <c r="AC104" i="34"/>
  <c r="AC88" i="34"/>
  <c r="AC72" i="34"/>
  <c r="AC56" i="34"/>
  <c r="AC40" i="34"/>
  <c r="AC24" i="34"/>
  <c r="AC8" i="34"/>
  <c r="Y92" i="34"/>
  <c r="Y76" i="34"/>
  <c r="Y60" i="34"/>
  <c r="Y44" i="34"/>
  <c r="Y28" i="34"/>
  <c r="Y12" i="34"/>
  <c r="BG99" i="34"/>
  <c r="BG83" i="34"/>
  <c r="BG67" i="34"/>
  <c r="BG51" i="34"/>
  <c r="BG35" i="34"/>
  <c r="BG19" i="34"/>
  <c r="O95" i="34"/>
  <c r="O79" i="34"/>
  <c r="O63" i="34"/>
  <c r="O47" i="34"/>
  <c r="O31" i="34"/>
  <c r="O15" i="34"/>
  <c r="G20" i="34"/>
  <c r="G26" i="34"/>
  <c r="G98" i="34"/>
  <c r="AU104" i="34"/>
  <c r="AU79" i="34"/>
  <c r="W98" i="34"/>
  <c r="W82" i="34"/>
  <c r="W66" i="34"/>
  <c r="W50" i="34"/>
  <c r="W34" i="34"/>
  <c r="W18" i="34"/>
  <c r="Q104" i="34"/>
  <c r="Q88" i="34"/>
  <c r="Q72" i="34"/>
  <c r="Q56" i="34"/>
  <c r="Q40" i="34"/>
  <c r="Q24" i="34"/>
  <c r="Q8" i="34"/>
  <c r="K28" i="34"/>
  <c r="K12" i="34"/>
  <c r="K22" i="34"/>
  <c r="AM104" i="34"/>
  <c r="AM88" i="34"/>
  <c r="AM72" i="34"/>
  <c r="AM56" i="34"/>
  <c r="AM40" i="34"/>
  <c r="AM24" i="34"/>
  <c r="AM8" i="34"/>
  <c r="W12" i="34"/>
  <c r="W90" i="34"/>
  <c r="W74" i="34"/>
  <c r="W58" i="34"/>
  <c r="W42" i="34"/>
  <c r="W26" i="34"/>
  <c r="AC96" i="34"/>
  <c r="AC80" i="34"/>
  <c r="AC64" i="34"/>
  <c r="AC48" i="34"/>
  <c r="AC32" i="34"/>
  <c r="AC16" i="34"/>
  <c r="Y100" i="34"/>
  <c r="Y84" i="34"/>
  <c r="Y68" i="34"/>
  <c r="Y52" i="34"/>
  <c r="Y36" i="34"/>
  <c r="Y20" i="34"/>
  <c r="AM96" i="34"/>
  <c r="AM80" i="34"/>
  <c r="AM64" i="34"/>
  <c r="AM48" i="34"/>
  <c r="AM32" i="34"/>
  <c r="AM16" i="34"/>
  <c r="AM84" i="34"/>
  <c r="AM68" i="34"/>
  <c r="AM52" i="34"/>
  <c r="AM36" i="34"/>
  <c r="AM20" i="34"/>
  <c r="O91" i="34"/>
  <c r="O75" i="34"/>
  <c r="O59" i="34"/>
  <c r="O43" i="34"/>
  <c r="O27" i="34"/>
  <c r="O11" i="34"/>
  <c r="AC92" i="34"/>
  <c r="AC76" i="34"/>
  <c r="AC60" i="34"/>
  <c r="AC44" i="34"/>
  <c r="AC28" i="34"/>
  <c r="AC12" i="34"/>
  <c r="Y96" i="34"/>
  <c r="Y80" i="34"/>
  <c r="Y64" i="34"/>
  <c r="Y48" i="34"/>
  <c r="Y32" i="34"/>
  <c r="Y16" i="34"/>
  <c r="W94" i="34"/>
  <c r="W78" i="34"/>
  <c r="W62" i="34"/>
  <c r="W46" i="34"/>
  <c r="W30" i="34"/>
  <c r="AU80" i="34"/>
  <c r="AS100" i="34"/>
  <c r="AS84" i="34"/>
  <c r="AS68" i="34"/>
  <c r="AS52" i="34"/>
  <c r="AS36" i="34"/>
  <c r="AS20" i="34"/>
  <c r="BC103" i="34"/>
  <c r="BC87" i="34"/>
  <c r="BC71" i="34"/>
  <c r="BC55" i="34"/>
  <c r="BC39" i="34"/>
  <c r="BC23" i="34"/>
  <c r="BC7" i="34"/>
  <c r="BA91" i="34"/>
  <c r="BA75" i="34"/>
  <c r="BA59" i="34"/>
  <c r="BA43" i="34"/>
  <c r="BA27" i="34"/>
  <c r="BA11" i="34"/>
  <c r="AA104" i="34"/>
  <c r="AA88" i="34"/>
  <c r="AA72" i="34"/>
  <c r="AA56" i="34"/>
  <c r="AA40" i="34"/>
  <c r="AA24" i="34"/>
  <c r="AA8" i="34"/>
  <c r="AQ92" i="34"/>
  <c r="AQ76" i="34"/>
  <c r="AQ60" i="34"/>
  <c r="AQ44" i="34"/>
  <c r="AQ28" i="34"/>
  <c r="AQ12" i="34"/>
  <c r="AO92" i="34"/>
  <c r="AO76" i="34"/>
  <c r="AO60" i="34"/>
  <c r="AO44" i="34"/>
  <c r="AO28" i="34"/>
  <c r="AO12" i="34"/>
  <c r="BE103" i="34"/>
  <c r="BE87" i="34"/>
  <c r="BE71" i="34"/>
  <c r="BE55" i="34"/>
  <c r="BE39" i="34"/>
  <c r="BE23" i="34"/>
  <c r="BE7" i="34"/>
  <c r="AE100" i="34"/>
  <c r="AE84" i="34"/>
  <c r="AE68" i="34"/>
  <c r="AE52" i="34"/>
  <c r="AE36" i="34"/>
  <c r="AE20" i="34"/>
  <c r="AU88" i="34"/>
  <c r="AU103" i="34"/>
  <c r="AU71" i="34"/>
  <c r="AU55" i="34"/>
  <c r="AU39" i="34"/>
  <c r="AU23" i="34"/>
  <c r="AU7" i="34"/>
  <c r="I8" i="34"/>
  <c r="AA101" i="34"/>
  <c r="AA85" i="34"/>
  <c r="AA69" i="34"/>
  <c r="Q93" i="34"/>
  <c r="Q77" i="34"/>
  <c r="Q61" i="34"/>
  <c r="Q45" i="34"/>
  <c r="Q29" i="34"/>
  <c r="Q13" i="34"/>
  <c r="AQ96" i="34"/>
  <c r="AQ80" i="34"/>
  <c r="AQ64" i="34"/>
  <c r="AQ48" i="34"/>
  <c r="AQ32" i="34"/>
  <c r="AQ16" i="34"/>
  <c r="AE104" i="34"/>
  <c r="AE88" i="34"/>
  <c r="AE72" i="34"/>
  <c r="AE56" i="34"/>
  <c r="AE40" i="34"/>
  <c r="AE24" i="34"/>
  <c r="AE8" i="34"/>
  <c r="BG95" i="34"/>
  <c r="BG79" i="34"/>
  <c r="BG63" i="34"/>
  <c r="BG47" i="34"/>
  <c r="BG31" i="34"/>
  <c r="BG15" i="34"/>
  <c r="AM100" i="34"/>
  <c r="AM92" i="34"/>
  <c r="AM76" i="34"/>
  <c r="AM60" i="34"/>
  <c r="AM44" i="34"/>
  <c r="AM28" i="34"/>
  <c r="AM12" i="34"/>
  <c r="AU75" i="34"/>
  <c r="AU59" i="34"/>
  <c r="AU43" i="34"/>
  <c r="AU27" i="34"/>
  <c r="AU11" i="34"/>
  <c r="AA53" i="34"/>
  <c r="AA37" i="34"/>
  <c r="AA21" i="34"/>
  <c r="AA91" i="34"/>
  <c r="AA92" i="34"/>
  <c r="AA76" i="34"/>
  <c r="AA60" i="34"/>
  <c r="AA44" i="34"/>
  <c r="AA28" i="34"/>
  <c r="AA12" i="34"/>
  <c r="AK100" i="34"/>
  <c r="AK84" i="34"/>
  <c r="AK68" i="34"/>
  <c r="AK52" i="34"/>
  <c r="AK36" i="34"/>
  <c r="AK20" i="34"/>
  <c r="AG104" i="34"/>
  <c r="AG88" i="34"/>
  <c r="AG72" i="34"/>
  <c r="AG56" i="34"/>
  <c r="AG40" i="34"/>
  <c r="AG24" i="34"/>
  <c r="AG8" i="34"/>
  <c r="AO96" i="34"/>
  <c r="AO80" i="34"/>
  <c r="AO64" i="34"/>
  <c r="AO48" i="34"/>
  <c r="AO32" i="34"/>
  <c r="AO16" i="34"/>
  <c r="AC100" i="34"/>
  <c r="AC84" i="34"/>
  <c r="AC68" i="34"/>
  <c r="AC52" i="34"/>
  <c r="AC36" i="34"/>
  <c r="AC20" i="34"/>
  <c r="Y104" i="34"/>
  <c r="Y88" i="34"/>
  <c r="Y72" i="34"/>
  <c r="Y56" i="34"/>
  <c r="Y40" i="34"/>
  <c r="Y24" i="34"/>
  <c r="Y8" i="34"/>
  <c r="I6" i="34"/>
  <c r="G12" i="34"/>
  <c r="G18" i="34"/>
  <c r="G56" i="34"/>
  <c r="G9" i="34"/>
  <c r="AS104" i="34"/>
  <c r="AS88" i="34"/>
  <c r="AS72" i="34"/>
  <c r="AS56" i="34"/>
  <c r="AS40" i="34"/>
  <c r="AS24" i="34"/>
  <c r="AS8" i="34"/>
  <c r="BC91" i="34"/>
  <c r="BC75" i="34"/>
  <c r="BC59" i="34"/>
  <c r="BC43" i="34"/>
  <c r="BC27" i="34"/>
  <c r="BC11" i="34"/>
  <c r="BA95" i="34"/>
  <c r="BA79" i="34"/>
  <c r="BA63" i="34"/>
  <c r="BA47" i="34"/>
  <c r="BA31" i="34"/>
  <c r="BA15" i="34"/>
  <c r="AA75" i="34"/>
  <c r="Q67" i="34"/>
  <c r="AK96" i="34"/>
  <c r="AK80" i="34"/>
  <c r="AK64" i="34"/>
  <c r="AK48" i="34"/>
  <c r="AK32" i="34"/>
  <c r="AK16" i="34"/>
  <c r="AG100" i="34"/>
  <c r="AG84" i="34"/>
  <c r="AG68" i="34"/>
  <c r="AG52" i="34"/>
  <c r="AG36" i="34"/>
  <c r="AG20" i="34"/>
  <c r="E96" i="34"/>
  <c r="E80" i="34"/>
  <c r="E64" i="34"/>
  <c r="E48" i="34"/>
  <c r="E32" i="34"/>
  <c r="E16" i="34"/>
  <c r="E41" i="34"/>
  <c r="E25" i="34"/>
  <c r="E9" i="34"/>
  <c r="E103" i="34"/>
  <c r="E87" i="34"/>
  <c r="E71" i="34"/>
  <c r="BE91" i="34"/>
  <c r="BE75" i="34"/>
  <c r="BE59" i="34"/>
  <c r="BE43" i="34"/>
  <c r="BE27" i="34"/>
  <c r="BE11" i="34"/>
  <c r="W8" i="34"/>
  <c r="E6" i="34"/>
  <c r="E94" i="34"/>
  <c r="E78" i="34"/>
  <c r="S92" i="34"/>
  <c r="S76" i="34"/>
  <c r="S60" i="34"/>
  <c r="S44" i="34"/>
  <c r="S28" i="34"/>
  <c r="S12" i="34"/>
  <c r="AA59" i="34"/>
  <c r="AA43" i="34"/>
  <c r="AA27" i="34"/>
  <c r="AA11" i="34"/>
  <c r="AK93" i="34"/>
  <c r="AK77" i="34"/>
  <c r="AK61" i="34"/>
  <c r="AK45" i="34"/>
  <c r="AK29" i="34"/>
  <c r="AK13" i="34"/>
  <c r="AK99" i="34"/>
  <c r="AK83" i="34"/>
  <c r="AK67" i="34"/>
  <c r="AK51" i="34"/>
  <c r="AK35" i="34"/>
  <c r="AK19" i="34"/>
  <c r="AG97" i="34"/>
  <c r="AG81" i="34"/>
  <c r="AG65" i="34"/>
  <c r="AG49" i="34"/>
  <c r="AG33" i="34"/>
  <c r="AG17" i="34"/>
  <c r="AG103" i="34"/>
  <c r="AG87" i="34"/>
  <c r="AG71" i="34"/>
  <c r="AG55" i="34"/>
  <c r="AG39" i="34"/>
  <c r="AG23" i="34"/>
  <c r="AG7" i="34"/>
  <c r="AO105" i="34"/>
  <c r="AO89" i="34"/>
  <c r="AO73" i="34"/>
  <c r="AO57" i="34"/>
  <c r="AO41" i="34"/>
  <c r="AO25" i="34"/>
  <c r="AO9" i="34"/>
  <c r="AO95" i="34"/>
  <c r="AO79" i="34"/>
  <c r="AO63" i="34"/>
  <c r="AO47" i="34"/>
  <c r="AO31" i="34"/>
  <c r="AO15" i="34"/>
  <c r="U6" i="34"/>
  <c r="U91" i="34"/>
  <c r="U75" i="34"/>
  <c r="U59" i="34"/>
  <c r="U43" i="34"/>
  <c r="U27" i="34"/>
  <c r="U11" i="34"/>
  <c r="U96" i="34"/>
  <c r="U80" i="34"/>
  <c r="U64" i="34"/>
  <c r="U48" i="34"/>
  <c r="U32" i="34"/>
  <c r="U16" i="34"/>
  <c r="U101" i="34"/>
  <c r="U85" i="34"/>
  <c r="U69" i="34"/>
  <c r="U53" i="34"/>
  <c r="U37" i="34"/>
  <c r="U21" i="34"/>
  <c r="S101" i="34"/>
  <c r="S85" i="34"/>
  <c r="S69" i="34"/>
  <c r="S53" i="34"/>
  <c r="S37" i="34"/>
  <c r="S21" i="34"/>
  <c r="BE100" i="34"/>
  <c r="BE84" i="34"/>
  <c r="BE68" i="34"/>
  <c r="BE52" i="34"/>
  <c r="BE36" i="34"/>
  <c r="BE20" i="34"/>
  <c r="BE105" i="34"/>
  <c r="BE89" i="34"/>
  <c r="BE73" i="34"/>
  <c r="BE57" i="34"/>
  <c r="BE41" i="34"/>
  <c r="BE25" i="34"/>
  <c r="G62" i="34"/>
  <c r="G95" i="34"/>
  <c r="G99" i="34"/>
  <c r="G69" i="34"/>
  <c r="W10" i="34"/>
  <c r="G44" i="34"/>
  <c r="AS96" i="34"/>
  <c r="AS80" i="34"/>
  <c r="AS64" i="34"/>
  <c r="AS48" i="34"/>
  <c r="AS32" i="34"/>
  <c r="AS16" i="34"/>
  <c r="AK92" i="34"/>
  <c r="AK76" i="34"/>
  <c r="AK60" i="34"/>
  <c r="AK44" i="34"/>
  <c r="AK28" i="34"/>
  <c r="AK12" i="34"/>
  <c r="AG96" i="34"/>
  <c r="AG80" i="34"/>
  <c r="AG64" i="34"/>
  <c r="AG48" i="34"/>
  <c r="AG32" i="34"/>
  <c r="AG16" i="34"/>
  <c r="AU96" i="34"/>
  <c r="AO104" i="34"/>
  <c r="AO88" i="34"/>
  <c r="AO72" i="34"/>
  <c r="AO56" i="34"/>
  <c r="AO40" i="34"/>
  <c r="AO24" i="34"/>
  <c r="AO8" i="34"/>
  <c r="BE99" i="34"/>
  <c r="BE83" i="34"/>
  <c r="BE67" i="34"/>
  <c r="BE51" i="34"/>
  <c r="BE35" i="34"/>
  <c r="BE19" i="34"/>
  <c r="E61" i="34"/>
  <c r="E55" i="34"/>
  <c r="E39" i="34"/>
  <c r="E23" i="34"/>
  <c r="G73" i="34"/>
  <c r="E100" i="34"/>
  <c r="E84" i="34"/>
  <c r="E68" i="34"/>
  <c r="E52" i="34"/>
  <c r="E36" i="34"/>
  <c r="E20" i="34"/>
  <c r="E45" i="34"/>
  <c r="E29" i="34"/>
  <c r="E13" i="34"/>
  <c r="E105" i="34"/>
  <c r="E91" i="34"/>
  <c r="E75" i="34"/>
  <c r="E59" i="34"/>
  <c r="E11" i="34"/>
  <c r="G102" i="34"/>
  <c r="G60" i="34"/>
  <c r="G66" i="34"/>
  <c r="G40" i="34"/>
  <c r="G46" i="34"/>
  <c r="G104" i="34"/>
  <c r="Q97" i="34"/>
  <c r="Q81" i="34"/>
  <c r="Q65" i="34"/>
  <c r="Q49" i="34"/>
  <c r="Q33" i="34"/>
  <c r="Q17" i="34"/>
  <c r="S96" i="34"/>
  <c r="S80" i="34"/>
  <c r="S64" i="34"/>
  <c r="S48" i="34"/>
  <c r="S32" i="34"/>
  <c r="S16" i="34"/>
  <c r="BE9" i="34"/>
  <c r="AM93" i="34"/>
  <c r="AM77" i="34"/>
  <c r="AM61" i="34"/>
  <c r="AM45" i="34"/>
  <c r="AM29" i="34"/>
  <c r="AM13" i="34"/>
  <c r="G36" i="34"/>
  <c r="G42" i="34"/>
  <c r="G94" i="34"/>
  <c r="AA100" i="34"/>
  <c r="AA84" i="34"/>
  <c r="AA68" i="34"/>
  <c r="AA52" i="34"/>
  <c r="AA36" i="34"/>
  <c r="AA20" i="34"/>
  <c r="FB6" i="14"/>
  <c r="G7" i="27" s="1"/>
  <c r="AY100" i="34"/>
  <c r="AY99" i="34"/>
  <c r="AY84" i="34"/>
  <c r="AY83" i="34"/>
  <c r="AY68" i="34"/>
  <c r="AY67" i="34"/>
  <c r="AY52" i="34"/>
  <c r="AY51" i="34"/>
  <c r="AY36" i="34"/>
  <c r="AY35" i="34"/>
  <c r="AY20" i="34"/>
  <c r="AY19" i="34"/>
  <c r="AQ103" i="34"/>
  <c r="AQ102" i="34"/>
  <c r="AQ87" i="34"/>
  <c r="AQ86" i="34"/>
  <c r="AQ71" i="34"/>
  <c r="AQ70" i="34"/>
  <c r="AQ55" i="34"/>
  <c r="AQ54" i="34"/>
  <c r="AQ39" i="34"/>
  <c r="AQ38" i="34"/>
  <c r="AQ23" i="34"/>
  <c r="AQ22" i="34"/>
  <c r="AQ7" i="34"/>
  <c r="AQ6" i="34"/>
  <c r="E65" i="34"/>
  <c r="E101" i="34"/>
  <c r="E81" i="34"/>
  <c r="E62" i="34"/>
  <c r="E42" i="34"/>
  <c r="E26" i="34"/>
  <c r="AI101" i="34"/>
  <c r="AI85" i="34"/>
  <c r="AI69" i="34"/>
  <c r="AI53" i="34"/>
  <c r="AI37" i="34"/>
  <c r="AI21" i="34"/>
  <c r="AI102" i="34"/>
  <c r="AI86" i="34"/>
  <c r="AI70" i="34"/>
  <c r="AI54" i="34"/>
  <c r="AI38" i="34"/>
  <c r="AI22" i="34"/>
  <c r="AI6" i="34"/>
  <c r="AI91" i="34"/>
  <c r="AI75" i="34"/>
  <c r="AI59" i="34"/>
  <c r="AI43" i="34"/>
  <c r="AI27" i="34"/>
  <c r="AI11" i="34"/>
  <c r="AY93" i="34"/>
  <c r="AY77" i="34"/>
  <c r="AY61" i="34"/>
  <c r="AY45" i="34"/>
  <c r="AY29" i="34"/>
  <c r="AY13" i="34"/>
  <c r="AY94" i="34"/>
  <c r="AY78" i="34"/>
  <c r="AY62" i="34"/>
  <c r="AY46" i="34"/>
  <c r="AY30" i="34"/>
  <c r="AY14" i="34"/>
  <c r="AS93" i="34"/>
  <c r="AS77" i="34"/>
  <c r="AS61" i="34"/>
  <c r="AS45" i="34"/>
  <c r="AS29" i="34"/>
  <c r="AS13" i="34"/>
  <c r="AS94" i="34"/>
  <c r="AS78" i="34"/>
  <c r="AS62" i="34"/>
  <c r="AS46" i="34"/>
  <c r="AS30" i="34"/>
  <c r="AS14" i="34"/>
  <c r="AS99" i="34"/>
  <c r="AS83" i="34"/>
  <c r="AS67" i="34"/>
  <c r="AS51" i="34"/>
  <c r="AS35" i="34"/>
  <c r="AS19" i="34"/>
  <c r="BC96" i="34"/>
  <c r="BC80" i="34"/>
  <c r="BC64" i="34"/>
  <c r="BC48" i="34"/>
  <c r="BC32" i="34"/>
  <c r="BC16" i="34"/>
  <c r="BC101" i="34"/>
  <c r="BC85" i="34"/>
  <c r="BC69" i="34"/>
  <c r="BC53" i="34"/>
  <c r="BC37" i="34"/>
  <c r="BC21" i="34"/>
  <c r="BC102" i="34"/>
  <c r="BC86" i="34"/>
  <c r="BC70" i="34"/>
  <c r="BC54" i="34"/>
  <c r="BC38" i="34"/>
  <c r="BC22" i="34"/>
  <c r="BC6" i="34"/>
  <c r="BA100" i="34"/>
  <c r="BA84" i="34"/>
  <c r="BA68" i="34"/>
  <c r="BA52" i="34"/>
  <c r="BA36" i="34"/>
  <c r="BA20" i="34"/>
  <c r="BA105" i="34"/>
  <c r="BA89" i="34"/>
  <c r="BA73" i="34"/>
  <c r="BA57" i="34"/>
  <c r="BA41" i="34"/>
  <c r="BA25" i="34"/>
  <c r="BA9" i="34"/>
  <c r="BA90" i="34"/>
  <c r="BA74" i="34"/>
  <c r="BA58" i="34"/>
  <c r="BA42" i="34"/>
  <c r="BA26" i="34"/>
  <c r="BA10" i="34"/>
  <c r="Q100" i="34"/>
  <c r="Q84" i="34"/>
  <c r="Q68" i="34"/>
  <c r="Q52" i="34"/>
  <c r="Q36" i="34"/>
  <c r="Q20" i="34"/>
  <c r="Q94" i="34"/>
  <c r="Q78" i="34"/>
  <c r="Q62" i="34"/>
  <c r="Q46" i="34"/>
  <c r="Q30" i="34"/>
  <c r="Q14" i="34"/>
  <c r="K24" i="34"/>
  <c r="K29" i="34"/>
  <c r="K18" i="34"/>
  <c r="AA97" i="34"/>
  <c r="AA81" i="34"/>
  <c r="AA65" i="34"/>
  <c r="AA49" i="34"/>
  <c r="AA33" i="34"/>
  <c r="AA17" i="34"/>
  <c r="AA98" i="34"/>
  <c r="AA82" i="34"/>
  <c r="AA66" i="34"/>
  <c r="AA50" i="34"/>
  <c r="AA34" i="34"/>
  <c r="AA18" i="34"/>
  <c r="AA103" i="34"/>
  <c r="AA87" i="34"/>
  <c r="AA71" i="34"/>
  <c r="AA55" i="34"/>
  <c r="AA39" i="34"/>
  <c r="AA23" i="34"/>
  <c r="AA7" i="34"/>
  <c r="AQ101" i="34"/>
  <c r="AQ85" i="34"/>
  <c r="AQ69" i="34"/>
  <c r="AQ53" i="34"/>
  <c r="AQ37" i="34"/>
  <c r="AQ21" i="34"/>
  <c r="AK105" i="34"/>
  <c r="AK89" i="34"/>
  <c r="AK73" i="34"/>
  <c r="AK57" i="34"/>
  <c r="AK41" i="34"/>
  <c r="AK25" i="34"/>
  <c r="AK9" i="34"/>
  <c r="AK90" i="34"/>
  <c r="AK74" i="34"/>
  <c r="AK58" i="34"/>
  <c r="AK42" i="34"/>
  <c r="AK26" i="34"/>
  <c r="AK10" i="34"/>
  <c r="AK95" i="34"/>
  <c r="AK79" i="34"/>
  <c r="AK63" i="34"/>
  <c r="AK47" i="34"/>
  <c r="AK31" i="34"/>
  <c r="AK15" i="34"/>
  <c r="AG93" i="34"/>
  <c r="AG77" i="34"/>
  <c r="AG61" i="34"/>
  <c r="AG45" i="34"/>
  <c r="AG29" i="34"/>
  <c r="AG13" i="34"/>
  <c r="AG94" i="34"/>
  <c r="AG78" i="34"/>
  <c r="AG62" i="34"/>
  <c r="AG46" i="34"/>
  <c r="AG30" i="34"/>
  <c r="AG14" i="34"/>
  <c r="AG99" i="34"/>
  <c r="AG83" i="34"/>
  <c r="AG67" i="34"/>
  <c r="AG51" i="34"/>
  <c r="AG35" i="34"/>
  <c r="AG19" i="34"/>
  <c r="AU84" i="34"/>
  <c r="AU68" i="34"/>
  <c r="AU52" i="34"/>
  <c r="AU36" i="34"/>
  <c r="AU20" i="34"/>
  <c r="AU101" i="34"/>
  <c r="AU85" i="34"/>
  <c r="AU69" i="34"/>
  <c r="AU53" i="34"/>
  <c r="AU37" i="34"/>
  <c r="AU21" i="34"/>
  <c r="AU102" i="34"/>
  <c r="AU86" i="34"/>
  <c r="AU70" i="34"/>
  <c r="AU54" i="34"/>
  <c r="AU38" i="34"/>
  <c r="AU22" i="34"/>
  <c r="AU6" i="34"/>
  <c r="AO101" i="34"/>
  <c r="AO85" i="34"/>
  <c r="AO69" i="34"/>
  <c r="AO53" i="34"/>
  <c r="AO37" i="34"/>
  <c r="AO21" i="34"/>
  <c r="AO102" i="34"/>
  <c r="AO86" i="34"/>
  <c r="AO70" i="34"/>
  <c r="AO54" i="34"/>
  <c r="AO38" i="34"/>
  <c r="AO22" i="34"/>
  <c r="AO6" i="34"/>
  <c r="AO91" i="34"/>
  <c r="AO75" i="34"/>
  <c r="AO59" i="34"/>
  <c r="AO43" i="34"/>
  <c r="AO27" i="34"/>
  <c r="AO11" i="34"/>
  <c r="U103" i="34"/>
  <c r="U87" i="34"/>
  <c r="U71" i="34"/>
  <c r="U55" i="34"/>
  <c r="U39" i="34"/>
  <c r="U23" i="34"/>
  <c r="U7" i="34"/>
  <c r="U92" i="34"/>
  <c r="U76" i="34"/>
  <c r="U60" i="34"/>
  <c r="U44" i="34"/>
  <c r="U28" i="34"/>
  <c r="U12" i="34"/>
  <c r="U97" i="34"/>
  <c r="U81" i="34"/>
  <c r="U65" i="34"/>
  <c r="U49" i="34"/>
  <c r="U33" i="34"/>
  <c r="U17" i="34"/>
  <c r="S97" i="34"/>
  <c r="S81" i="34"/>
  <c r="S65" i="34"/>
  <c r="S49" i="34"/>
  <c r="S33" i="34"/>
  <c r="S17" i="34"/>
  <c r="S98" i="34"/>
  <c r="S82" i="34"/>
  <c r="S66" i="34"/>
  <c r="S50" i="34"/>
  <c r="S34" i="34"/>
  <c r="S18" i="34"/>
  <c r="BE96" i="34"/>
  <c r="BE80" i="34"/>
  <c r="BE64" i="34"/>
  <c r="BE48" i="34"/>
  <c r="BE32" i="34"/>
  <c r="BE16" i="34"/>
  <c r="BE101" i="34"/>
  <c r="BE85" i="34"/>
  <c r="BE69" i="34"/>
  <c r="BE53" i="34"/>
  <c r="BE37" i="34"/>
  <c r="BE21" i="34"/>
  <c r="BE102" i="34"/>
  <c r="BE86" i="34"/>
  <c r="BE70" i="34"/>
  <c r="BE54" i="34"/>
  <c r="BE38" i="34"/>
  <c r="BE22" i="34"/>
  <c r="BE6" i="34"/>
  <c r="AE93" i="34"/>
  <c r="AE77" i="34"/>
  <c r="AE61" i="34"/>
  <c r="AE45" i="34"/>
  <c r="AE29" i="34"/>
  <c r="AE13" i="34"/>
  <c r="AE94" i="34"/>
  <c r="AE78" i="34"/>
  <c r="AE62" i="34"/>
  <c r="AE46" i="34"/>
  <c r="AE30" i="34"/>
  <c r="AE14" i="34"/>
  <c r="AE99" i="34"/>
  <c r="AE83" i="34"/>
  <c r="AE67" i="34"/>
  <c r="AE51" i="34"/>
  <c r="AE35" i="34"/>
  <c r="AE19" i="34"/>
  <c r="M96" i="34"/>
  <c r="M80" i="34"/>
  <c r="M64" i="34"/>
  <c r="M48" i="34"/>
  <c r="M32" i="34"/>
  <c r="M16" i="34"/>
  <c r="M101" i="34"/>
  <c r="M85" i="34"/>
  <c r="M69" i="34"/>
  <c r="M53" i="34"/>
  <c r="M37" i="34"/>
  <c r="M21" i="34"/>
  <c r="M102" i="34"/>
  <c r="M86" i="34"/>
  <c r="M70" i="34"/>
  <c r="M54" i="34"/>
  <c r="M38" i="34"/>
  <c r="M22" i="34"/>
  <c r="M6" i="34"/>
  <c r="AC105" i="34"/>
  <c r="AC89" i="34"/>
  <c r="AC73" i="34"/>
  <c r="AC57" i="34"/>
  <c r="AC41" i="34"/>
  <c r="AC25" i="34"/>
  <c r="AC9" i="34"/>
  <c r="AC90" i="34"/>
  <c r="AC74" i="34"/>
  <c r="AC58" i="34"/>
  <c r="AC42" i="34"/>
  <c r="AC26" i="34"/>
  <c r="AC10" i="34"/>
  <c r="AC95" i="34"/>
  <c r="AC79" i="34"/>
  <c r="AC63" i="34"/>
  <c r="AC47" i="34"/>
  <c r="AC31" i="34"/>
  <c r="AC15" i="34"/>
  <c r="Y93" i="34"/>
  <c r="Y77" i="34"/>
  <c r="Y61" i="34"/>
  <c r="Y45" i="34"/>
  <c r="Y29" i="34"/>
  <c r="Y13" i="34"/>
  <c r="Y94" i="34"/>
  <c r="Y78" i="34"/>
  <c r="Y62" i="34"/>
  <c r="Y46" i="34"/>
  <c r="Y30" i="34"/>
  <c r="Y14" i="34"/>
  <c r="Y99" i="34"/>
  <c r="Y83" i="34"/>
  <c r="Y67" i="34"/>
  <c r="Y51" i="34"/>
  <c r="Y35" i="34"/>
  <c r="Y19" i="34"/>
  <c r="I96" i="34"/>
  <c r="I80" i="34"/>
  <c r="I64" i="34"/>
  <c r="I48" i="34"/>
  <c r="I32" i="34"/>
  <c r="I16" i="34"/>
  <c r="I97" i="34"/>
  <c r="I81" i="34"/>
  <c r="I65" i="34"/>
  <c r="I49" i="34"/>
  <c r="I33" i="34"/>
  <c r="I17" i="34"/>
  <c r="I90" i="34"/>
  <c r="I74" i="34"/>
  <c r="I58" i="34"/>
  <c r="I42" i="34"/>
  <c r="I26" i="34"/>
  <c r="I10" i="34"/>
  <c r="BG100" i="34"/>
  <c r="BG84" i="34"/>
  <c r="BG68" i="34"/>
  <c r="BG52" i="34"/>
  <c r="BG36" i="34"/>
  <c r="BG20" i="34"/>
  <c r="BG105" i="34"/>
  <c r="BG89" i="34"/>
  <c r="BG73" i="34"/>
  <c r="BG57" i="34"/>
  <c r="BG41" i="34"/>
  <c r="BG25" i="34"/>
  <c r="BG9" i="34"/>
  <c r="BG90" i="34"/>
  <c r="BG74" i="34"/>
  <c r="BG58" i="34"/>
  <c r="BG42" i="34"/>
  <c r="BG26" i="34"/>
  <c r="BG10" i="34"/>
  <c r="AM105" i="34"/>
  <c r="AM89" i="34"/>
  <c r="AM73" i="34"/>
  <c r="AM57" i="34"/>
  <c r="AM41" i="34"/>
  <c r="AM25" i="34"/>
  <c r="AM9" i="34"/>
  <c r="AM90" i="34"/>
  <c r="AM74" i="34"/>
  <c r="AM58" i="34"/>
  <c r="AM42" i="34"/>
  <c r="AM26" i="34"/>
  <c r="AM10" i="34"/>
  <c r="AM95" i="34"/>
  <c r="AM79" i="34"/>
  <c r="AM63" i="34"/>
  <c r="AM47" i="34"/>
  <c r="AM31" i="34"/>
  <c r="AM15" i="34"/>
  <c r="W91" i="34"/>
  <c r="W75" i="34"/>
  <c r="W59" i="34"/>
  <c r="W43" i="34"/>
  <c r="W27" i="34"/>
  <c r="W104" i="34"/>
  <c r="W88" i="34"/>
  <c r="W72" i="34"/>
  <c r="W56" i="34"/>
  <c r="W40" i="34"/>
  <c r="W24" i="34"/>
  <c r="W105" i="34"/>
  <c r="W89" i="34"/>
  <c r="W73" i="34"/>
  <c r="W57" i="34"/>
  <c r="W41" i="34"/>
  <c r="W25" i="34"/>
  <c r="W6" i="34"/>
  <c r="O96" i="34"/>
  <c r="O80" i="34"/>
  <c r="O64" i="34"/>
  <c r="O48" i="34"/>
  <c r="O32" i="34"/>
  <c r="O16" i="34"/>
  <c r="O101" i="34"/>
  <c r="O85" i="34"/>
  <c r="O69" i="34"/>
  <c r="O53" i="34"/>
  <c r="O37" i="34"/>
  <c r="O21" i="34"/>
  <c r="O102" i="34"/>
  <c r="O86" i="34"/>
  <c r="O70" i="34"/>
  <c r="O54" i="34"/>
  <c r="O38" i="34"/>
  <c r="O22" i="34"/>
  <c r="O6" i="34"/>
  <c r="AY104" i="34"/>
  <c r="AY103" i="34"/>
  <c r="AY88" i="34"/>
  <c r="AY87" i="34"/>
  <c r="AY72" i="34"/>
  <c r="AY71" i="34"/>
  <c r="AY56" i="34"/>
  <c r="AY55" i="34"/>
  <c r="AY40" i="34"/>
  <c r="AY39" i="34"/>
  <c r="AY24" i="34"/>
  <c r="AY23" i="34"/>
  <c r="AY8" i="34"/>
  <c r="AY7" i="34"/>
  <c r="AQ91" i="34"/>
  <c r="AQ90" i="34"/>
  <c r="AQ75" i="34"/>
  <c r="AQ74" i="34"/>
  <c r="AQ59" i="34"/>
  <c r="AQ58" i="34"/>
  <c r="AQ43" i="34"/>
  <c r="AQ42" i="34"/>
  <c r="AQ27" i="34"/>
  <c r="AQ26" i="34"/>
  <c r="AQ11" i="34"/>
  <c r="AQ10" i="34"/>
  <c r="E97" i="34"/>
  <c r="E85" i="34"/>
  <c r="E69" i="34"/>
  <c r="E98" i="34"/>
  <c r="E82" i="34"/>
  <c r="E66" i="34"/>
  <c r="E46" i="34"/>
  <c r="E30" i="34"/>
  <c r="E14" i="34"/>
  <c r="E43" i="34"/>
  <c r="E27" i="34"/>
  <c r="AI105" i="34"/>
  <c r="AI89" i="34"/>
  <c r="AI73" i="34"/>
  <c r="AI57" i="34"/>
  <c r="AI41" i="34"/>
  <c r="AI25" i="34"/>
  <c r="AI9" i="34"/>
  <c r="AI90" i="34"/>
  <c r="AI74" i="34"/>
  <c r="AI58" i="34"/>
  <c r="AI42" i="34"/>
  <c r="AI26" i="34"/>
  <c r="AI10" i="34"/>
  <c r="AI95" i="34"/>
  <c r="AI79" i="34"/>
  <c r="AI63" i="34"/>
  <c r="AI47" i="34"/>
  <c r="AI31" i="34"/>
  <c r="AI15" i="34"/>
  <c r="AY97" i="34"/>
  <c r="AY81" i="34"/>
  <c r="AY65" i="34"/>
  <c r="AY49" i="34"/>
  <c r="AY33" i="34"/>
  <c r="AY17" i="34"/>
  <c r="AY98" i="34"/>
  <c r="AY82" i="34"/>
  <c r="AY66" i="34"/>
  <c r="AY50" i="34"/>
  <c r="AY34" i="34"/>
  <c r="AY18" i="34"/>
  <c r="AS97" i="34"/>
  <c r="AS81" i="34"/>
  <c r="AS65" i="34"/>
  <c r="AS49" i="34"/>
  <c r="AS33" i="34"/>
  <c r="AS17" i="34"/>
  <c r="AS98" i="34"/>
  <c r="AS82" i="34"/>
  <c r="AS66" i="34"/>
  <c r="AS50" i="34"/>
  <c r="AS34" i="34"/>
  <c r="AS18" i="34"/>
  <c r="AS103" i="34"/>
  <c r="AS87" i="34"/>
  <c r="AS71" i="34"/>
  <c r="AS55" i="34"/>
  <c r="AS39" i="34"/>
  <c r="AS23" i="34"/>
  <c r="AS7" i="34"/>
  <c r="BC100" i="34"/>
  <c r="BC84" i="34"/>
  <c r="BC68" i="34"/>
  <c r="BC52" i="34"/>
  <c r="BC36" i="34"/>
  <c r="BC20" i="34"/>
  <c r="BC105" i="34"/>
  <c r="BC89" i="34"/>
  <c r="BC73" i="34"/>
  <c r="BC57" i="34"/>
  <c r="BC41" i="34"/>
  <c r="BC25" i="34"/>
  <c r="BC9" i="34"/>
  <c r="BC90" i="34"/>
  <c r="BC74" i="34"/>
  <c r="BC58" i="34"/>
  <c r="BC42" i="34"/>
  <c r="BC26" i="34"/>
  <c r="BC10" i="34"/>
  <c r="BA104" i="34"/>
  <c r="BA88" i="34"/>
  <c r="BA72" i="34"/>
  <c r="BA56" i="34"/>
  <c r="BA40" i="34"/>
  <c r="BA24" i="34"/>
  <c r="BA8" i="34"/>
  <c r="BA93" i="34"/>
  <c r="BA77" i="34"/>
  <c r="BA61" i="34"/>
  <c r="BA45" i="34"/>
  <c r="BA29" i="34"/>
  <c r="BA13" i="34"/>
  <c r="BA94" i="34"/>
  <c r="BA78" i="34"/>
  <c r="BA62" i="34"/>
  <c r="BA46" i="34"/>
  <c r="BA30" i="34"/>
  <c r="BA14" i="34"/>
  <c r="Q98" i="34"/>
  <c r="Q82" i="34"/>
  <c r="Q66" i="34"/>
  <c r="Q50" i="34"/>
  <c r="Q34" i="34"/>
  <c r="Q18" i="34"/>
  <c r="AA102" i="34"/>
  <c r="AA86" i="34"/>
  <c r="AA70" i="34"/>
  <c r="AA54" i="34"/>
  <c r="AA38" i="34"/>
  <c r="AA22" i="34"/>
  <c r="AA6" i="34"/>
  <c r="AQ105" i="34"/>
  <c r="AQ89" i="34"/>
  <c r="AQ73" i="34"/>
  <c r="AQ57" i="34"/>
  <c r="AQ41" i="34"/>
  <c r="AQ25" i="34"/>
  <c r="AQ9" i="34"/>
  <c r="AK94" i="34"/>
  <c r="AK78" i="34"/>
  <c r="AK62" i="34"/>
  <c r="AK46" i="34"/>
  <c r="AK30" i="34"/>
  <c r="AK14" i="34"/>
  <c r="AG98" i="34"/>
  <c r="AG82" i="34"/>
  <c r="AG66" i="34"/>
  <c r="AG50" i="34"/>
  <c r="AG34" i="34"/>
  <c r="AG18" i="34"/>
  <c r="AU92" i="34"/>
  <c r="AU72" i="34"/>
  <c r="AU56" i="34"/>
  <c r="AU40" i="34"/>
  <c r="AU24" i="34"/>
  <c r="AU8" i="34"/>
  <c r="AU89" i="34"/>
  <c r="AU73" i="34"/>
  <c r="AU57" i="34"/>
  <c r="AU41" i="34"/>
  <c r="AU25" i="34"/>
  <c r="AU9" i="34"/>
  <c r="AU90" i="34"/>
  <c r="AU74" i="34"/>
  <c r="AU58" i="34"/>
  <c r="AU42" i="34"/>
  <c r="AU26" i="34"/>
  <c r="AU10" i="34"/>
  <c r="AO90" i="34"/>
  <c r="AO74" i="34"/>
  <c r="AO58" i="34"/>
  <c r="AO42" i="34"/>
  <c r="AO26" i="34"/>
  <c r="AO10" i="34"/>
  <c r="S102" i="34"/>
  <c r="S86" i="34"/>
  <c r="S70" i="34"/>
  <c r="S54" i="34"/>
  <c r="S38" i="34"/>
  <c r="S22" i="34"/>
  <c r="S6" i="34"/>
  <c r="BE90" i="34"/>
  <c r="BE74" i="34"/>
  <c r="BE58" i="34"/>
  <c r="BE42" i="34"/>
  <c r="BE26" i="34"/>
  <c r="BE10" i="34"/>
  <c r="AE97" i="34"/>
  <c r="AE81" i="34"/>
  <c r="AE65" i="34"/>
  <c r="AE49" i="34"/>
  <c r="AE33" i="34"/>
  <c r="AE17" i="34"/>
  <c r="AE98" i="34"/>
  <c r="AE82" i="34"/>
  <c r="AE66" i="34"/>
  <c r="AE50" i="34"/>
  <c r="AE34" i="34"/>
  <c r="AE18" i="34"/>
  <c r="AE103" i="34"/>
  <c r="AE87" i="34"/>
  <c r="AE71" i="34"/>
  <c r="AE55" i="34"/>
  <c r="AE39" i="34"/>
  <c r="AE23" i="34"/>
  <c r="AE7" i="34"/>
  <c r="M100" i="34"/>
  <c r="M84" i="34"/>
  <c r="M68" i="34"/>
  <c r="M52" i="34"/>
  <c r="M36" i="34"/>
  <c r="M20" i="34"/>
  <c r="M105" i="34"/>
  <c r="M89" i="34"/>
  <c r="M73" i="34"/>
  <c r="M57" i="34"/>
  <c r="M41" i="34"/>
  <c r="M25" i="34"/>
  <c r="M9" i="34"/>
  <c r="M90" i="34"/>
  <c r="M74" i="34"/>
  <c r="M58" i="34"/>
  <c r="M42" i="34"/>
  <c r="M26" i="34"/>
  <c r="M10" i="34"/>
  <c r="AC93" i="34"/>
  <c r="AC77" i="34"/>
  <c r="AC61" i="34"/>
  <c r="AC45" i="34"/>
  <c r="AC29" i="34"/>
  <c r="AC13" i="34"/>
  <c r="AC94" i="34"/>
  <c r="AC78" i="34"/>
  <c r="AC62" i="34"/>
  <c r="AC46" i="34"/>
  <c r="AC30" i="34"/>
  <c r="AC14" i="34"/>
  <c r="AC99" i="34"/>
  <c r="AC83" i="34"/>
  <c r="AC67" i="34"/>
  <c r="AC51" i="34"/>
  <c r="AC35" i="34"/>
  <c r="AC19" i="34"/>
  <c r="Y97" i="34"/>
  <c r="Y81" i="34"/>
  <c r="Y65" i="34"/>
  <c r="Y49" i="34"/>
  <c r="Y33" i="34"/>
  <c r="Y17" i="34"/>
  <c r="Y98" i="34"/>
  <c r="Y82" i="34"/>
  <c r="Y66" i="34"/>
  <c r="Y50" i="34"/>
  <c r="Y34" i="34"/>
  <c r="Y18" i="34"/>
  <c r="Y103" i="34"/>
  <c r="Y87" i="34"/>
  <c r="Y71" i="34"/>
  <c r="Y55" i="34"/>
  <c r="Y39" i="34"/>
  <c r="Y23" i="34"/>
  <c r="Y7" i="34"/>
  <c r="I100" i="34"/>
  <c r="I84" i="34"/>
  <c r="I68" i="34"/>
  <c r="I52" i="34"/>
  <c r="I36" i="34"/>
  <c r="I20" i="34"/>
  <c r="I101" i="34"/>
  <c r="I85" i="34"/>
  <c r="I69" i="34"/>
  <c r="I53" i="34"/>
  <c r="I37" i="34"/>
  <c r="I21" i="34"/>
  <c r="I94" i="34"/>
  <c r="I78" i="34"/>
  <c r="I62" i="34"/>
  <c r="I46" i="34"/>
  <c r="I30" i="34"/>
  <c r="I14" i="34"/>
  <c r="BG104" i="34"/>
  <c r="BG88" i="34"/>
  <c r="BG72" i="34"/>
  <c r="BG56" i="34"/>
  <c r="BG40" i="34"/>
  <c r="BG24" i="34"/>
  <c r="BG8" i="34"/>
  <c r="BG93" i="34"/>
  <c r="BG77" i="34"/>
  <c r="BG61" i="34"/>
  <c r="BG45" i="34"/>
  <c r="BG29" i="34"/>
  <c r="BG13" i="34"/>
  <c r="BG94" i="34"/>
  <c r="BG78" i="34"/>
  <c r="BG62" i="34"/>
  <c r="BG46" i="34"/>
  <c r="BG30" i="34"/>
  <c r="BG14" i="34"/>
  <c r="AM94" i="34"/>
  <c r="AM78" i="34"/>
  <c r="AM62" i="34"/>
  <c r="AM46" i="34"/>
  <c r="AM30" i="34"/>
  <c r="AM14" i="34"/>
  <c r="AM99" i="34"/>
  <c r="AM83" i="34"/>
  <c r="AM67" i="34"/>
  <c r="AM51" i="34"/>
  <c r="AM35" i="34"/>
  <c r="AM19" i="34"/>
  <c r="W95" i="34"/>
  <c r="W79" i="34"/>
  <c r="W63" i="34"/>
  <c r="W47" i="34"/>
  <c r="W31" i="34"/>
  <c r="W92" i="34"/>
  <c r="W76" i="34"/>
  <c r="W60" i="34"/>
  <c r="W44" i="34"/>
  <c r="W28" i="34"/>
  <c r="W93" i="34"/>
  <c r="W77" i="34"/>
  <c r="W61" i="34"/>
  <c r="W45" i="34"/>
  <c r="W29" i="34"/>
  <c r="W7" i="34"/>
  <c r="O100" i="34"/>
  <c r="O84" i="34"/>
  <c r="O68" i="34"/>
  <c r="O52" i="34"/>
  <c r="O36" i="34"/>
  <c r="O20" i="34"/>
  <c r="O105" i="34"/>
  <c r="O89" i="34"/>
  <c r="O73" i="34"/>
  <c r="O57" i="34"/>
  <c r="O41" i="34"/>
  <c r="O25" i="34"/>
  <c r="O9" i="34"/>
  <c r="O90" i="34"/>
  <c r="O74" i="34"/>
  <c r="O58" i="34"/>
  <c r="O42" i="34"/>
  <c r="O26" i="34"/>
  <c r="O10" i="34"/>
  <c r="AY92" i="34"/>
  <c r="AY91" i="34"/>
  <c r="AY76" i="34"/>
  <c r="AY75" i="34"/>
  <c r="AY60" i="34"/>
  <c r="AY59" i="34"/>
  <c r="AY44" i="34"/>
  <c r="AY43" i="34"/>
  <c r="AY28" i="34"/>
  <c r="AY27" i="34"/>
  <c r="AY12" i="34"/>
  <c r="AY11" i="34"/>
  <c r="AQ95" i="34"/>
  <c r="AQ94" i="34"/>
  <c r="AQ79" i="34"/>
  <c r="AQ78" i="34"/>
  <c r="AQ63" i="34"/>
  <c r="AQ62" i="34"/>
  <c r="AQ47" i="34"/>
  <c r="AQ46" i="34"/>
  <c r="AQ31" i="34"/>
  <c r="AQ30" i="34"/>
  <c r="AQ15" i="34"/>
  <c r="AQ14" i="34"/>
  <c r="E104" i="34"/>
  <c r="E88" i="34"/>
  <c r="E72" i="34"/>
  <c r="E56" i="34"/>
  <c r="E40" i="34"/>
  <c r="E24" i="34"/>
  <c r="E8" i="34"/>
  <c r="E49" i="34"/>
  <c r="E33" i="34"/>
  <c r="E17" i="34"/>
  <c r="E10" i="34"/>
  <c r="E89" i="34"/>
  <c r="E73" i="34"/>
  <c r="E102" i="34"/>
  <c r="E86" i="34"/>
  <c r="E70" i="34"/>
  <c r="E50" i="34"/>
  <c r="E34" i="34"/>
  <c r="E18" i="34"/>
  <c r="E95" i="34"/>
  <c r="E79" i="34"/>
  <c r="E63" i="34"/>
  <c r="E47" i="34"/>
  <c r="E31" i="34"/>
  <c r="E15" i="34"/>
  <c r="G16" i="34"/>
  <c r="G22" i="34"/>
  <c r="G50" i="34"/>
  <c r="G24" i="34"/>
  <c r="G88" i="34"/>
  <c r="AI93" i="34"/>
  <c r="AI77" i="34"/>
  <c r="AI61" i="34"/>
  <c r="AI45" i="34"/>
  <c r="AI29" i="34"/>
  <c r="AI13" i="34"/>
  <c r="AI94" i="34"/>
  <c r="AI78" i="34"/>
  <c r="AI62" i="34"/>
  <c r="AI46" i="34"/>
  <c r="AI30" i="34"/>
  <c r="AI14" i="34"/>
  <c r="AI99" i="34"/>
  <c r="AI83" i="34"/>
  <c r="AI67" i="34"/>
  <c r="AI51" i="34"/>
  <c r="AI35" i="34"/>
  <c r="AI19" i="34"/>
  <c r="AY101" i="34"/>
  <c r="AY85" i="34"/>
  <c r="AY69" i="34"/>
  <c r="AY53" i="34"/>
  <c r="AY37" i="34"/>
  <c r="AY21" i="34"/>
  <c r="AY102" i="34"/>
  <c r="AY86" i="34"/>
  <c r="AY70" i="34"/>
  <c r="AY54" i="34"/>
  <c r="AY38" i="34"/>
  <c r="AY22" i="34"/>
  <c r="AY6" i="34"/>
  <c r="AS101" i="34"/>
  <c r="AS85" i="34"/>
  <c r="AS69" i="34"/>
  <c r="AS53" i="34"/>
  <c r="AS37" i="34"/>
  <c r="AS21" i="34"/>
  <c r="AS102" i="34"/>
  <c r="AS86" i="34"/>
  <c r="AS70" i="34"/>
  <c r="AS54" i="34"/>
  <c r="AS38" i="34"/>
  <c r="AS22" i="34"/>
  <c r="AS6" i="34"/>
  <c r="AS91" i="34"/>
  <c r="AS75" i="34"/>
  <c r="AS59" i="34"/>
  <c r="AS43" i="34"/>
  <c r="AS27" i="34"/>
  <c r="AS11" i="34"/>
  <c r="BC104" i="34"/>
  <c r="BC88" i="34"/>
  <c r="BC72" i="34"/>
  <c r="BC56" i="34"/>
  <c r="BC40" i="34"/>
  <c r="BC24" i="34"/>
  <c r="BC8" i="34"/>
  <c r="BC93" i="34"/>
  <c r="BC77" i="34"/>
  <c r="BC61" i="34"/>
  <c r="BC45" i="34"/>
  <c r="BC29" i="34"/>
  <c r="BC13" i="34"/>
  <c r="BC94" i="34"/>
  <c r="BC78" i="34"/>
  <c r="BC62" i="34"/>
  <c r="BC46" i="34"/>
  <c r="BC30" i="34"/>
  <c r="BC14" i="34"/>
  <c r="BA92" i="34"/>
  <c r="BA76" i="34"/>
  <c r="BA60" i="34"/>
  <c r="BA44" i="34"/>
  <c r="BA28" i="34"/>
  <c r="BA12" i="34"/>
  <c r="BA97" i="34"/>
  <c r="BA81" i="34"/>
  <c r="BA65" i="34"/>
  <c r="BA49" i="34"/>
  <c r="BA33" i="34"/>
  <c r="BA17" i="34"/>
  <c r="BA98" i="34"/>
  <c r="BA82" i="34"/>
  <c r="BA66" i="34"/>
  <c r="BA50" i="34"/>
  <c r="BA34" i="34"/>
  <c r="BA18" i="34"/>
  <c r="Q92" i="34"/>
  <c r="Q76" i="34"/>
  <c r="Q60" i="34"/>
  <c r="Q44" i="34"/>
  <c r="Q28" i="34"/>
  <c r="Q12" i="34"/>
  <c r="Q101" i="34"/>
  <c r="Q85" i="34"/>
  <c r="Q69" i="34"/>
  <c r="Q53" i="34"/>
  <c r="Q37" i="34"/>
  <c r="Q21" i="34"/>
  <c r="Q102" i="34"/>
  <c r="Q86" i="34"/>
  <c r="Q70" i="34"/>
  <c r="Q54" i="34"/>
  <c r="Q38" i="34"/>
  <c r="Q22" i="34"/>
  <c r="Q6" i="34"/>
  <c r="K21" i="34"/>
  <c r="K26" i="34"/>
  <c r="AA105" i="34"/>
  <c r="AA89" i="34"/>
  <c r="AA73" i="34"/>
  <c r="AA57" i="34"/>
  <c r="AA41" i="34"/>
  <c r="AA25" i="34"/>
  <c r="AA9" i="34"/>
  <c r="AA90" i="34"/>
  <c r="AA74" i="34"/>
  <c r="AA58" i="34"/>
  <c r="AA42" i="34"/>
  <c r="AA26" i="34"/>
  <c r="AA10" i="34"/>
  <c r="AA95" i="34"/>
  <c r="AA79" i="34"/>
  <c r="AA63" i="34"/>
  <c r="AA47" i="34"/>
  <c r="AA31" i="34"/>
  <c r="AA15" i="34"/>
  <c r="AQ93" i="34"/>
  <c r="AQ77" i="34"/>
  <c r="AQ61" i="34"/>
  <c r="AQ45" i="34"/>
  <c r="AQ29" i="34"/>
  <c r="AQ13" i="34"/>
  <c r="AK97" i="34"/>
  <c r="AK81" i="34"/>
  <c r="AK65" i="34"/>
  <c r="AK49" i="34"/>
  <c r="AK33" i="34"/>
  <c r="AK17" i="34"/>
  <c r="AK98" i="34"/>
  <c r="AK82" i="34"/>
  <c r="AK66" i="34"/>
  <c r="AK50" i="34"/>
  <c r="AK34" i="34"/>
  <c r="AK18" i="34"/>
  <c r="AK103" i="34"/>
  <c r="AK87" i="34"/>
  <c r="AK71" i="34"/>
  <c r="AK55" i="34"/>
  <c r="AK39" i="34"/>
  <c r="AK23" i="34"/>
  <c r="AK7" i="34"/>
  <c r="AG101" i="34"/>
  <c r="AG85" i="34"/>
  <c r="AG69" i="34"/>
  <c r="AG53" i="34"/>
  <c r="AG37" i="34"/>
  <c r="AG21" i="34"/>
  <c r="AG102" i="34"/>
  <c r="AG86" i="34"/>
  <c r="AG70" i="34"/>
  <c r="AG54" i="34"/>
  <c r="AG38" i="34"/>
  <c r="AG22" i="34"/>
  <c r="AG6" i="34"/>
  <c r="AG91" i="34"/>
  <c r="AG75" i="34"/>
  <c r="AG59" i="34"/>
  <c r="AG43" i="34"/>
  <c r="AG27" i="34"/>
  <c r="AG11" i="34"/>
  <c r="AU100" i="34"/>
  <c r="AU60" i="34"/>
  <c r="AU44" i="34"/>
  <c r="AU28" i="34"/>
  <c r="AU12" i="34"/>
  <c r="AU93" i="34"/>
  <c r="AU77" i="34"/>
  <c r="AU61" i="34"/>
  <c r="AU45" i="34"/>
  <c r="AU29" i="34"/>
  <c r="AU13" i="34"/>
  <c r="AU94" i="34"/>
  <c r="AU78" i="34"/>
  <c r="AU62" i="34"/>
  <c r="AU46" i="34"/>
  <c r="AU30" i="34"/>
  <c r="AU14" i="34"/>
  <c r="AO93" i="34"/>
  <c r="AO77" i="34"/>
  <c r="AO61" i="34"/>
  <c r="AO45" i="34"/>
  <c r="AO29" i="34"/>
  <c r="AO13" i="34"/>
  <c r="AO94" i="34"/>
  <c r="AO78" i="34"/>
  <c r="AO62" i="34"/>
  <c r="AO46" i="34"/>
  <c r="AO30" i="34"/>
  <c r="AO14" i="34"/>
  <c r="AO99" i="34"/>
  <c r="AO83" i="34"/>
  <c r="AO67" i="34"/>
  <c r="AO51" i="34"/>
  <c r="AO35" i="34"/>
  <c r="AO19" i="34"/>
  <c r="U95" i="34"/>
  <c r="U79" i="34"/>
  <c r="U63" i="34"/>
  <c r="U47" i="34"/>
  <c r="U31" i="34"/>
  <c r="U15" i="34"/>
  <c r="U100" i="34"/>
  <c r="U84" i="34"/>
  <c r="U68" i="34"/>
  <c r="U52" i="34"/>
  <c r="U36" i="34"/>
  <c r="U20" i="34"/>
  <c r="U105" i="34"/>
  <c r="U89" i="34"/>
  <c r="U73" i="34"/>
  <c r="U57" i="34"/>
  <c r="U41" i="34"/>
  <c r="U25" i="34"/>
  <c r="U9" i="34"/>
  <c r="S100" i="34"/>
  <c r="S84" i="34"/>
  <c r="S68" i="34"/>
  <c r="S52" i="34"/>
  <c r="S36" i="34"/>
  <c r="S20" i="34"/>
  <c r="S105" i="34"/>
  <c r="S89" i="34"/>
  <c r="S73" i="34"/>
  <c r="S57" i="34"/>
  <c r="S41" i="34"/>
  <c r="S25" i="34"/>
  <c r="S9" i="34"/>
  <c r="S90" i="34"/>
  <c r="S74" i="34"/>
  <c r="S58" i="34"/>
  <c r="S42" i="34"/>
  <c r="S26" i="34"/>
  <c r="S10" i="34"/>
  <c r="BE104" i="34"/>
  <c r="BE88" i="34"/>
  <c r="BE72" i="34"/>
  <c r="BE56" i="34"/>
  <c r="BE40" i="34"/>
  <c r="BE24" i="34"/>
  <c r="BE8" i="34"/>
  <c r="BE93" i="34"/>
  <c r="BE77" i="34"/>
  <c r="BE61" i="34"/>
  <c r="BE45" i="34"/>
  <c r="BE29" i="34"/>
  <c r="BE13" i="34"/>
  <c r="BE94" i="34"/>
  <c r="BE78" i="34"/>
  <c r="BE62" i="34"/>
  <c r="BE46" i="34"/>
  <c r="BE30" i="34"/>
  <c r="BE14" i="34"/>
  <c r="AE101" i="34"/>
  <c r="AE85" i="34"/>
  <c r="AE69" i="34"/>
  <c r="AE53" i="34"/>
  <c r="AE37" i="34"/>
  <c r="AE21" i="34"/>
  <c r="AE102" i="34"/>
  <c r="AE86" i="34"/>
  <c r="AE70" i="34"/>
  <c r="AE54" i="34"/>
  <c r="AE38" i="34"/>
  <c r="AE22" i="34"/>
  <c r="AE6" i="34"/>
  <c r="AE91" i="34"/>
  <c r="AE75" i="34"/>
  <c r="AE59" i="34"/>
  <c r="AE43" i="34"/>
  <c r="AE27" i="34"/>
  <c r="AE11" i="34"/>
  <c r="M104" i="34"/>
  <c r="M88" i="34"/>
  <c r="M72" i="34"/>
  <c r="M56" i="34"/>
  <c r="M40" i="34"/>
  <c r="M24" i="34"/>
  <c r="M8" i="34"/>
  <c r="M93" i="34"/>
  <c r="M77" i="34"/>
  <c r="M61" i="34"/>
  <c r="M45" i="34"/>
  <c r="M29" i="34"/>
  <c r="M13" i="34"/>
  <c r="M94" i="34"/>
  <c r="M78" i="34"/>
  <c r="M62" i="34"/>
  <c r="M46" i="34"/>
  <c r="M30" i="34"/>
  <c r="M14" i="34"/>
  <c r="AC97" i="34"/>
  <c r="AC81" i="34"/>
  <c r="AC65" i="34"/>
  <c r="AC49" i="34"/>
  <c r="AC33" i="34"/>
  <c r="AC17" i="34"/>
  <c r="AC98" i="34"/>
  <c r="AC82" i="34"/>
  <c r="AC66" i="34"/>
  <c r="AC50" i="34"/>
  <c r="AC34" i="34"/>
  <c r="AC18" i="34"/>
  <c r="AC103" i="34"/>
  <c r="AC87" i="34"/>
  <c r="AC71" i="34"/>
  <c r="AC55" i="34"/>
  <c r="AC39" i="34"/>
  <c r="AC23" i="34"/>
  <c r="AC7" i="34"/>
  <c r="Y101" i="34"/>
  <c r="Y85" i="34"/>
  <c r="Y69" i="34"/>
  <c r="Y53" i="34"/>
  <c r="Y37" i="34"/>
  <c r="Y21" i="34"/>
  <c r="Y102" i="34"/>
  <c r="Y86" i="34"/>
  <c r="Y70" i="34"/>
  <c r="Y54" i="34"/>
  <c r="Y38" i="34"/>
  <c r="Y22" i="34"/>
  <c r="Y6" i="34"/>
  <c r="Y91" i="34"/>
  <c r="Y75" i="34"/>
  <c r="Y59" i="34"/>
  <c r="Y43" i="34"/>
  <c r="Y27" i="34"/>
  <c r="Y11" i="34"/>
  <c r="I104" i="34"/>
  <c r="I88" i="34"/>
  <c r="I72" i="34"/>
  <c r="I56" i="34"/>
  <c r="I40" i="34"/>
  <c r="I24" i="34"/>
  <c r="I105" i="34"/>
  <c r="I89" i="34"/>
  <c r="I73" i="34"/>
  <c r="I57" i="34"/>
  <c r="I41" i="34"/>
  <c r="I25" i="34"/>
  <c r="I7" i="34"/>
  <c r="I98" i="34"/>
  <c r="I82" i="34"/>
  <c r="I66" i="34"/>
  <c r="I50" i="34"/>
  <c r="I34" i="34"/>
  <c r="I18" i="34"/>
  <c r="BG92" i="34"/>
  <c r="BG76" i="34"/>
  <c r="BG60" i="34"/>
  <c r="BG44" i="34"/>
  <c r="BG28" i="34"/>
  <c r="BG12" i="34"/>
  <c r="BG97" i="34"/>
  <c r="BG81" i="34"/>
  <c r="BG65" i="34"/>
  <c r="BG49" i="34"/>
  <c r="BG33" i="34"/>
  <c r="BG17" i="34"/>
  <c r="BG98" i="34"/>
  <c r="BG82" i="34"/>
  <c r="BG66" i="34"/>
  <c r="BG50" i="34"/>
  <c r="BG34" i="34"/>
  <c r="BG18" i="34"/>
  <c r="AM97" i="34"/>
  <c r="AM81" i="34"/>
  <c r="AM65" i="34"/>
  <c r="AM49" i="34"/>
  <c r="AM33" i="34"/>
  <c r="AM17" i="34"/>
  <c r="AM98" i="34"/>
  <c r="AM82" i="34"/>
  <c r="AM66" i="34"/>
  <c r="AM50" i="34"/>
  <c r="AM34" i="34"/>
  <c r="AM18" i="34"/>
  <c r="AM103" i="34"/>
  <c r="AM87" i="34"/>
  <c r="AM71" i="34"/>
  <c r="AM55" i="34"/>
  <c r="AM39" i="34"/>
  <c r="AM23" i="34"/>
  <c r="AM7" i="34"/>
  <c r="W99" i="34"/>
  <c r="W83" i="34"/>
  <c r="W67" i="34"/>
  <c r="W51" i="34"/>
  <c r="W35" i="34"/>
  <c r="W19" i="34"/>
  <c r="W96" i="34"/>
  <c r="W80" i="34"/>
  <c r="W64" i="34"/>
  <c r="W48" i="34"/>
  <c r="W32" i="34"/>
  <c r="W97" i="34"/>
  <c r="W81" i="34"/>
  <c r="W65" i="34"/>
  <c r="W49" i="34"/>
  <c r="W33" i="34"/>
  <c r="W17" i="34"/>
  <c r="W14" i="34"/>
  <c r="W11" i="34"/>
  <c r="O104" i="34"/>
  <c r="O88" i="34"/>
  <c r="O72" i="34"/>
  <c r="O56" i="34"/>
  <c r="O40" i="34"/>
  <c r="O24" i="34"/>
  <c r="O8" i="34"/>
  <c r="O93" i="34"/>
  <c r="O77" i="34"/>
  <c r="O61" i="34"/>
  <c r="O45" i="34"/>
  <c r="O29" i="34"/>
  <c r="O13" i="34"/>
  <c r="O94" i="34"/>
  <c r="O78" i="34"/>
  <c r="O62" i="34"/>
  <c r="O46" i="34"/>
  <c r="O30" i="34"/>
  <c r="O14" i="34"/>
  <c r="AY96" i="34"/>
  <c r="AY95" i="34"/>
  <c r="AY80" i="34"/>
  <c r="AY79" i="34"/>
  <c r="AY64" i="34"/>
  <c r="AY63" i="34"/>
  <c r="AY48" i="34"/>
  <c r="AY47" i="34"/>
  <c r="AY32" i="34"/>
  <c r="AY31" i="34"/>
  <c r="AY16" i="34"/>
  <c r="AY15" i="34"/>
  <c r="AQ99" i="34"/>
  <c r="AQ98" i="34"/>
  <c r="AQ83" i="34"/>
  <c r="AQ82" i="34"/>
  <c r="AQ67" i="34"/>
  <c r="AQ66" i="34"/>
  <c r="AQ51" i="34"/>
  <c r="AQ50" i="34"/>
  <c r="AQ35" i="34"/>
  <c r="AQ34" i="34"/>
  <c r="AQ19" i="34"/>
  <c r="AQ18" i="34"/>
  <c r="E92" i="34"/>
  <c r="E76" i="34"/>
  <c r="E60" i="34"/>
  <c r="E44" i="34"/>
  <c r="E28" i="34"/>
  <c r="E12" i="34"/>
  <c r="E53" i="34"/>
  <c r="E37" i="34"/>
  <c r="E21" i="34"/>
  <c r="E54" i="34"/>
  <c r="E93" i="34"/>
  <c r="E77" i="34"/>
  <c r="E57" i="34"/>
  <c r="E90" i="34"/>
  <c r="E74" i="34"/>
  <c r="E58" i="34"/>
  <c r="E38" i="34"/>
  <c r="E22" i="34"/>
  <c r="E99" i="34"/>
  <c r="E83" i="34"/>
  <c r="E67" i="34"/>
  <c r="E51" i="34"/>
  <c r="E35" i="34"/>
  <c r="E19" i="34"/>
  <c r="G70" i="34"/>
  <c r="G93" i="34"/>
  <c r="G72" i="34"/>
  <c r="AI97" i="34"/>
  <c r="AI81" i="34"/>
  <c r="AI65" i="34"/>
  <c r="AI49" i="34"/>
  <c r="AI33" i="34"/>
  <c r="AI17" i="34"/>
  <c r="AI98" i="34"/>
  <c r="AI82" i="34"/>
  <c r="AI66" i="34"/>
  <c r="AI50" i="34"/>
  <c r="AI34" i="34"/>
  <c r="AI18" i="34"/>
  <c r="AI103" i="34"/>
  <c r="AI87" i="34"/>
  <c r="AI71" i="34"/>
  <c r="AI55" i="34"/>
  <c r="AI39" i="34"/>
  <c r="AI23" i="34"/>
  <c r="AI7" i="34"/>
  <c r="AY105" i="34"/>
  <c r="AY89" i="34"/>
  <c r="AY73" i="34"/>
  <c r="AY57" i="34"/>
  <c r="AY41" i="34"/>
  <c r="AY25" i="34"/>
  <c r="AY9" i="34"/>
  <c r="AY90" i="34"/>
  <c r="AY74" i="34"/>
  <c r="AY58" i="34"/>
  <c r="AY42" i="34"/>
  <c r="AY26" i="34"/>
  <c r="AY10" i="34"/>
  <c r="AS105" i="34"/>
  <c r="AS89" i="34"/>
  <c r="AS73" i="34"/>
  <c r="AS57" i="34"/>
  <c r="AS41" i="34"/>
  <c r="AS25" i="34"/>
  <c r="AS9" i="34"/>
  <c r="AS90" i="34"/>
  <c r="AS74" i="34"/>
  <c r="AS58" i="34"/>
  <c r="AS42" i="34"/>
  <c r="AS26" i="34"/>
  <c r="AS10" i="34"/>
  <c r="AS95" i="34"/>
  <c r="AS79" i="34"/>
  <c r="AS63" i="34"/>
  <c r="AS47" i="34"/>
  <c r="AS31" i="34"/>
  <c r="AS15" i="34"/>
  <c r="BC92" i="34"/>
  <c r="BC76" i="34"/>
  <c r="BC60" i="34"/>
  <c r="BC44" i="34"/>
  <c r="BC28" i="34"/>
  <c r="BC12" i="34"/>
  <c r="BC97" i="34"/>
  <c r="BC81" i="34"/>
  <c r="BC65" i="34"/>
  <c r="BC49" i="34"/>
  <c r="BC33" i="34"/>
  <c r="BC17" i="34"/>
  <c r="BC98" i="34"/>
  <c r="BC82" i="34"/>
  <c r="BC66" i="34"/>
  <c r="BC50" i="34"/>
  <c r="BC34" i="34"/>
  <c r="BC18" i="34"/>
  <c r="BA96" i="34"/>
  <c r="BA80" i="34"/>
  <c r="BA64" i="34"/>
  <c r="BA48" i="34"/>
  <c r="BA32" i="34"/>
  <c r="BA16" i="34"/>
  <c r="BA101" i="34"/>
  <c r="BA85" i="34"/>
  <c r="BA69" i="34"/>
  <c r="BA53" i="34"/>
  <c r="BA37" i="34"/>
  <c r="BA21" i="34"/>
  <c r="BA102" i="34"/>
  <c r="BA86" i="34"/>
  <c r="BA70" i="34"/>
  <c r="BA54" i="34"/>
  <c r="BA38" i="34"/>
  <c r="BA22" i="34"/>
  <c r="BA6" i="34"/>
  <c r="Q96" i="34"/>
  <c r="Q80" i="34"/>
  <c r="Q64" i="34"/>
  <c r="Q48" i="34"/>
  <c r="Q32" i="34"/>
  <c r="Q16" i="34"/>
  <c r="Q105" i="34"/>
  <c r="Q89" i="34"/>
  <c r="Q73" i="34"/>
  <c r="Q57" i="34"/>
  <c r="Q41" i="34"/>
  <c r="Q25" i="34"/>
  <c r="Q9" i="34"/>
  <c r="Q90" i="34"/>
  <c r="Q74" i="34"/>
  <c r="Q58" i="34"/>
  <c r="Q42" i="34"/>
  <c r="Q26" i="34"/>
  <c r="Q10" i="34"/>
  <c r="K20" i="34"/>
  <c r="K25" i="34"/>
  <c r="K9" i="34"/>
  <c r="AA93" i="34"/>
  <c r="AA77" i="34"/>
  <c r="AA61" i="34"/>
  <c r="AA45" i="34"/>
  <c r="AA29" i="34"/>
  <c r="AA13" i="34"/>
  <c r="AA94" i="34"/>
  <c r="AA78" i="34"/>
  <c r="AA62" i="34"/>
  <c r="AA46" i="34"/>
  <c r="AA30" i="34"/>
  <c r="AA14" i="34"/>
  <c r="AA99" i="34"/>
  <c r="AA83" i="34"/>
  <c r="AA67" i="34"/>
  <c r="AA51" i="34"/>
  <c r="AA35" i="34"/>
  <c r="AA19" i="34"/>
  <c r="AQ97" i="34"/>
  <c r="AQ81" i="34"/>
  <c r="AQ65" i="34"/>
  <c r="AQ49" i="34"/>
  <c r="AQ33" i="34"/>
  <c r="AQ17" i="34"/>
  <c r="AK101" i="34"/>
  <c r="AK85" i="34"/>
  <c r="AK69" i="34"/>
  <c r="AK53" i="34"/>
  <c r="AK37" i="34"/>
  <c r="AK21" i="34"/>
  <c r="AK102" i="34"/>
  <c r="AK86" i="34"/>
  <c r="AK70" i="34"/>
  <c r="AK54" i="34"/>
  <c r="AK38" i="34"/>
  <c r="AK22" i="34"/>
  <c r="AK6" i="34"/>
  <c r="AK91" i="34"/>
  <c r="AK75" i="34"/>
  <c r="AK59" i="34"/>
  <c r="AK43" i="34"/>
  <c r="AK27" i="34"/>
  <c r="AK11" i="34"/>
  <c r="AG105" i="34"/>
  <c r="AG89" i="34"/>
  <c r="AG73" i="34"/>
  <c r="AG57" i="34"/>
  <c r="AG41" i="34"/>
  <c r="AG25" i="34"/>
  <c r="AG9" i="34"/>
  <c r="AG90" i="34"/>
  <c r="AG74" i="34"/>
  <c r="AG58" i="34"/>
  <c r="AG42" i="34"/>
  <c r="AG26" i="34"/>
  <c r="AG10" i="34"/>
  <c r="AG95" i="34"/>
  <c r="AG79" i="34"/>
  <c r="AG63" i="34"/>
  <c r="AG47" i="34"/>
  <c r="AG31" i="34"/>
  <c r="AG15" i="34"/>
  <c r="AU105" i="34"/>
  <c r="AU76" i="34"/>
  <c r="AU64" i="34"/>
  <c r="AU48" i="34"/>
  <c r="AU32" i="34"/>
  <c r="AU16" i="34"/>
  <c r="AU97" i="34"/>
  <c r="AU81" i="34"/>
  <c r="AU65" i="34"/>
  <c r="AU49" i="34"/>
  <c r="AU33" i="34"/>
  <c r="AU17" i="34"/>
  <c r="AU98" i="34"/>
  <c r="AU82" i="34"/>
  <c r="AU66" i="34"/>
  <c r="AU50" i="34"/>
  <c r="AU34" i="34"/>
  <c r="AU18" i="34"/>
  <c r="AO97" i="34"/>
  <c r="AO81" i="34"/>
  <c r="AO65" i="34"/>
  <c r="AO49" i="34"/>
  <c r="AO33" i="34"/>
  <c r="AO17" i="34"/>
  <c r="AO98" i="34"/>
  <c r="AO82" i="34"/>
  <c r="AO66" i="34"/>
  <c r="AO50" i="34"/>
  <c r="AO34" i="34"/>
  <c r="AO18" i="34"/>
  <c r="AO103" i="34"/>
  <c r="AO87" i="34"/>
  <c r="AO71" i="34"/>
  <c r="AO55" i="34"/>
  <c r="AO39" i="34"/>
  <c r="AO23" i="34"/>
  <c r="AO7" i="34"/>
  <c r="U99" i="34"/>
  <c r="U83" i="34"/>
  <c r="U67" i="34"/>
  <c r="U51" i="34"/>
  <c r="U35" i="34"/>
  <c r="U19" i="34"/>
  <c r="U104" i="34"/>
  <c r="U88" i="34"/>
  <c r="U72" i="34"/>
  <c r="U56" i="34"/>
  <c r="U40" i="34"/>
  <c r="U24" i="34"/>
  <c r="U8" i="34"/>
  <c r="U93" i="34"/>
  <c r="U77" i="34"/>
  <c r="U61" i="34"/>
  <c r="U45" i="34"/>
  <c r="U29" i="34"/>
  <c r="U13" i="34"/>
  <c r="S104" i="34"/>
  <c r="S88" i="34"/>
  <c r="S72" i="34"/>
  <c r="S56" i="34"/>
  <c r="S40" i="34"/>
  <c r="S24" i="34"/>
  <c r="S8" i="34"/>
  <c r="S93" i="34"/>
  <c r="S77" i="34"/>
  <c r="S61" i="34"/>
  <c r="S45" i="34"/>
  <c r="S29" i="34"/>
  <c r="S13" i="34"/>
  <c r="S94" i="34"/>
  <c r="S78" i="34"/>
  <c r="S62" i="34"/>
  <c r="S46" i="34"/>
  <c r="S30" i="34"/>
  <c r="S14" i="34"/>
  <c r="BE92" i="34"/>
  <c r="BE76" i="34"/>
  <c r="BE60" i="34"/>
  <c r="BE44" i="34"/>
  <c r="BE28" i="34"/>
  <c r="BE12" i="34"/>
  <c r="BE97" i="34"/>
  <c r="BE81" i="34"/>
  <c r="BE65" i="34"/>
  <c r="BE49" i="34"/>
  <c r="BE33" i="34"/>
  <c r="BE17" i="34"/>
  <c r="BE98" i="34"/>
  <c r="BE82" i="34"/>
  <c r="BE66" i="34"/>
  <c r="BE50" i="34"/>
  <c r="BE34" i="34"/>
  <c r="BE18" i="34"/>
  <c r="AE105" i="34"/>
  <c r="AE89" i="34"/>
  <c r="AE73" i="34"/>
  <c r="AE57" i="34"/>
  <c r="AE41" i="34"/>
  <c r="AE25" i="34"/>
  <c r="AE9" i="34"/>
  <c r="AE90" i="34"/>
  <c r="AE74" i="34"/>
  <c r="AE58" i="34"/>
  <c r="AE42" i="34"/>
  <c r="AE26" i="34"/>
  <c r="AE10" i="34"/>
  <c r="AE95" i="34"/>
  <c r="AE79" i="34"/>
  <c r="AE63" i="34"/>
  <c r="AE47" i="34"/>
  <c r="AE31" i="34"/>
  <c r="AE15" i="34"/>
  <c r="M92" i="34"/>
  <c r="M76" i="34"/>
  <c r="M60" i="34"/>
  <c r="M44" i="34"/>
  <c r="M28" i="34"/>
  <c r="M12" i="34"/>
  <c r="M97" i="34"/>
  <c r="M81" i="34"/>
  <c r="M65" i="34"/>
  <c r="M49" i="34"/>
  <c r="M33" i="34"/>
  <c r="M17" i="34"/>
  <c r="M98" i="34"/>
  <c r="M82" i="34"/>
  <c r="M66" i="34"/>
  <c r="M50" i="34"/>
  <c r="M34" i="34"/>
  <c r="M18" i="34"/>
  <c r="AC101" i="34"/>
  <c r="AC85" i="34"/>
  <c r="AC69" i="34"/>
  <c r="AC53" i="34"/>
  <c r="AC37" i="34"/>
  <c r="AC21" i="34"/>
  <c r="AC102" i="34"/>
  <c r="AC86" i="34"/>
  <c r="AC70" i="34"/>
  <c r="AC54" i="34"/>
  <c r="AC38" i="34"/>
  <c r="AC22" i="34"/>
  <c r="AC6" i="34"/>
  <c r="AC91" i="34"/>
  <c r="AC75" i="34"/>
  <c r="AC59" i="34"/>
  <c r="AC43" i="34"/>
  <c r="AC27" i="34"/>
  <c r="AC11" i="34"/>
  <c r="Y105" i="34"/>
  <c r="Y89" i="34"/>
  <c r="Y73" i="34"/>
  <c r="Y57" i="34"/>
  <c r="Y41" i="34"/>
  <c r="Y25" i="34"/>
  <c r="Y9" i="34"/>
  <c r="Y90" i="34"/>
  <c r="Y74" i="34"/>
  <c r="Y58" i="34"/>
  <c r="Y42" i="34"/>
  <c r="Y26" i="34"/>
  <c r="Y10" i="34"/>
  <c r="Y95" i="34"/>
  <c r="Y79" i="34"/>
  <c r="Y63" i="34"/>
  <c r="Y47" i="34"/>
  <c r="Y31" i="34"/>
  <c r="Y15" i="34"/>
  <c r="I92" i="34"/>
  <c r="I76" i="34"/>
  <c r="I60" i="34"/>
  <c r="I44" i="34"/>
  <c r="I28" i="34"/>
  <c r="I12" i="34"/>
  <c r="I93" i="34"/>
  <c r="I77" i="34"/>
  <c r="I61" i="34"/>
  <c r="I45" i="34"/>
  <c r="I29" i="34"/>
  <c r="I13" i="34"/>
  <c r="I102" i="34"/>
  <c r="I86" i="34"/>
  <c r="I70" i="34"/>
  <c r="I54" i="34"/>
  <c r="I38" i="34"/>
  <c r="I22" i="34"/>
  <c r="BG96" i="34"/>
  <c r="BG80" i="34"/>
  <c r="BG64" i="34"/>
  <c r="BG48" i="34"/>
  <c r="BG32" i="34"/>
  <c r="BG16" i="34"/>
  <c r="BG101" i="34"/>
  <c r="BG85" i="34"/>
  <c r="BG69" i="34"/>
  <c r="BG53" i="34"/>
  <c r="BG37" i="34"/>
  <c r="BG21" i="34"/>
  <c r="BG102" i="34"/>
  <c r="BG86" i="34"/>
  <c r="BG70" i="34"/>
  <c r="BG54" i="34"/>
  <c r="BG38" i="34"/>
  <c r="BG22" i="34"/>
  <c r="AM101" i="34"/>
  <c r="AM85" i="34"/>
  <c r="AM69" i="34"/>
  <c r="AM53" i="34"/>
  <c r="AM37" i="34"/>
  <c r="AM21" i="34"/>
  <c r="AM102" i="34"/>
  <c r="AM86" i="34"/>
  <c r="AM70" i="34"/>
  <c r="AM54" i="34"/>
  <c r="AM38" i="34"/>
  <c r="AM22" i="34"/>
  <c r="AM6" i="34"/>
  <c r="AM91" i="34"/>
  <c r="AM75" i="34"/>
  <c r="AM59" i="34"/>
  <c r="AM43" i="34"/>
  <c r="AM27" i="34"/>
  <c r="AM11" i="34"/>
  <c r="W103" i="34"/>
  <c r="W87" i="34"/>
  <c r="W71" i="34"/>
  <c r="W55" i="34"/>
  <c r="W39" i="34"/>
  <c r="W23" i="34"/>
  <c r="W100" i="34"/>
  <c r="W84" i="34"/>
  <c r="W68" i="34"/>
  <c r="W52" i="34"/>
  <c r="W36" i="34"/>
  <c r="W20" i="34"/>
  <c r="W101" i="34"/>
  <c r="W85" i="34"/>
  <c r="W69" i="34"/>
  <c r="W53" i="34"/>
  <c r="W37" i="34"/>
  <c r="W21" i="34"/>
  <c r="W9" i="34"/>
  <c r="W15" i="34"/>
  <c r="O92" i="34"/>
  <c r="O76" i="34"/>
  <c r="O60" i="34"/>
  <c r="O44" i="34"/>
  <c r="O28" i="34"/>
  <c r="O12" i="34"/>
  <c r="O97" i="34"/>
  <c r="O81" i="34"/>
  <c r="O65" i="34"/>
  <c r="O49" i="34"/>
  <c r="O33" i="34"/>
  <c r="O17" i="34"/>
  <c r="O98" i="34"/>
  <c r="O82" i="34"/>
  <c r="O66" i="34"/>
  <c r="O50" i="34"/>
  <c r="O34" i="34"/>
  <c r="O18" i="34"/>
  <c r="G78" i="34"/>
  <c r="G45" i="34"/>
  <c r="G13" i="34"/>
  <c r="G89" i="34"/>
  <c r="G68" i="34"/>
  <c r="G39" i="34"/>
  <c r="G7" i="34"/>
  <c r="G64" i="34"/>
  <c r="G33" i="34"/>
  <c r="G101" i="34"/>
  <c r="G103" i="34"/>
  <c r="G81" i="34"/>
  <c r="G59" i="34"/>
  <c r="G27" i="34"/>
  <c r="G53" i="34"/>
  <c r="G21" i="34"/>
  <c r="G47" i="34"/>
  <c r="G15" i="34"/>
  <c r="G41" i="34"/>
  <c r="G80" i="34"/>
  <c r="G87" i="34"/>
  <c r="G65" i="34"/>
  <c r="G35" i="34"/>
  <c r="G83" i="34"/>
  <c r="G61" i="34"/>
  <c r="G29" i="34"/>
  <c r="G100" i="34"/>
  <c r="G79" i="34"/>
  <c r="G55" i="34"/>
  <c r="G23" i="34"/>
  <c r="G75" i="34"/>
  <c r="G49" i="34"/>
  <c r="G17" i="34"/>
  <c r="G91" i="34"/>
  <c r="G92" i="34"/>
  <c r="G71" i="34"/>
  <c r="G43" i="34"/>
  <c r="G11" i="34"/>
  <c r="G8" i="34"/>
  <c r="G30" i="34"/>
  <c r="G67" i="34"/>
  <c r="G37" i="34"/>
  <c r="G105" i="34"/>
  <c r="G84" i="34"/>
  <c r="G63" i="34"/>
  <c r="G31" i="34"/>
  <c r="G85" i="34"/>
  <c r="G57" i="34"/>
  <c r="G25" i="34"/>
  <c r="G96" i="34"/>
  <c r="G97" i="34"/>
  <c r="G76" i="34"/>
  <c r="G51" i="34"/>
  <c r="G19" i="34"/>
  <c r="K33" i="34"/>
  <c r="K32" i="34"/>
  <c r="AO29" i="14"/>
  <c r="I27" i="23"/>
  <c r="H27" i="23"/>
  <c r="F21" i="6"/>
  <c r="AC21" i="32" s="1"/>
  <c r="C27" i="23"/>
  <c r="E27" i="23"/>
  <c r="D27" i="23"/>
  <c r="A8" i="7"/>
  <c r="N22" i="7" s="1"/>
  <c r="T11" i="32"/>
  <c r="T9" i="32"/>
  <c r="C22" i="23"/>
  <c r="G22" i="23"/>
  <c r="E22" i="23"/>
  <c r="D22" i="23"/>
  <c r="I22" i="23"/>
  <c r="C27" i="6"/>
  <c r="H27" i="6"/>
  <c r="F19" i="6"/>
  <c r="AC19" i="32" s="1"/>
  <c r="E5" i="6"/>
  <c r="C28" i="35" s="1"/>
  <c r="AJ4" i="14"/>
  <c r="B19" i="26"/>
  <c r="D14" i="24"/>
  <c r="D15" i="24"/>
  <c r="G14" i="24"/>
  <c r="G15" i="24"/>
  <c r="E14" i="24"/>
  <c r="E15" i="24"/>
  <c r="EZ12" i="14"/>
  <c r="E13" i="27" s="1"/>
  <c r="D12" i="24"/>
  <c r="D13" i="24"/>
  <c r="E12" i="24"/>
  <c r="E13" i="24"/>
  <c r="G12" i="24"/>
  <c r="G16" i="15"/>
  <c r="AI8" i="14"/>
  <c r="AJ8" i="14"/>
  <c r="D13" i="23"/>
  <c r="F13" i="23"/>
  <c r="AH9" i="14"/>
  <c r="AJ9" i="14"/>
  <c r="AG5" i="14"/>
  <c r="AJ5" i="14"/>
  <c r="D10" i="24"/>
  <c r="D11" i="24"/>
  <c r="E10" i="24"/>
  <c r="E11" i="24"/>
  <c r="G10" i="24"/>
  <c r="G11" i="24"/>
  <c r="E8" i="24"/>
  <c r="E9" i="24"/>
  <c r="EZ6" i="14"/>
  <c r="E7" i="27" s="1"/>
  <c r="G8" i="24"/>
  <c r="G9" i="24"/>
  <c r="D8" i="24"/>
  <c r="D9" i="24"/>
  <c r="I15" i="23"/>
  <c r="H12" i="32"/>
  <c r="AO28" i="14"/>
  <c r="EY30" i="14"/>
  <c r="D31" i="27" s="1"/>
  <c r="EY31" i="14"/>
  <c r="D32" i="27" s="1"/>
  <c r="D32" i="6"/>
  <c r="EY32" i="14"/>
  <c r="D33" i="27" s="1"/>
  <c r="D33" i="6"/>
  <c r="D28" i="6"/>
  <c r="EY28" i="14"/>
  <c r="D29" i="27" s="1"/>
  <c r="FB34" i="14"/>
  <c r="G35" i="27" s="1"/>
  <c r="H35" i="27" s="1"/>
  <c r="F33" i="6"/>
  <c r="AC33" i="32" s="1"/>
  <c r="FB33" i="14"/>
  <c r="G34" i="27" s="1"/>
  <c r="FB32" i="14"/>
  <c r="G33" i="27" s="1"/>
  <c r="FB31" i="14"/>
  <c r="G32" i="27" s="1"/>
  <c r="FB30" i="14"/>
  <c r="G31" i="27" s="1"/>
  <c r="FB29" i="14"/>
  <c r="G30" i="27" s="1"/>
  <c r="H30" i="27" s="1"/>
  <c r="F28" i="6"/>
  <c r="AC28" i="32" s="1"/>
  <c r="FB28" i="14"/>
  <c r="G29" i="27" s="1"/>
  <c r="AM27" i="14"/>
  <c r="AL27" i="14"/>
  <c r="EY27" i="14"/>
  <c r="D28" i="27" s="1"/>
  <c r="FB27" i="14"/>
  <c r="G28" i="27" s="1"/>
  <c r="AL26" i="14"/>
  <c r="AM26" i="14"/>
  <c r="AO26" i="14" s="1"/>
  <c r="EY26" i="14"/>
  <c r="D27" i="27" s="1"/>
  <c r="FB26" i="14"/>
  <c r="G27" i="27" s="1"/>
  <c r="D23" i="6"/>
  <c r="D21" i="6"/>
  <c r="EY25" i="14"/>
  <c r="D26" i="27" s="1"/>
  <c r="EY23" i="14"/>
  <c r="D24" i="27" s="1"/>
  <c r="FB24" i="14"/>
  <c r="G25" i="27" s="1"/>
  <c r="H25" i="27" s="1"/>
  <c r="FB23" i="14"/>
  <c r="G24" i="27" s="1"/>
  <c r="FB22" i="14"/>
  <c r="G23" i="27" s="1"/>
  <c r="H23" i="27" s="1"/>
  <c r="FB21" i="14"/>
  <c r="G22" i="27" s="1"/>
  <c r="FB20" i="14"/>
  <c r="G21" i="27" s="1"/>
  <c r="FB19" i="14"/>
  <c r="G20" i="27" s="1"/>
  <c r="F18" i="6"/>
  <c r="AC18" i="32" s="1"/>
  <c r="FB18" i="14"/>
  <c r="G19" i="27" s="1"/>
  <c r="F17" i="6"/>
  <c r="AC17" i="32" s="1"/>
  <c r="FB17" i="14"/>
  <c r="G18" i="27" s="1"/>
  <c r="FB16" i="14"/>
  <c r="G17" i="27" s="1"/>
  <c r="FB15" i="14"/>
  <c r="G16" i="27" s="1"/>
  <c r="FB14" i="14"/>
  <c r="G15" i="27" s="1"/>
  <c r="FB13" i="14"/>
  <c r="G14" i="27" s="1"/>
  <c r="F12" i="6"/>
  <c r="AC12" i="32" s="1"/>
  <c r="FB12" i="14"/>
  <c r="G13" i="27" s="1"/>
  <c r="AB11" i="32"/>
  <c r="F10" i="6"/>
  <c r="AC10" i="32" s="1"/>
  <c r="FB11" i="14"/>
  <c r="G12" i="27" s="1"/>
  <c r="F9" i="6"/>
  <c r="AC9" i="32" s="1"/>
  <c r="FB10" i="14"/>
  <c r="G11" i="27" s="1"/>
  <c r="AB8" i="32"/>
  <c r="FB8" i="14"/>
  <c r="G9" i="27" s="1"/>
  <c r="AB7" i="32"/>
  <c r="G9" i="32"/>
  <c r="G8" i="32"/>
  <c r="G7" i="32"/>
  <c r="G23" i="15"/>
  <c r="G21" i="15"/>
  <c r="G15" i="15"/>
  <c r="EZ10" i="14"/>
  <c r="E11" i="27" s="1"/>
  <c r="E10" i="6"/>
  <c r="C33" i="35" s="1"/>
  <c r="G24" i="15"/>
  <c r="G17" i="15"/>
  <c r="G19" i="15"/>
  <c r="AB18" i="32"/>
  <c r="AB17" i="32"/>
  <c r="AB21" i="32"/>
  <c r="AB15" i="32"/>
  <c r="T39" i="32"/>
  <c r="T40" i="32"/>
  <c r="T30" i="32"/>
  <c r="D11" i="32"/>
  <c r="C11" i="32"/>
  <c r="H11" i="32"/>
  <c r="B11" i="32"/>
  <c r="G11" i="32"/>
  <c r="A11" i="32"/>
  <c r="F11" i="32"/>
  <c r="H10" i="6"/>
  <c r="D33" i="35" s="1"/>
  <c r="AD10" i="32"/>
  <c r="G14" i="15"/>
  <c r="U14" i="32"/>
  <c r="AB9" i="32"/>
  <c r="G26" i="15"/>
  <c r="U26" i="32"/>
  <c r="EA11" i="14"/>
  <c r="U22" i="32"/>
  <c r="DX27" i="14"/>
  <c r="DX28" i="14"/>
  <c r="T33" i="32"/>
  <c r="T35" i="32"/>
  <c r="T36" i="32"/>
  <c r="T42" i="32"/>
  <c r="L8" i="32"/>
  <c r="DW13" i="14"/>
  <c r="G51" i="35" s="1"/>
  <c r="AB14" i="32"/>
  <c r="G25" i="15"/>
  <c r="U25" i="32"/>
  <c r="G27" i="15"/>
  <c r="U27" i="32"/>
  <c r="G18" i="15"/>
  <c r="U18" i="32"/>
  <c r="DX23" i="14"/>
  <c r="U20" i="32"/>
  <c r="DX25" i="14"/>
  <c r="EA12" i="14"/>
  <c r="DX21" i="14"/>
  <c r="AB16" i="32"/>
  <c r="T31" i="32"/>
  <c r="T32" i="32"/>
  <c r="T38" i="32"/>
  <c r="G41" i="15"/>
  <c r="U41" i="32"/>
  <c r="G29" i="15"/>
  <c r="U29" i="32"/>
  <c r="U12" i="32"/>
  <c r="DX17" i="14"/>
  <c r="DX26" i="14"/>
  <c r="DX20" i="14"/>
  <c r="DX22" i="14"/>
  <c r="Y7" i="32"/>
  <c r="AB13" i="32"/>
  <c r="AB12" i="32"/>
  <c r="T37" i="32"/>
  <c r="T28" i="32"/>
  <c r="T34" i="32"/>
  <c r="B10" i="27"/>
  <c r="U8" i="32"/>
  <c r="T8" i="32"/>
  <c r="G7" i="15"/>
  <c r="T7" i="32"/>
  <c r="G10" i="15"/>
  <c r="U10" i="32"/>
  <c r="U43" i="32"/>
  <c r="G43" i="15"/>
  <c r="DX19" i="14"/>
  <c r="EA26" i="14"/>
  <c r="DX24" i="14"/>
  <c r="DX15" i="14"/>
  <c r="H53" i="35" s="1"/>
  <c r="L6" i="32"/>
  <c r="DW11" i="14"/>
  <c r="G49" i="35" s="1"/>
  <c r="U6" i="32"/>
  <c r="DX11" i="14"/>
  <c r="H49" i="35" s="1"/>
  <c r="A9" i="32"/>
  <c r="F9" i="32"/>
  <c r="D9" i="32"/>
  <c r="C9" i="32"/>
  <c r="B9" i="32"/>
  <c r="H9" i="32"/>
  <c r="A8" i="32"/>
  <c r="D8" i="32"/>
  <c r="C8" i="32"/>
  <c r="B8" i="32"/>
  <c r="F8" i="32"/>
  <c r="W5" i="32"/>
  <c r="L5" i="32"/>
  <c r="DW10" i="14"/>
  <c r="G48" i="35" s="1"/>
  <c r="H8" i="32"/>
  <c r="T4" i="32"/>
  <c r="A7" i="32"/>
  <c r="F7" i="32"/>
  <c r="D7" i="32"/>
  <c r="C7" i="32"/>
  <c r="B7" i="32"/>
  <c r="H7" i="32"/>
  <c r="L4" i="32"/>
  <c r="DW9" i="14"/>
  <c r="G47" i="35" s="1"/>
  <c r="AL25" i="14"/>
  <c r="G4" i="32"/>
  <c r="FB25" i="14"/>
  <c r="G26" i="27" s="1"/>
  <c r="EA9" i="14"/>
  <c r="B17" i="26"/>
  <c r="B24" i="26"/>
  <c r="B26" i="26"/>
  <c r="B20" i="26"/>
  <c r="B22" i="26"/>
  <c r="B21" i="26"/>
  <c r="B23" i="26"/>
  <c r="B25" i="26"/>
  <c r="I13" i="23"/>
  <c r="B11" i="23"/>
  <c r="G6" i="15"/>
  <c r="E6" i="24"/>
  <c r="AO30" i="14"/>
  <c r="AN31" i="14"/>
  <c r="AO31" i="14" s="1"/>
  <c r="AO32" i="14"/>
  <c r="AN23" i="14"/>
  <c r="AO23" i="14" s="1"/>
  <c r="AN27" i="14"/>
  <c r="AN35" i="14"/>
  <c r="AO35" i="14" s="1"/>
  <c r="AO24" i="14"/>
  <c r="H31" i="27"/>
  <c r="H34" i="27"/>
  <c r="AO22" i="14"/>
  <c r="E13" i="23"/>
  <c r="G7" i="24"/>
  <c r="B14" i="23"/>
  <c r="G13" i="23"/>
  <c r="H13" i="23"/>
  <c r="C13" i="23"/>
  <c r="B10" i="23"/>
  <c r="B12" i="23"/>
  <c r="B16" i="26"/>
  <c r="B14" i="26"/>
  <c r="C19" i="27"/>
  <c r="C9" i="27"/>
  <c r="S18" i="22"/>
  <c r="H6" i="23"/>
  <c r="B5" i="6"/>
  <c r="A28" i="35" s="1"/>
  <c r="EZ9" i="14"/>
  <c r="E10" i="27" s="1"/>
  <c r="K18" i="6"/>
  <c r="FI19" i="14" s="1"/>
  <c r="M20" i="27" s="1"/>
  <c r="EY20" i="14"/>
  <c r="D21" i="27" s="1"/>
  <c r="AL15" i="14"/>
  <c r="EY21" i="14"/>
  <c r="D22" i="27" s="1"/>
  <c r="AL21" i="14"/>
  <c r="AL20" i="14"/>
  <c r="EY19" i="14"/>
  <c r="D20" i="27" s="1"/>
  <c r="AL19" i="14"/>
  <c r="EY18" i="14"/>
  <c r="D19" i="27" s="1"/>
  <c r="AL18" i="14"/>
  <c r="EY17" i="14"/>
  <c r="D18" i="27" s="1"/>
  <c r="AL17" i="14"/>
  <c r="EY16" i="14"/>
  <c r="D17" i="27" s="1"/>
  <c r="AL16" i="14"/>
  <c r="EY15" i="14"/>
  <c r="D16" i="27" s="1"/>
  <c r="EZ8" i="14"/>
  <c r="E9" i="27" s="1"/>
  <c r="EA13" i="14"/>
  <c r="EA25" i="14"/>
  <c r="EA27" i="14"/>
  <c r="EX9" i="14"/>
  <c r="FB9" i="14" s="1"/>
  <c r="EA17" i="14"/>
  <c r="EA16" i="14"/>
  <c r="K6" i="6"/>
  <c r="FI7" i="14" s="1"/>
  <c r="M8" i="27" s="1"/>
  <c r="K11" i="6"/>
  <c r="FI12" i="14" s="1"/>
  <c r="M13" i="27" s="1"/>
  <c r="K9" i="6"/>
  <c r="FI10" i="14" s="1"/>
  <c r="M11" i="27" s="1"/>
  <c r="K15" i="6"/>
  <c r="FI16" i="14" s="1"/>
  <c r="M17" i="27" s="1"/>
  <c r="AN8" i="14"/>
  <c r="AK8" i="14"/>
  <c r="AH8" i="14"/>
  <c r="AG8" i="14"/>
  <c r="AI9" i="14"/>
  <c r="AL12" i="14"/>
  <c r="B8" i="6"/>
  <c r="A31" i="35" s="1"/>
  <c r="AN9" i="14"/>
  <c r="AK9" i="14"/>
  <c r="AG9" i="14"/>
  <c r="EY14" i="14"/>
  <c r="D15" i="27" s="1"/>
  <c r="AL14" i="14"/>
  <c r="EY13" i="14"/>
  <c r="D14" i="27" s="1"/>
  <c r="AL13" i="14"/>
  <c r="EY12" i="14"/>
  <c r="D13" i="27" s="1"/>
  <c r="EY11" i="14"/>
  <c r="D12" i="27" s="1"/>
  <c r="AL8" i="14"/>
  <c r="AL11" i="14"/>
  <c r="EY10" i="14"/>
  <c r="D11" i="27" s="1"/>
  <c r="AL9" i="14"/>
  <c r="AI5" i="14"/>
  <c r="AN5" i="14"/>
  <c r="AK5" i="14"/>
  <c r="AH5" i="14"/>
  <c r="AL5" i="14"/>
  <c r="D7" i="6"/>
  <c r="B30" i="35" s="1"/>
  <c r="C7" i="6"/>
  <c r="Z7" i="32" s="1"/>
  <c r="H7" i="6"/>
  <c r="D30" i="35" s="1"/>
  <c r="B4" i="6"/>
  <c r="B6" i="6"/>
  <c r="A29" i="35" s="1"/>
  <c r="EY9" i="14"/>
  <c r="D10" i="27" s="1"/>
  <c r="EX5" i="14"/>
  <c r="FB5" i="14" s="1"/>
  <c r="EY5" i="14"/>
  <c r="D6" i="27" s="1"/>
  <c r="AL4" i="14"/>
  <c r="AK4" i="14"/>
  <c r="AH4" i="14"/>
  <c r="AI4" i="14"/>
  <c r="AN7" i="14"/>
  <c r="AG7" i="14"/>
  <c r="AH7" i="14"/>
  <c r="AK7" i="14"/>
  <c r="AI7" i="14"/>
  <c r="AL7" i="14"/>
  <c r="EY7" i="14"/>
  <c r="D8" i="27" s="1"/>
  <c r="EX7" i="14"/>
  <c r="FB7" i="14" s="1"/>
  <c r="AH6" i="14"/>
  <c r="AL6" i="14"/>
  <c r="AG6" i="14"/>
  <c r="AI6" i="14"/>
  <c r="AN6" i="14"/>
  <c r="AK6" i="14"/>
  <c r="H4" i="32"/>
  <c r="AL10" i="14"/>
  <c r="EY6" i="14"/>
  <c r="D7" i="27" s="1"/>
  <c r="EY8" i="14"/>
  <c r="D9" i="27" s="1"/>
  <c r="B46" i="38" l="1"/>
  <c r="B47" i="38" s="1"/>
  <c r="B48" i="38" s="1"/>
  <c r="B49" i="38" s="1"/>
  <c r="B50" i="38" s="1"/>
  <c r="B51" i="38" s="1"/>
  <c r="B52" i="38" s="1"/>
  <c r="B53" i="38" s="1"/>
  <c r="B54" i="38" s="1"/>
  <c r="B71" i="38"/>
  <c r="B85" i="38"/>
  <c r="G6" i="24"/>
  <c r="E7" i="24"/>
  <c r="D7" i="24"/>
  <c r="F5" i="15"/>
  <c r="DX10" i="14" s="1"/>
  <c r="AW7" i="14"/>
  <c r="S5" i="22"/>
  <c r="AW8" i="14" s="1"/>
  <c r="X107" i="34"/>
  <c r="X108" i="34"/>
  <c r="AD108" i="34"/>
  <c r="AD107" i="34"/>
  <c r="AR107" i="34"/>
  <c r="AR108" i="34"/>
  <c r="AT107" i="34"/>
  <c r="AT108" i="34"/>
  <c r="AP107" i="34"/>
  <c r="AP108" i="34"/>
  <c r="BN107" i="34"/>
  <c r="BN108" i="34"/>
  <c r="AL107" i="34"/>
  <c r="AL108" i="34"/>
  <c r="AF107" i="34"/>
  <c r="AF108" i="34"/>
  <c r="R107" i="34"/>
  <c r="R108" i="34"/>
  <c r="N108" i="34"/>
  <c r="N107" i="34"/>
  <c r="BD107" i="34"/>
  <c r="BD108" i="34"/>
  <c r="AN107" i="34"/>
  <c r="AN108" i="34"/>
  <c r="BF107" i="34"/>
  <c r="BF108" i="34"/>
  <c r="BH110" i="34"/>
  <c r="BH112" i="34"/>
  <c r="BH113" i="34" s="1"/>
  <c r="F184" i="34" s="1"/>
  <c r="BL110" i="34"/>
  <c r="BL114" i="34" s="1"/>
  <c r="BL112" i="34"/>
  <c r="BL113" i="34" s="1"/>
  <c r="AJ107" i="34"/>
  <c r="AJ108" i="34"/>
  <c r="P107" i="34"/>
  <c r="P108" i="34"/>
  <c r="V108" i="34"/>
  <c r="V107" i="34"/>
  <c r="L108" i="34"/>
  <c r="L107" i="34"/>
  <c r="BB107" i="34"/>
  <c r="BB108" i="34"/>
  <c r="T107" i="34"/>
  <c r="T108" i="34"/>
  <c r="H108" i="34"/>
  <c r="H107" i="34"/>
  <c r="AV107" i="34"/>
  <c r="AV108" i="34"/>
  <c r="AB107" i="34"/>
  <c r="AB108" i="34"/>
  <c r="AZ108" i="34"/>
  <c r="AZ107" i="34"/>
  <c r="AX107" i="34"/>
  <c r="AX108" i="34"/>
  <c r="Z108" i="34"/>
  <c r="Z107" i="34"/>
  <c r="AH107" i="34"/>
  <c r="AH108" i="34"/>
  <c r="BJ110" i="34"/>
  <c r="BJ112" i="34"/>
  <c r="BJ113" i="34" s="1"/>
  <c r="F185" i="34" s="1"/>
  <c r="T5" i="32"/>
  <c r="F108" i="34"/>
  <c r="F107" i="34"/>
  <c r="C33" i="38"/>
  <c r="B34" i="38"/>
  <c r="B60" i="38" s="1"/>
  <c r="F186" i="34"/>
  <c r="C39" i="26"/>
  <c r="C38" i="26"/>
  <c r="C35" i="26"/>
  <c r="C34" i="26"/>
  <c r="C30" i="26"/>
  <c r="C29" i="26"/>
  <c r="C28" i="26"/>
  <c r="C27" i="26"/>
  <c r="EA8" i="14"/>
  <c r="C31" i="26"/>
  <c r="C33" i="26"/>
  <c r="AH148" i="34"/>
  <c r="AH149" i="34"/>
  <c r="AG149" i="34"/>
  <c r="AH147" i="34"/>
  <c r="AF149" i="34"/>
  <c r="AE149" i="34"/>
  <c r="AH146" i="34"/>
  <c r="AA25" i="32"/>
  <c r="AA20" i="32"/>
  <c r="AA22" i="32"/>
  <c r="AA35" i="32"/>
  <c r="AA34" i="32"/>
  <c r="H27" i="27"/>
  <c r="AA23" i="32"/>
  <c r="AA33" i="32"/>
  <c r="AA27" i="32"/>
  <c r="AA28" i="32"/>
  <c r="AA19" i="32"/>
  <c r="AA18" i="32"/>
  <c r="AA16" i="32"/>
  <c r="AA26" i="32"/>
  <c r="AA24" i="32"/>
  <c r="AA31" i="32"/>
  <c r="AA30" i="32"/>
  <c r="AA32" i="32"/>
  <c r="AA14" i="32"/>
  <c r="AA29" i="32"/>
  <c r="AA15" i="32"/>
  <c r="AA17" i="32"/>
  <c r="AH135" i="34"/>
  <c r="T149" i="34"/>
  <c r="T148" i="34"/>
  <c r="T147" i="34"/>
  <c r="T146" i="34"/>
  <c r="AF135" i="34"/>
  <c r="AG135" i="34"/>
  <c r="AE135" i="34"/>
  <c r="AH130" i="34"/>
  <c r="O148" i="34"/>
  <c r="O147" i="34"/>
  <c r="O146" i="34"/>
  <c r="O149" i="34"/>
  <c r="AG130" i="34"/>
  <c r="AF130" i="34"/>
  <c r="AE130" i="34"/>
  <c r="AH142" i="34"/>
  <c r="AA149" i="34"/>
  <c r="AA147" i="34"/>
  <c r="AA146" i="34"/>
  <c r="AA148" i="34"/>
  <c r="AG142" i="34"/>
  <c r="AF142" i="34"/>
  <c r="AE142" i="34"/>
  <c r="AH131" i="34"/>
  <c r="P149" i="34"/>
  <c r="P148" i="34"/>
  <c r="P147" i="34"/>
  <c r="P146" i="34"/>
  <c r="AF131" i="34"/>
  <c r="AG131" i="34"/>
  <c r="AE131" i="34"/>
  <c r="AH124" i="34"/>
  <c r="I149" i="34"/>
  <c r="I148" i="34"/>
  <c r="I147" i="34"/>
  <c r="I146" i="34"/>
  <c r="AG124" i="34"/>
  <c r="AF124" i="34"/>
  <c r="AE124" i="34"/>
  <c r="AH138" i="34"/>
  <c r="W149" i="34"/>
  <c r="W147" i="34"/>
  <c r="W146" i="34"/>
  <c r="W148" i="34"/>
  <c r="AG138" i="34"/>
  <c r="AF138" i="34"/>
  <c r="AE138" i="34"/>
  <c r="AH125" i="34"/>
  <c r="J149" i="34"/>
  <c r="J148" i="34"/>
  <c r="J147" i="34"/>
  <c r="J146" i="34"/>
  <c r="AF125" i="34"/>
  <c r="AG125" i="34"/>
  <c r="AE125" i="34"/>
  <c r="AH129" i="34"/>
  <c r="N149" i="34"/>
  <c r="N148" i="34"/>
  <c r="N147" i="34"/>
  <c r="N146" i="34"/>
  <c r="AF129" i="34"/>
  <c r="AG129" i="34"/>
  <c r="AE129" i="34"/>
  <c r="AH123" i="34"/>
  <c r="H149" i="34"/>
  <c r="H148" i="34"/>
  <c r="H147" i="34"/>
  <c r="H146" i="34"/>
  <c r="AF123" i="34"/>
  <c r="AG123" i="34"/>
  <c r="AE123" i="34"/>
  <c r="AH144" i="34"/>
  <c r="AC149" i="34"/>
  <c r="AC148" i="34"/>
  <c r="AC147" i="34"/>
  <c r="AC146" i="34"/>
  <c r="AG144" i="34"/>
  <c r="AF144" i="34"/>
  <c r="AE144" i="34"/>
  <c r="AH136" i="34"/>
  <c r="U149" i="34"/>
  <c r="U148" i="34"/>
  <c r="U147" i="34"/>
  <c r="U146" i="34"/>
  <c r="AG136" i="34"/>
  <c r="AF136" i="34"/>
  <c r="AE136" i="34"/>
  <c r="AH133" i="34"/>
  <c r="R149" i="34"/>
  <c r="R148" i="34"/>
  <c r="R147" i="34"/>
  <c r="R146" i="34"/>
  <c r="AF133" i="34"/>
  <c r="AG133" i="34"/>
  <c r="AE133" i="34"/>
  <c r="AH118" i="34"/>
  <c r="C148" i="34"/>
  <c r="C147" i="34"/>
  <c r="C146" i="34"/>
  <c r="C149" i="34"/>
  <c r="AG118" i="34"/>
  <c r="AF118" i="34"/>
  <c r="AE118" i="34"/>
  <c r="AH119" i="34"/>
  <c r="D149" i="34"/>
  <c r="D148" i="34"/>
  <c r="D147" i="34"/>
  <c r="D146" i="34"/>
  <c r="AF119" i="34"/>
  <c r="AG119" i="34"/>
  <c r="AE119" i="34"/>
  <c r="AH145" i="34"/>
  <c r="AD149" i="34"/>
  <c r="AD148" i="34"/>
  <c r="AD147" i="34"/>
  <c r="AD146" i="34"/>
  <c r="AF145" i="34"/>
  <c r="AG145" i="34"/>
  <c r="AE145" i="34"/>
  <c r="AH140" i="34"/>
  <c r="Y149" i="34"/>
  <c r="Y148" i="34"/>
  <c r="Y147" i="34"/>
  <c r="Y146" i="34"/>
  <c r="AG140" i="34"/>
  <c r="AF140" i="34"/>
  <c r="AE140" i="34"/>
  <c r="AH134" i="34"/>
  <c r="S147" i="34"/>
  <c r="S146" i="34"/>
  <c r="S149" i="34"/>
  <c r="S148" i="34"/>
  <c r="AG134" i="34"/>
  <c r="AF134" i="34"/>
  <c r="AE134" i="34"/>
  <c r="AH128" i="34"/>
  <c r="M149" i="34"/>
  <c r="M148" i="34"/>
  <c r="M147" i="34"/>
  <c r="M146" i="34"/>
  <c r="AG128" i="34"/>
  <c r="AF128" i="34"/>
  <c r="AE128" i="34"/>
  <c r="AH132" i="34"/>
  <c r="Q149" i="34"/>
  <c r="Q148" i="34"/>
  <c r="Q147" i="34"/>
  <c r="Q146" i="34"/>
  <c r="AG132" i="34"/>
  <c r="AF132" i="34"/>
  <c r="AE132" i="34"/>
  <c r="AH141" i="34"/>
  <c r="Z149" i="34"/>
  <c r="Z148" i="34"/>
  <c r="Z147" i="34"/>
  <c r="Z146" i="34"/>
  <c r="AF141" i="34"/>
  <c r="AG141" i="34"/>
  <c r="AE141" i="34"/>
  <c r="AH127" i="34"/>
  <c r="L149" i="34"/>
  <c r="L148" i="34"/>
  <c r="L147" i="34"/>
  <c r="L146" i="34"/>
  <c r="AF127" i="34"/>
  <c r="AG127" i="34"/>
  <c r="AE127" i="34"/>
  <c r="AH122" i="34"/>
  <c r="G148" i="34"/>
  <c r="G147" i="34"/>
  <c r="G146" i="34"/>
  <c r="G149" i="34"/>
  <c r="AG122" i="34"/>
  <c r="AF122" i="34"/>
  <c r="AE122" i="34"/>
  <c r="AH139" i="34"/>
  <c r="X149" i="34"/>
  <c r="X148" i="34"/>
  <c r="X147" i="34"/>
  <c r="X146" i="34"/>
  <c r="AF139" i="34"/>
  <c r="AG139" i="34"/>
  <c r="AE139" i="34"/>
  <c r="AH143" i="34"/>
  <c r="AB149" i="34"/>
  <c r="AB148" i="34"/>
  <c r="AB147" i="34"/>
  <c r="AB146" i="34"/>
  <c r="AF143" i="34"/>
  <c r="AG143" i="34"/>
  <c r="AE143" i="34"/>
  <c r="AH137" i="34"/>
  <c r="V149" i="34"/>
  <c r="V148" i="34"/>
  <c r="V147" i="34"/>
  <c r="V146" i="34"/>
  <c r="AF137" i="34"/>
  <c r="AG137" i="34"/>
  <c r="AE137" i="34"/>
  <c r="AH126" i="34"/>
  <c r="K148" i="34"/>
  <c r="K147" i="34"/>
  <c r="K146" i="34"/>
  <c r="K149" i="34"/>
  <c r="AG126" i="34"/>
  <c r="AF126" i="34"/>
  <c r="AE126" i="34"/>
  <c r="AH120" i="34"/>
  <c r="E149" i="34"/>
  <c r="E148" i="34"/>
  <c r="E147" i="34"/>
  <c r="E146" i="34"/>
  <c r="AG120" i="34"/>
  <c r="AF120" i="34"/>
  <c r="AE120" i="34"/>
  <c r="AD135" i="34"/>
  <c r="D145" i="34"/>
  <c r="AD145" i="34"/>
  <c r="F30" i="6"/>
  <c r="AC30" i="32" s="1"/>
  <c r="E21" i="35"/>
  <c r="F13" i="6"/>
  <c r="AC13" i="32" s="1"/>
  <c r="F11" i="6"/>
  <c r="AC11" i="32" s="1"/>
  <c r="G9" i="15"/>
  <c r="DX14" i="14"/>
  <c r="H52" i="35" s="1"/>
  <c r="G11" i="15"/>
  <c r="DX16" i="14"/>
  <c r="C14" i="24"/>
  <c r="C16" i="24"/>
  <c r="C12" i="24"/>
  <c r="AD142" i="34"/>
  <c r="AD140" i="34"/>
  <c r="AD141" i="34"/>
  <c r="AD137" i="34"/>
  <c r="AD134" i="34"/>
  <c r="AA11" i="32"/>
  <c r="D14" i="35"/>
  <c r="E14" i="35" s="1"/>
  <c r="AA13" i="32"/>
  <c r="B14" i="35"/>
  <c r="D133" i="34"/>
  <c r="D128" i="34"/>
  <c r="D139" i="34"/>
  <c r="AD119" i="34"/>
  <c r="D132" i="34"/>
  <c r="D143" i="34"/>
  <c r="AA10" i="32"/>
  <c r="AA9" i="32"/>
  <c r="D135" i="34"/>
  <c r="E5" i="24"/>
  <c r="AT6" i="14"/>
  <c r="D5" i="24"/>
  <c r="AS6" i="14"/>
  <c r="AV6" i="14"/>
  <c r="G5" i="24"/>
  <c r="AA12" i="32"/>
  <c r="N15" i="22"/>
  <c r="C5" i="24"/>
  <c r="AR6" i="14"/>
  <c r="H16" i="24"/>
  <c r="DX18" i="14"/>
  <c r="U13" i="32"/>
  <c r="AB5" i="32"/>
  <c r="D120" i="34"/>
  <c r="O145" i="34"/>
  <c r="O143" i="34"/>
  <c r="O141" i="34"/>
  <c r="O139" i="34"/>
  <c r="O137" i="34"/>
  <c r="O135" i="34"/>
  <c r="O133" i="34"/>
  <c r="O131" i="34"/>
  <c r="O129" i="34"/>
  <c r="O119" i="34"/>
  <c r="O144" i="34"/>
  <c r="O142" i="34"/>
  <c r="O140" i="34"/>
  <c r="O138" i="34"/>
  <c r="O136" i="34"/>
  <c r="O134" i="34"/>
  <c r="O132" i="34"/>
  <c r="O130" i="34"/>
  <c r="O128" i="34"/>
  <c r="O120" i="34"/>
  <c r="O118" i="34"/>
  <c r="P144" i="34"/>
  <c r="P142" i="34"/>
  <c r="P140" i="34"/>
  <c r="P138" i="34"/>
  <c r="P136" i="34"/>
  <c r="P134" i="34"/>
  <c r="P132" i="34"/>
  <c r="P130" i="34"/>
  <c r="P128" i="34"/>
  <c r="P120" i="34"/>
  <c r="P118" i="34"/>
  <c r="P145" i="34"/>
  <c r="P143" i="34"/>
  <c r="P141" i="34"/>
  <c r="P139" i="34"/>
  <c r="P137" i="34"/>
  <c r="P135" i="34"/>
  <c r="P133" i="34"/>
  <c r="P131" i="34"/>
  <c r="P129" i="34"/>
  <c r="P119" i="34"/>
  <c r="W145" i="34"/>
  <c r="W143" i="34"/>
  <c r="W141" i="34"/>
  <c r="W139" i="34"/>
  <c r="W137" i="34"/>
  <c r="W135" i="34"/>
  <c r="W133" i="34"/>
  <c r="W131" i="34"/>
  <c r="W129" i="34"/>
  <c r="W119" i="34"/>
  <c r="W144" i="34"/>
  <c r="W142" i="34"/>
  <c r="W140" i="34"/>
  <c r="W138" i="34"/>
  <c r="W136" i="34"/>
  <c r="W134" i="34"/>
  <c r="W132" i="34"/>
  <c r="W130" i="34"/>
  <c r="W128" i="34"/>
  <c r="W120" i="34"/>
  <c r="W118" i="34"/>
  <c r="N145" i="34"/>
  <c r="N143" i="34"/>
  <c r="N141" i="34"/>
  <c r="N139" i="34"/>
  <c r="N137" i="34"/>
  <c r="N135" i="34"/>
  <c r="N133" i="34"/>
  <c r="N131" i="34"/>
  <c r="N129" i="34"/>
  <c r="N119" i="34"/>
  <c r="N144" i="34"/>
  <c r="N142" i="34"/>
  <c r="N140" i="34"/>
  <c r="N138" i="34"/>
  <c r="N136" i="34"/>
  <c r="N134" i="34"/>
  <c r="N132" i="34"/>
  <c r="N130" i="34"/>
  <c r="N128" i="34"/>
  <c r="N120" i="34"/>
  <c r="N118" i="34"/>
  <c r="AC144" i="34"/>
  <c r="AC142" i="34"/>
  <c r="AC140" i="34"/>
  <c r="AC138" i="34"/>
  <c r="AC136" i="34"/>
  <c r="AC134" i="34"/>
  <c r="AC132" i="34"/>
  <c r="AC130" i="34"/>
  <c r="AC128" i="34"/>
  <c r="AC120" i="34"/>
  <c r="AC118" i="34"/>
  <c r="AC145" i="34"/>
  <c r="AC143" i="34"/>
  <c r="AC141" i="34"/>
  <c r="AC139" i="34"/>
  <c r="AC137" i="34"/>
  <c r="AC135" i="34"/>
  <c r="AC133" i="34"/>
  <c r="AC131" i="34"/>
  <c r="AC129" i="34"/>
  <c r="AC119" i="34"/>
  <c r="U144" i="34"/>
  <c r="U142" i="34"/>
  <c r="U140" i="34"/>
  <c r="U138" i="34"/>
  <c r="U136" i="34"/>
  <c r="U134" i="34"/>
  <c r="U132" i="34"/>
  <c r="U130" i="34"/>
  <c r="U128" i="34"/>
  <c r="U120" i="34"/>
  <c r="U118" i="34"/>
  <c r="U145" i="34"/>
  <c r="U143" i="34"/>
  <c r="U141" i="34"/>
  <c r="U139" i="34"/>
  <c r="U137" i="34"/>
  <c r="U135" i="34"/>
  <c r="U133" i="34"/>
  <c r="U131" i="34"/>
  <c r="U129" i="34"/>
  <c r="U119" i="34"/>
  <c r="D107" i="34"/>
  <c r="C144" i="34"/>
  <c r="C142" i="34"/>
  <c r="C140" i="34"/>
  <c r="C138" i="34"/>
  <c r="C136" i="34"/>
  <c r="C134" i="34"/>
  <c r="C132" i="34"/>
  <c r="C130" i="34"/>
  <c r="C128" i="34"/>
  <c r="C124" i="34"/>
  <c r="C120" i="34"/>
  <c r="C118" i="34"/>
  <c r="D108" i="34"/>
  <c r="C145" i="34"/>
  <c r="C143" i="34"/>
  <c r="C141" i="34"/>
  <c r="C139" i="34"/>
  <c r="C137" i="34"/>
  <c r="C135" i="34"/>
  <c r="C133" i="34"/>
  <c r="C131" i="34"/>
  <c r="C129" i="34"/>
  <c r="C119" i="34"/>
  <c r="F140" i="34"/>
  <c r="F127" i="34"/>
  <c r="F143" i="34"/>
  <c r="F133" i="34"/>
  <c r="AD120" i="34"/>
  <c r="AD129" i="34"/>
  <c r="D140" i="34"/>
  <c r="Y4" i="32"/>
  <c r="A27" i="35"/>
  <c r="S145" i="34"/>
  <c r="S143" i="34"/>
  <c r="S141" i="34"/>
  <c r="S139" i="34"/>
  <c r="S137" i="34"/>
  <c r="S135" i="34"/>
  <c r="S133" i="34"/>
  <c r="S131" i="34"/>
  <c r="S129" i="34"/>
  <c r="S119" i="34"/>
  <c r="S144" i="34"/>
  <c r="S142" i="34"/>
  <c r="S140" i="34"/>
  <c r="S138" i="34"/>
  <c r="S136" i="34"/>
  <c r="S134" i="34"/>
  <c r="S132" i="34"/>
  <c r="S130" i="34"/>
  <c r="S128" i="34"/>
  <c r="S120" i="34"/>
  <c r="S118" i="34"/>
  <c r="Q144" i="34"/>
  <c r="Q142" i="34"/>
  <c r="Q140" i="34"/>
  <c r="Q138" i="34"/>
  <c r="Q136" i="34"/>
  <c r="Q134" i="34"/>
  <c r="Q132" i="34"/>
  <c r="Q130" i="34"/>
  <c r="Q128" i="34"/>
  <c r="Q120" i="34"/>
  <c r="Q118" i="34"/>
  <c r="Q145" i="34"/>
  <c r="Q143" i="34"/>
  <c r="Q141" i="34"/>
  <c r="Q139" i="34"/>
  <c r="Q137" i="34"/>
  <c r="Q135" i="34"/>
  <c r="Q133" i="34"/>
  <c r="Q131" i="34"/>
  <c r="Q129" i="34"/>
  <c r="Q119" i="34"/>
  <c r="AB144" i="34"/>
  <c r="AB142" i="34"/>
  <c r="AB140" i="34"/>
  <c r="AB138" i="34"/>
  <c r="AB136" i="34"/>
  <c r="AB134" i="34"/>
  <c r="AB132" i="34"/>
  <c r="AB130" i="34"/>
  <c r="AB128" i="34"/>
  <c r="AB120" i="34"/>
  <c r="AB118" i="34"/>
  <c r="AB145" i="34"/>
  <c r="AB143" i="34"/>
  <c r="AB141" i="34"/>
  <c r="AB139" i="34"/>
  <c r="AB137" i="34"/>
  <c r="AB135" i="34"/>
  <c r="AB133" i="34"/>
  <c r="AB131" i="34"/>
  <c r="AB129" i="34"/>
  <c r="AB121" i="34"/>
  <c r="AB119" i="34"/>
  <c r="AD118" i="34"/>
  <c r="AD132" i="34"/>
  <c r="AD143" i="34"/>
  <c r="D118" i="34"/>
  <c r="D130" i="34"/>
  <c r="D138" i="34"/>
  <c r="D119" i="34"/>
  <c r="D141" i="34"/>
  <c r="T144" i="34"/>
  <c r="T142" i="34"/>
  <c r="T140" i="34"/>
  <c r="T138" i="34"/>
  <c r="T136" i="34"/>
  <c r="T134" i="34"/>
  <c r="T132" i="34"/>
  <c r="T130" i="34"/>
  <c r="T128" i="34"/>
  <c r="T120" i="34"/>
  <c r="T118" i="34"/>
  <c r="T145" i="34"/>
  <c r="T143" i="34"/>
  <c r="T141" i="34"/>
  <c r="T139" i="34"/>
  <c r="T137" i="34"/>
  <c r="T135" i="34"/>
  <c r="T133" i="34"/>
  <c r="T131" i="34"/>
  <c r="T129" i="34"/>
  <c r="T119" i="34"/>
  <c r="AA145" i="34"/>
  <c r="AA143" i="34"/>
  <c r="AA141" i="34"/>
  <c r="AA139" i="34"/>
  <c r="AA137" i="34"/>
  <c r="AA135" i="34"/>
  <c r="AA133" i="34"/>
  <c r="AA131" i="34"/>
  <c r="AA129" i="34"/>
  <c r="AA119" i="34"/>
  <c r="AA144" i="34"/>
  <c r="AA142" i="34"/>
  <c r="AA140" i="34"/>
  <c r="AA138" i="34"/>
  <c r="AA136" i="34"/>
  <c r="AA134" i="34"/>
  <c r="AA132" i="34"/>
  <c r="AA130" i="34"/>
  <c r="AA128" i="34"/>
  <c r="AA120" i="34"/>
  <c r="AA118" i="34"/>
  <c r="R145" i="34"/>
  <c r="R143" i="34"/>
  <c r="R141" i="34"/>
  <c r="R139" i="34"/>
  <c r="R137" i="34"/>
  <c r="R135" i="34"/>
  <c r="R133" i="34"/>
  <c r="R131" i="34"/>
  <c r="R129" i="34"/>
  <c r="R119" i="34"/>
  <c r="R144" i="34"/>
  <c r="R142" i="34"/>
  <c r="R140" i="34"/>
  <c r="R138" i="34"/>
  <c r="R136" i="34"/>
  <c r="R134" i="34"/>
  <c r="R132" i="34"/>
  <c r="R130" i="34"/>
  <c r="R128" i="34"/>
  <c r="R120" i="34"/>
  <c r="R118" i="34"/>
  <c r="C11" i="35"/>
  <c r="B11" i="35"/>
  <c r="D11" i="35"/>
  <c r="AD130" i="34"/>
  <c r="AD138" i="34"/>
  <c r="AD133" i="34"/>
  <c r="D136" i="34"/>
  <c r="D144" i="34"/>
  <c r="Y144" i="34"/>
  <c r="Y142" i="34"/>
  <c r="Y140" i="34"/>
  <c r="Y138" i="34"/>
  <c r="Y136" i="34"/>
  <c r="Y134" i="34"/>
  <c r="Y132" i="34"/>
  <c r="Y130" i="34"/>
  <c r="Y128" i="34"/>
  <c r="Y120" i="34"/>
  <c r="Y118" i="34"/>
  <c r="Y145" i="34"/>
  <c r="Y143" i="34"/>
  <c r="Y141" i="34"/>
  <c r="Y139" i="34"/>
  <c r="Y137" i="34"/>
  <c r="Y135" i="34"/>
  <c r="Y133" i="34"/>
  <c r="Y131" i="34"/>
  <c r="Y129" i="34"/>
  <c r="Y121" i="34"/>
  <c r="Y119" i="34"/>
  <c r="M144" i="34"/>
  <c r="M142" i="34"/>
  <c r="M140" i="34"/>
  <c r="M138" i="34"/>
  <c r="M136" i="34"/>
  <c r="M134" i="34"/>
  <c r="M132" i="34"/>
  <c r="M130" i="34"/>
  <c r="M128" i="34"/>
  <c r="M120" i="34"/>
  <c r="M118" i="34"/>
  <c r="M145" i="34"/>
  <c r="M143" i="34"/>
  <c r="M141" i="34"/>
  <c r="M139" i="34"/>
  <c r="M137" i="34"/>
  <c r="M135" i="34"/>
  <c r="M133" i="34"/>
  <c r="M131" i="34"/>
  <c r="M129" i="34"/>
  <c r="M119" i="34"/>
  <c r="Z145" i="34"/>
  <c r="Z143" i="34"/>
  <c r="Z141" i="34"/>
  <c r="Z139" i="34"/>
  <c r="Z137" i="34"/>
  <c r="Z135" i="34"/>
  <c r="Z133" i="34"/>
  <c r="Z131" i="34"/>
  <c r="Z129" i="34"/>
  <c r="Z119" i="34"/>
  <c r="Z144" i="34"/>
  <c r="Z142" i="34"/>
  <c r="Z140" i="34"/>
  <c r="Z138" i="34"/>
  <c r="Z136" i="34"/>
  <c r="Z134" i="34"/>
  <c r="Z132" i="34"/>
  <c r="Z130" i="34"/>
  <c r="Z128" i="34"/>
  <c r="Z120" i="34"/>
  <c r="Z118" i="34"/>
  <c r="X144" i="34"/>
  <c r="X142" i="34"/>
  <c r="X140" i="34"/>
  <c r="X138" i="34"/>
  <c r="X136" i="34"/>
  <c r="X134" i="34"/>
  <c r="X132" i="34"/>
  <c r="X130" i="34"/>
  <c r="X128" i="34"/>
  <c r="X120" i="34"/>
  <c r="X118" i="34"/>
  <c r="X145" i="34"/>
  <c r="X143" i="34"/>
  <c r="X141" i="34"/>
  <c r="X139" i="34"/>
  <c r="X137" i="34"/>
  <c r="X135" i="34"/>
  <c r="X133" i="34"/>
  <c r="X131" i="34"/>
  <c r="X129" i="34"/>
  <c r="X119" i="34"/>
  <c r="V145" i="34"/>
  <c r="V143" i="34"/>
  <c r="V141" i="34"/>
  <c r="V139" i="34"/>
  <c r="V137" i="34"/>
  <c r="V135" i="34"/>
  <c r="V133" i="34"/>
  <c r="V131" i="34"/>
  <c r="V129" i="34"/>
  <c r="V119" i="34"/>
  <c r="V144" i="34"/>
  <c r="V142" i="34"/>
  <c r="V140" i="34"/>
  <c r="V138" i="34"/>
  <c r="V136" i="34"/>
  <c r="V134" i="34"/>
  <c r="V132" i="34"/>
  <c r="V130" i="34"/>
  <c r="V128" i="34"/>
  <c r="V120" i="34"/>
  <c r="V118" i="34"/>
  <c r="E145" i="34"/>
  <c r="E143" i="34"/>
  <c r="E141" i="34"/>
  <c r="E139" i="34"/>
  <c r="E137" i="34"/>
  <c r="E135" i="34"/>
  <c r="E133" i="34"/>
  <c r="E131" i="34"/>
  <c r="E129" i="34"/>
  <c r="E119" i="34"/>
  <c r="E144" i="34"/>
  <c r="E142" i="34"/>
  <c r="E140" i="34"/>
  <c r="E138" i="34"/>
  <c r="E136" i="34"/>
  <c r="E134" i="34"/>
  <c r="E132" i="34"/>
  <c r="E130" i="34"/>
  <c r="E128" i="34"/>
  <c r="E126" i="34"/>
  <c r="E120" i="34"/>
  <c r="E118" i="34"/>
  <c r="C12" i="35"/>
  <c r="D12" i="35"/>
  <c r="B12" i="35"/>
  <c r="B13" i="35"/>
  <c r="D13" i="35"/>
  <c r="C13" i="35"/>
  <c r="AD128" i="34"/>
  <c r="AD136" i="34"/>
  <c r="AD144" i="34"/>
  <c r="AD131" i="34"/>
  <c r="AD139" i="34"/>
  <c r="D134" i="34"/>
  <c r="D142" i="34"/>
  <c r="D129" i="34"/>
  <c r="D137" i="34"/>
  <c r="L142" i="34"/>
  <c r="L138" i="34"/>
  <c r="L134" i="34"/>
  <c r="L130" i="34"/>
  <c r="AC127" i="34"/>
  <c r="Y127" i="34"/>
  <c r="U127" i="34"/>
  <c r="Q127" i="34"/>
  <c r="M127" i="34"/>
  <c r="D127" i="34"/>
  <c r="L118" i="34"/>
  <c r="L145" i="34"/>
  <c r="L141" i="34"/>
  <c r="L137" i="34"/>
  <c r="L133" i="34"/>
  <c r="L129" i="34"/>
  <c r="AD127" i="34"/>
  <c r="Z127" i="34"/>
  <c r="V127" i="34"/>
  <c r="R127" i="34"/>
  <c r="N127" i="34"/>
  <c r="E127" i="34"/>
  <c r="L144" i="34"/>
  <c r="L140" i="34"/>
  <c r="L136" i="34"/>
  <c r="L132" i="34"/>
  <c r="L128" i="34"/>
  <c r="AA127" i="34"/>
  <c r="W127" i="34"/>
  <c r="S127" i="34"/>
  <c r="O127" i="34"/>
  <c r="L120" i="34"/>
  <c r="L143" i="34"/>
  <c r="L139" i="34"/>
  <c r="L135" i="34"/>
  <c r="L131" i="34"/>
  <c r="AB127" i="34"/>
  <c r="X127" i="34"/>
  <c r="T127" i="34"/>
  <c r="P127" i="34"/>
  <c r="L127" i="34"/>
  <c r="C127" i="34"/>
  <c r="L119" i="34"/>
  <c r="K145" i="34"/>
  <c r="K144" i="34"/>
  <c r="K143" i="34"/>
  <c r="K142" i="34"/>
  <c r="K141" i="34"/>
  <c r="K140" i="34"/>
  <c r="K139" i="34"/>
  <c r="K138" i="34"/>
  <c r="K137" i="34"/>
  <c r="K136" i="34"/>
  <c r="K135" i="34"/>
  <c r="K134" i="34"/>
  <c r="K133" i="34"/>
  <c r="K132" i="34"/>
  <c r="AB126" i="34"/>
  <c r="X126" i="34"/>
  <c r="T126" i="34"/>
  <c r="P126" i="34"/>
  <c r="L126" i="34"/>
  <c r="D126" i="34"/>
  <c r="K120" i="34"/>
  <c r="K118" i="34"/>
  <c r="K129" i="34"/>
  <c r="AA126" i="34"/>
  <c r="O126" i="34"/>
  <c r="AC126" i="34"/>
  <c r="Y126" i="34"/>
  <c r="U126" i="34"/>
  <c r="Q126" i="34"/>
  <c r="M126" i="34"/>
  <c r="K119" i="34"/>
  <c r="K128" i="34"/>
  <c r="W126" i="34"/>
  <c r="K126" i="34"/>
  <c r="AD126" i="34"/>
  <c r="Z126" i="34"/>
  <c r="V126" i="34"/>
  <c r="R126" i="34"/>
  <c r="N126" i="34"/>
  <c r="K131" i="34"/>
  <c r="K130" i="34"/>
  <c r="K127" i="34"/>
  <c r="S126" i="34"/>
  <c r="C126" i="34"/>
  <c r="H14" i="27"/>
  <c r="E19" i="35"/>
  <c r="E18" i="35"/>
  <c r="I143" i="34"/>
  <c r="I139" i="34"/>
  <c r="I135" i="34"/>
  <c r="I131" i="34"/>
  <c r="I127" i="34"/>
  <c r="AC124" i="34"/>
  <c r="Y124" i="34"/>
  <c r="U124" i="34"/>
  <c r="Q124" i="34"/>
  <c r="M124" i="34"/>
  <c r="I144" i="34"/>
  <c r="I140" i="34"/>
  <c r="I136" i="34"/>
  <c r="I132" i="34"/>
  <c r="I128" i="34"/>
  <c r="AD124" i="34"/>
  <c r="Z124" i="34"/>
  <c r="V124" i="34"/>
  <c r="R124" i="34"/>
  <c r="N124" i="34"/>
  <c r="I124" i="34"/>
  <c r="I118" i="34"/>
  <c r="I145" i="34"/>
  <c r="I141" i="34"/>
  <c r="I137" i="34"/>
  <c r="I133" i="34"/>
  <c r="I129" i="34"/>
  <c r="AA124" i="34"/>
  <c r="W124" i="34"/>
  <c r="S124" i="34"/>
  <c r="O124" i="34"/>
  <c r="K124" i="34"/>
  <c r="D124" i="34"/>
  <c r="I119" i="34"/>
  <c r="I142" i="34"/>
  <c r="I138" i="34"/>
  <c r="I134" i="34"/>
  <c r="I130" i="34"/>
  <c r="I126" i="34"/>
  <c r="AB124" i="34"/>
  <c r="X124" i="34"/>
  <c r="T124" i="34"/>
  <c r="P124" i="34"/>
  <c r="L124" i="34"/>
  <c r="E124" i="34"/>
  <c r="I120" i="34"/>
  <c r="J144" i="34"/>
  <c r="J142" i="34"/>
  <c r="J140" i="34"/>
  <c r="J138" i="34"/>
  <c r="J136" i="34"/>
  <c r="J134" i="34"/>
  <c r="J132" i="34"/>
  <c r="J130" i="34"/>
  <c r="J128" i="34"/>
  <c r="J126" i="34"/>
  <c r="AB125" i="34"/>
  <c r="X125" i="34"/>
  <c r="T125" i="34"/>
  <c r="P125" i="34"/>
  <c r="L125" i="34"/>
  <c r="J118" i="34"/>
  <c r="AC125" i="34"/>
  <c r="Y125" i="34"/>
  <c r="U125" i="34"/>
  <c r="Q125" i="34"/>
  <c r="M125" i="34"/>
  <c r="I125" i="34"/>
  <c r="C125" i="34"/>
  <c r="J145" i="34"/>
  <c r="J143" i="34"/>
  <c r="J141" i="34"/>
  <c r="J139" i="34"/>
  <c r="J137" i="34"/>
  <c r="J135" i="34"/>
  <c r="J133" i="34"/>
  <c r="J131" i="34"/>
  <c r="J129" i="34"/>
  <c r="J127" i="34"/>
  <c r="AD125" i="34"/>
  <c r="Z125" i="34"/>
  <c r="V125" i="34"/>
  <c r="R125" i="34"/>
  <c r="N125" i="34"/>
  <c r="J125" i="34"/>
  <c r="AA125" i="34"/>
  <c r="W125" i="34"/>
  <c r="S125" i="34"/>
  <c r="O125" i="34"/>
  <c r="K125" i="34"/>
  <c r="E125" i="34"/>
  <c r="J124" i="34"/>
  <c r="J120" i="34"/>
  <c r="J119" i="34"/>
  <c r="H145" i="34"/>
  <c r="H141" i="34"/>
  <c r="H137" i="34"/>
  <c r="H133" i="34"/>
  <c r="H129" i="34"/>
  <c r="H125" i="34"/>
  <c r="AD123" i="34"/>
  <c r="Z123" i="34"/>
  <c r="V123" i="34"/>
  <c r="R123" i="34"/>
  <c r="N123" i="34"/>
  <c r="J123" i="34"/>
  <c r="E123" i="34"/>
  <c r="H120" i="34"/>
  <c r="H144" i="34"/>
  <c r="H140" i="34"/>
  <c r="H136" i="34"/>
  <c r="H132" i="34"/>
  <c r="H128" i="34"/>
  <c r="H124" i="34"/>
  <c r="AA123" i="34"/>
  <c r="W123" i="34"/>
  <c r="S123" i="34"/>
  <c r="O123" i="34"/>
  <c r="K123" i="34"/>
  <c r="H119" i="34"/>
  <c r="H143" i="34"/>
  <c r="H139" i="34"/>
  <c r="H135" i="34"/>
  <c r="H131" i="34"/>
  <c r="H127" i="34"/>
  <c r="AB123" i="34"/>
  <c r="X123" i="34"/>
  <c r="T123" i="34"/>
  <c r="P123" i="34"/>
  <c r="L123" i="34"/>
  <c r="H123" i="34"/>
  <c r="C123" i="34"/>
  <c r="H118" i="34"/>
  <c r="H142" i="34"/>
  <c r="H138" i="34"/>
  <c r="H134" i="34"/>
  <c r="H130" i="34"/>
  <c r="H126" i="34"/>
  <c r="AC123" i="34"/>
  <c r="Y123" i="34"/>
  <c r="U123" i="34"/>
  <c r="Q123" i="34"/>
  <c r="M123" i="34"/>
  <c r="I123" i="34"/>
  <c r="D123" i="34"/>
  <c r="E17" i="35"/>
  <c r="C16" i="35"/>
  <c r="D16" i="35"/>
  <c r="B16" i="35"/>
  <c r="AB122" i="34"/>
  <c r="X122" i="34"/>
  <c r="T122" i="34"/>
  <c r="P122" i="34"/>
  <c r="L122" i="34"/>
  <c r="H122" i="34"/>
  <c r="D122" i="34"/>
  <c r="G125" i="34"/>
  <c r="G123" i="34"/>
  <c r="S122" i="34"/>
  <c r="K122" i="34"/>
  <c r="G119" i="34"/>
  <c r="AC122" i="34"/>
  <c r="Y122" i="34"/>
  <c r="U122" i="34"/>
  <c r="Q122" i="34"/>
  <c r="M122" i="34"/>
  <c r="I122" i="34"/>
  <c r="E122" i="34"/>
  <c r="AD122" i="34"/>
  <c r="Z122" i="34"/>
  <c r="V122" i="34"/>
  <c r="R122" i="34"/>
  <c r="N122" i="34"/>
  <c r="J122" i="34"/>
  <c r="AA122" i="34"/>
  <c r="O122" i="34"/>
  <c r="C122" i="34"/>
  <c r="G118" i="34"/>
  <c r="G145" i="34"/>
  <c r="G144" i="34"/>
  <c r="G143" i="34"/>
  <c r="G142" i="34"/>
  <c r="G141" i="34"/>
  <c r="G140" i="34"/>
  <c r="G139" i="34"/>
  <c r="G138" i="34"/>
  <c r="G137" i="34"/>
  <c r="G136" i="34"/>
  <c r="G135" i="34"/>
  <c r="G134" i="34"/>
  <c r="G133" i="34"/>
  <c r="G132" i="34"/>
  <c r="G131" i="34"/>
  <c r="G130" i="34"/>
  <c r="G129" i="34"/>
  <c r="G128" i="34"/>
  <c r="G127" i="34"/>
  <c r="G126" i="34"/>
  <c r="G124" i="34"/>
  <c r="W122" i="34"/>
  <c r="G122" i="34"/>
  <c r="G120" i="34"/>
  <c r="D15" i="35"/>
  <c r="B15" i="35"/>
  <c r="C15" i="35"/>
  <c r="H13" i="27"/>
  <c r="H12" i="27"/>
  <c r="H24" i="27"/>
  <c r="N21" i="7"/>
  <c r="O21" i="7" s="1"/>
  <c r="AT22" i="14" s="1"/>
  <c r="G5" i="15"/>
  <c r="H28" i="27"/>
  <c r="H26" i="27"/>
  <c r="AO27" i="14"/>
  <c r="H29" i="27"/>
  <c r="H32" i="27"/>
  <c r="K35" i="34"/>
  <c r="K34" i="34"/>
  <c r="Z27" i="32"/>
  <c r="F27" i="6"/>
  <c r="AC27" i="32" s="1"/>
  <c r="H33" i="27"/>
  <c r="U5" i="32"/>
  <c r="H14" i="24"/>
  <c r="H15" i="24"/>
  <c r="C15" i="24"/>
  <c r="G13" i="24"/>
  <c r="R15" i="22"/>
  <c r="H12" i="24"/>
  <c r="H13" i="24"/>
  <c r="C13" i="24"/>
  <c r="H7" i="27"/>
  <c r="C14" i="23"/>
  <c r="F14" i="23"/>
  <c r="I11" i="23"/>
  <c r="F11" i="23"/>
  <c r="E12" i="23"/>
  <c r="F12" i="23"/>
  <c r="C10" i="23"/>
  <c r="F10" i="23"/>
  <c r="C9" i="24"/>
  <c r="C10" i="24"/>
  <c r="C11" i="24"/>
  <c r="C8" i="24"/>
  <c r="H10" i="24"/>
  <c r="H11" i="24"/>
  <c r="H8" i="24"/>
  <c r="H9" i="24"/>
  <c r="I4" i="32"/>
  <c r="I7" i="32" s="1"/>
  <c r="J7" i="32" s="1"/>
  <c r="H9" i="27"/>
  <c r="H19" i="27"/>
  <c r="AA21" i="32"/>
  <c r="H18" i="27"/>
  <c r="AB10" i="32"/>
  <c r="F7" i="6"/>
  <c r="AC7" i="32" s="1"/>
  <c r="Y6" i="32"/>
  <c r="C5" i="6"/>
  <c r="Z5" i="32" s="1"/>
  <c r="AA7" i="32"/>
  <c r="C21" i="26"/>
  <c r="E10" i="23"/>
  <c r="I12" i="23"/>
  <c r="D5" i="6"/>
  <c r="C24" i="26"/>
  <c r="H11" i="23"/>
  <c r="E11" i="23"/>
  <c r="G8" i="15"/>
  <c r="D11" i="23"/>
  <c r="C13" i="26"/>
  <c r="C11" i="23"/>
  <c r="D14" i="23"/>
  <c r="B15" i="26"/>
  <c r="I14" i="23"/>
  <c r="E14" i="23"/>
  <c r="C26" i="26"/>
  <c r="C17" i="26"/>
  <c r="C22" i="26"/>
  <c r="H14" i="23"/>
  <c r="G14" i="23"/>
  <c r="DX13" i="14"/>
  <c r="H51" i="35" s="1"/>
  <c r="G36" i="15"/>
  <c r="U36" i="32"/>
  <c r="G33" i="15"/>
  <c r="U33" i="32"/>
  <c r="G39" i="15"/>
  <c r="U39" i="32"/>
  <c r="U7" i="32"/>
  <c r="C25" i="26"/>
  <c r="C19" i="26"/>
  <c r="Y8" i="32"/>
  <c r="G38" i="15"/>
  <c r="U38" i="32"/>
  <c r="G32" i="15"/>
  <c r="U32" i="32"/>
  <c r="G35" i="15"/>
  <c r="U35" i="32"/>
  <c r="G37" i="15"/>
  <c r="U37" i="32"/>
  <c r="G34" i="15"/>
  <c r="U34" i="32"/>
  <c r="G40" i="15"/>
  <c r="U40" i="32"/>
  <c r="G28" i="15"/>
  <c r="U28" i="32"/>
  <c r="C23" i="26"/>
  <c r="DX12" i="14"/>
  <c r="H50" i="35" s="1"/>
  <c r="EA19" i="14"/>
  <c r="EA22" i="14"/>
  <c r="EA23" i="14"/>
  <c r="G31" i="15"/>
  <c r="U31" i="32"/>
  <c r="G42" i="15"/>
  <c r="U42" i="32"/>
  <c r="G30" i="15"/>
  <c r="U30" i="32"/>
  <c r="C43" i="26"/>
  <c r="EA18" i="14"/>
  <c r="EA15" i="14"/>
  <c r="EA24" i="14"/>
  <c r="Y5" i="32"/>
  <c r="U4" i="32"/>
  <c r="G4" i="15"/>
  <c r="I10" i="23"/>
  <c r="AM25" i="14"/>
  <c r="AO25" i="14" s="1"/>
  <c r="D12" i="23"/>
  <c r="H10" i="23"/>
  <c r="D10" i="23"/>
  <c r="C12" i="23"/>
  <c r="G12" i="23"/>
  <c r="G11" i="23"/>
  <c r="G10" i="23"/>
  <c r="H11" i="27"/>
  <c r="H16" i="27"/>
  <c r="H15" i="27"/>
  <c r="P15" i="22"/>
  <c r="AT9" i="14" s="1"/>
  <c r="D6" i="24"/>
  <c r="O15" i="22"/>
  <c r="AS9" i="14" s="1"/>
  <c r="H12" i="23"/>
  <c r="H17" i="27"/>
  <c r="C7" i="24"/>
  <c r="H22" i="27"/>
  <c r="H21" i="27"/>
  <c r="H20" i="27"/>
  <c r="C6" i="24"/>
  <c r="H6" i="24"/>
  <c r="H7" i="24"/>
  <c r="B13" i="26"/>
  <c r="B11" i="26"/>
  <c r="B12" i="26"/>
  <c r="J6" i="23"/>
  <c r="U18" i="22"/>
  <c r="G10" i="27"/>
  <c r="H10" i="27" s="1"/>
  <c r="C10" i="27"/>
  <c r="T18" i="22"/>
  <c r="I6" i="23"/>
  <c r="G6" i="27"/>
  <c r="H6" i="27" s="1"/>
  <c r="C6" i="27"/>
  <c r="G8" i="27"/>
  <c r="H8" i="27" s="1"/>
  <c r="C8" i="27"/>
  <c r="O22" i="7"/>
  <c r="AS23" i="14"/>
  <c r="AR23" i="14" s="1"/>
  <c r="H5" i="6"/>
  <c r="D28" i="35" s="1"/>
  <c r="C8" i="6"/>
  <c r="Z8" i="32" s="1"/>
  <c r="AM20" i="14"/>
  <c r="AO20" i="14" s="1"/>
  <c r="AM21" i="14"/>
  <c r="AO21" i="14" s="1"/>
  <c r="AM18" i="14"/>
  <c r="AO18" i="14" s="1"/>
  <c r="AM19" i="14"/>
  <c r="AO19" i="14" s="1"/>
  <c r="AM16" i="14"/>
  <c r="AO16" i="14" s="1"/>
  <c r="AM17" i="14"/>
  <c r="AO17" i="14" s="1"/>
  <c r="AM15" i="14"/>
  <c r="AO15" i="14" s="1"/>
  <c r="D8" i="6"/>
  <c r="H8" i="6"/>
  <c r="D31" i="35" s="1"/>
  <c r="AM14" i="14"/>
  <c r="AO14" i="14" s="1"/>
  <c r="AM13" i="14"/>
  <c r="AO13" i="14" s="1"/>
  <c r="AM12" i="14"/>
  <c r="AO12" i="14" s="1"/>
  <c r="AM11" i="14"/>
  <c r="AO11" i="14" s="1"/>
  <c r="AM6" i="14"/>
  <c r="AO6" i="14" s="1"/>
  <c r="AM9" i="14"/>
  <c r="AO9" i="14" s="1"/>
  <c r="AM5" i="14"/>
  <c r="AO5" i="14" s="1"/>
  <c r="AM8" i="14"/>
  <c r="AO8" i="14" s="1"/>
  <c r="AM7" i="14"/>
  <c r="AO7" i="14" s="1"/>
  <c r="K4" i="7"/>
  <c r="J4" i="32" s="1"/>
  <c r="AO4" i="14"/>
  <c r="D4" i="6"/>
  <c r="K12" i="6" s="1"/>
  <c r="FI13" i="14" s="1"/>
  <c r="M14" i="27" s="1"/>
  <c r="H4" i="6"/>
  <c r="D27" i="35" s="1"/>
  <c r="C4" i="6"/>
  <c r="D6" i="6"/>
  <c r="B29" i="35" s="1"/>
  <c r="H6" i="6"/>
  <c r="D29" i="35" s="1"/>
  <c r="C6" i="6"/>
  <c r="AM10" i="14"/>
  <c r="AO10" i="14" s="1"/>
  <c r="B86" i="38" l="1"/>
  <c r="B72" i="38"/>
  <c r="B73" i="38" s="1"/>
  <c r="B74" i="38" s="1"/>
  <c r="B75" i="38" s="1"/>
  <c r="B76" i="38" s="1"/>
  <c r="B77" i="38" s="1"/>
  <c r="B78" i="38" s="1"/>
  <c r="B79" i="38" s="1"/>
  <c r="B80" i="38" s="1"/>
  <c r="B97" i="38"/>
  <c r="B98" i="38" s="1"/>
  <c r="B99" i="38" s="1"/>
  <c r="B100" i="38" s="1"/>
  <c r="B101" i="38" s="1"/>
  <c r="B102" i="38" s="1"/>
  <c r="B103" i="38" s="1"/>
  <c r="B104" i="38" s="1"/>
  <c r="B105" i="38" s="1"/>
  <c r="B106" i="38" s="1"/>
  <c r="H48" i="35"/>
  <c r="C12" i="26"/>
  <c r="G17" i="24"/>
  <c r="AV9" i="14"/>
  <c r="AX7" i="14"/>
  <c r="T5" i="22"/>
  <c r="AX8" i="14" s="1"/>
  <c r="C17" i="24"/>
  <c r="AR9" i="14"/>
  <c r="U5" i="22"/>
  <c r="E186" i="34"/>
  <c r="E185" i="34"/>
  <c r="BJ114" i="34"/>
  <c r="E184" i="34"/>
  <c r="BH114" i="34"/>
  <c r="G184" i="34"/>
  <c r="L110" i="34"/>
  <c r="L114" i="34" s="1"/>
  <c r="L112" i="34"/>
  <c r="L113" i="34" s="1"/>
  <c r="BL111" i="34"/>
  <c r="D186" i="34" s="1"/>
  <c r="AH110" i="34"/>
  <c r="AH114" i="34" s="1"/>
  <c r="AH112" i="34"/>
  <c r="AH113" i="34" s="1"/>
  <c r="AX112" i="34"/>
  <c r="AX113" i="34" s="1"/>
  <c r="AX110" i="34"/>
  <c r="AX114" i="34" s="1"/>
  <c r="AB112" i="34"/>
  <c r="AB113" i="34" s="1"/>
  <c r="AB110" i="34"/>
  <c r="AB114" i="34" s="1"/>
  <c r="AV110" i="34"/>
  <c r="AV114" i="34" s="1"/>
  <c r="AV112" i="34"/>
  <c r="AV113" i="34" s="1"/>
  <c r="T110" i="34"/>
  <c r="T114" i="34" s="1"/>
  <c r="T112" i="34"/>
  <c r="T113" i="34" s="1"/>
  <c r="P110" i="34"/>
  <c r="P114" i="34" s="1"/>
  <c r="P112" i="34"/>
  <c r="P113" i="34" s="1"/>
  <c r="BF110" i="34"/>
  <c r="BF114" i="34" s="1"/>
  <c r="BF112" i="34"/>
  <c r="BF113" i="34" s="1"/>
  <c r="F183" i="34" s="1"/>
  <c r="BD110" i="34"/>
  <c r="BD114" i="34" s="1"/>
  <c r="BD112" i="34"/>
  <c r="BD113" i="34" s="1"/>
  <c r="R110" i="34"/>
  <c r="R114" i="34" s="1"/>
  <c r="R112" i="34"/>
  <c r="R113" i="34" s="1"/>
  <c r="AL112" i="34"/>
  <c r="AL113" i="34" s="1"/>
  <c r="AL110" i="34"/>
  <c r="AL114" i="34" s="1"/>
  <c r="AP110" i="34"/>
  <c r="AP114" i="34" s="1"/>
  <c r="AP112" i="34"/>
  <c r="AP113" i="34" s="1"/>
  <c r="AR112" i="34"/>
  <c r="AR113" i="34" s="1"/>
  <c r="AR110" i="34"/>
  <c r="AR114" i="34" s="1"/>
  <c r="X112" i="34"/>
  <c r="X113" i="34" s="1"/>
  <c r="X110" i="34"/>
  <c r="X114" i="34" s="1"/>
  <c r="BJ111" i="34"/>
  <c r="D185" i="34" s="1"/>
  <c r="Z110" i="34"/>
  <c r="Z114" i="34" s="1"/>
  <c r="Z112" i="34"/>
  <c r="Z113" i="34" s="1"/>
  <c r="AZ112" i="34"/>
  <c r="AZ113" i="34" s="1"/>
  <c r="AZ110" i="34"/>
  <c r="AZ114" i="34" s="1"/>
  <c r="H110" i="34"/>
  <c r="H114" i="34" s="1"/>
  <c r="H112" i="34"/>
  <c r="H113" i="34" s="1"/>
  <c r="V110" i="34"/>
  <c r="V114" i="34" s="1"/>
  <c r="V112" i="34"/>
  <c r="V113" i="34" s="1"/>
  <c r="BH111" i="34"/>
  <c r="D184" i="34" s="1"/>
  <c r="N110" i="34"/>
  <c r="N114" i="34" s="1"/>
  <c r="N112" i="34"/>
  <c r="N113" i="34" s="1"/>
  <c r="AD110" i="34"/>
  <c r="AD114" i="34" s="1"/>
  <c r="I169" i="34" s="1"/>
  <c r="AD112" i="34"/>
  <c r="AD113" i="34" s="1"/>
  <c r="G185" i="34"/>
  <c r="BB112" i="34"/>
  <c r="BB113" i="34" s="1"/>
  <c r="BB110" i="34"/>
  <c r="BB114" i="34" s="1"/>
  <c r="AJ110" i="34"/>
  <c r="AJ114" i="34" s="1"/>
  <c r="AJ112" i="34"/>
  <c r="AJ113" i="34" s="1"/>
  <c r="AN110" i="34"/>
  <c r="AN114" i="34" s="1"/>
  <c r="AN112" i="34"/>
  <c r="AN113" i="34" s="1"/>
  <c r="AF110" i="34"/>
  <c r="AF114" i="34" s="1"/>
  <c r="AF112" i="34"/>
  <c r="AF113" i="34" s="1"/>
  <c r="BN112" i="34"/>
  <c r="BN113" i="34" s="1"/>
  <c r="BN110" i="34"/>
  <c r="BN114" i="34" s="1"/>
  <c r="AT110" i="34"/>
  <c r="AT114" i="34" s="1"/>
  <c r="AT112" i="34"/>
  <c r="AT113" i="34" s="1"/>
  <c r="F110" i="34"/>
  <c r="F114" i="34" s="1"/>
  <c r="F112" i="34"/>
  <c r="F113" i="34" s="1"/>
  <c r="F157" i="34" s="1"/>
  <c r="C34" i="38"/>
  <c r="B35" i="38"/>
  <c r="B36" i="38" s="1"/>
  <c r="B37" i="38" s="1"/>
  <c r="B38" i="38" s="1"/>
  <c r="B39" i="38" s="1"/>
  <c r="B40" i="38" s="1"/>
  <c r="B41" i="38" s="1"/>
  <c r="D112" i="34"/>
  <c r="D113" i="34" s="1"/>
  <c r="D110" i="34"/>
  <c r="D114" i="34" s="1"/>
  <c r="J32" i="39"/>
  <c r="J33" i="39"/>
  <c r="J31" i="39"/>
  <c r="G2" i="15"/>
  <c r="B31" i="35"/>
  <c r="K13" i="6"/>
  <c r="G186" i="34"/>
  <c r="K19" i="6"/>
  <c r="FI20" i="14" s="1"/>
  <c r="M21" i="27" s="1"/>
  <c r="C41" i="26"/>
  <c r="C40" i="26"/>
  <c r="C37" i="26"/>
  <c r="I9" i="32"/>
  <c r="J9" i="32" s="1"/>
  <c r="I38" i="32"/>
  <c r="J38" i="32" s="1"/>
  <c r="C18" i="26"/>
  <c r="C16" i="26"/>
  <c r="C20" i="26"/>
  <c r="H5" i="24"/>
  <c r="AW6" i="14"/>
  <c r="B50" i="35"/>
  <c r="C50" i="35"/>
  <c r="E11" i="35"/>
  <c r="E12" i="35"/>
  <c r="I11" i="32"/>
  <c r="J11" i="32" s="1"/>
  <c r="E13" i="35"/>
  <c r="AA5" i="32"/>
  <c r="B28" i="35"/>
  <c r="AA4" i="32"/>
  <c r="B27" i="35"/>
  <c r="E16" i="35"/>
  <c r="E15" i="35"/>
  <c r="F5" i="6"/>
  <c r="AC5" i="32" s="1"/>
  <c r="AS22" i="14"/>
  <c r="I25" i="32"/>
  <c r="J25" i="32" s="1"/>
  <c r="I32" i="32"/>
  <c r="J32" i="32" s="1"/>
  <c r="I33" i="32"/>
  <c r="J33" i="32" s="1"/>
  <c r="I21" i="32"/>
  <c r="J21" i="32" s="1"/>
  <c r="I30" i="32"/>
  <c r="J30" i="32" s="1"/>
  <c r="I31" i="32"/>
  <c r="J31" i="32" s="1"/>
  <c r="I28" i="32"/>
  <c r="J28" i="32" s="1"/>
  <c r="I18" i="32"/>
  <c r="J18" i="32" s="1"/>
  <c r="I29" i="32"/>
  <c r="J29" i="32" s="1"/>
  <c r="I26" i="32"/>
  <c r="J26" i="32" s="1"/>
  <c r="I23" i="32"/>
  <c r="J23" i="32" s="1"/>
  <c r="I24" i="32"/>
  <c r="J24" i="32" s="1"/>
  <c r="I19" i="32"/>
  <c r="J19" i="32" s="1"/>
  <c r="I20" i="32"/>
  <c r="J20" i="32" s="1"/>
  <c r="I27" i="32"/>
  <c r="J27" i="32" s="1"/>
  <c r="I34" i="32"/>
  <c r="J34" i="32" s="1"/>
  <c r="I22" i="32"/>
  <c r="J22" i="32" s="1"/>
  <c r="K37" i="34"/>
  <c r="K36" i="34"/>
  <c r="I8" i="32"/>
  <c r="J8" i="32" s="1"/>
  <c r="I36" i="32"/>
  <c r="J36" i="32" s="1"/>
  <c r="I37" i="32"/>
  <c r="J37" i="32" s="1"/>
  <c r="I35" i="32"/>
  <c r="J35" i="32" s="1"/>
  <c r="B49" i="35"/>
  <c r="C49" i="35"/>
  <c r="B46" i="35"/>
  <c r="B47" i="35"/>
  <c r="C47" i="35"/>
  <c r="B45" i="35"/>
  <c r="C45" i="35"/>
  <c r="I15" i="32"/>
  <c r="J15" i="32" s="1"/>
  <c r="I13" i="32"/>
  <c r="J13" i="32" s="1"/>
  <c r="I14" i="32"/>
  <c r="J14" i="32" s="1"/>
  <c r="I16" i="32"/>
  <c r="J16" i="32" s="1"/>
  <c r="I17" i="32"/>
  <c r="J17" i="32" s="1"/>
  <c r="B43" i="35"/>
  <c r="C43" i="35"/>
  <c r="I12" i="32"/>
  <c r="J12" i="32" s="1"/>
  <c r="I10" i="32"/>
  <c r="J10" i="32" s="1"/>
  <c r="F8" i="6"/>
  <c r="AC8" i="32" s="1"/>
  <c r="AA8" i="32"/>
  <c r="E17" i="24"/>
  <c r="C15" i="26"/>
  <c r="C14" i="26"/>
  <c r="F4" i="6"/>
  <c r="AC4" i="32" s="1"/>
  <c r="Z4" i="32"/>
  <c r="Z6" i="32"/>
  <c r="F6" i="6"/>
  <c r="AC6" i="32" s="1"/>
  <c r="K10" i="6"/>
  <c r="FI11" i="14" s="1"/>
  <c r="M12" i="27" s="1"/>
  <c r="AA6" i="32"/>
  <c r="D17" i="24"/>
  <c r="J10" i="23"/>
  <c r="K10" i="23" s="1"/>
  <c r="J22" i="23"/>
  <c r="K22" i="23" s="1"/>
  <c r="J20" i="23"/>
  <c r="K20" i="23" s="1"/>
  <c r="J19" i="23"/>
  <c r="K19" i="23" s="1"/>
  <c r="J26" i="23"/>
  <c r="K26" i="23" s="1"/>
  <c r="J24" i="23"/>
  <c r="K24" i="23" s="1"/>
  <c r="J17" i="23"/>
  <c r="K17" i="23" s="1"/>
  <c r="J25" i="23"/>
  <c r="K25" i="23" s="1"/>
  <c r="J23" i="23"/>
  <c r="K23" i="23" s="1"/>
  <c r="J21" i="23"/>
  <c r="K21" i="23" s="1"/>
  <c r="J18" i="23"/>
  <c r="K18" i="23" s="1"/>
  <c r="J16" i="23"/>
  <c r="K16" i="23" s="1"/>
  <c r="J15" i="23"/>
  <c r="K15" i="23" s="1"/>
  <c r="J33" i="23"/>
  <c r="K33" i="23" s="1"/>
  <c r="J34" i="23"/>
  <c r="K34" i="23" s="1"/>
  <c r="J38" i="23"/>
  <c r="K38" i="23" s="1"/>
  <c r="J39" i="23"/>
  <c r="K39" i="23" s="1"/>
  <c r="J43" i="23"/>
  <c r="K43" i="23" s="1"/>
  <c r="J49" i="23"/>
  <c r="K49" i="23" s="1"/>
  <c r="J29" i="23"/>
  <c r="K29" i="23" s="1"/>
  <c r="J30" i="23"/>
  <c r="K30" i="23" s="1"/>
  <c r="J40" i="23"/>
  <c r="K40" i="23" s="1"/>
  <c r="J41" i="23"/>
  <c r="K41" i="23" s="1"/>
  <c r="J46" i="23"/>
  <c r="K46" i="23" s="1"/>
  <c r="J48" i="23"/>
  <c r="K48" i="23" s="1"/>
  <c r="J28" i="23"/>
  <c r="K28" i="23" s="1"/>
  <c r="J32" i="23"/>
  <c r="K32" i="23" s="1"/>
  <c r="J35" i="23"/>
  <c r="K35" i="23" s="1"/>
  <c r="J36" i="23"/>
  <c r="K36" i="23" s="1"/>
  <c r="J37" i="23"/>
  <c r="K37" i="23" s="1"/>
  <c r="J42" i="23"/>
  <c r="K42" i="23" s="1"/>
  <c r="J44" i="23"/>
  <c r="K44" i="23" s="1"/>
  <c r="J27" i="23"/>
  <c r="K27" i="23" s="1"/>
  <c r="J31" i="23"/>
  <c r="K31" i="23" s="1"/>
  <c r="J45" i="23"/>
  <c r="K45" i="23" s="1"/>
  <c r="J47" i="23"/>
  <c r="K47" i="23" s="1"/>
  <c r="J13" i="23"/>
  <c r="K13" i="23" s="1"/>
  <c r="J12" i="23"/>
  <c r="K12" i="23" s="1"/>
  <c r="J14" i="23"/>
  <c r="K14" i="23" s="1"/>
  <c r="J11" i="23"/>
  <c r="K11" i="23" s="1"/>
  <c r="AT23" i="14"/>
  <c r="K16" i="6"/>
  <c r="FI17" i="14" s="1"/>
  <c r="M18" i="27" s="1"/>
  <c r="S15" i="22"/>
  <c r="C11" i="26"/>
  <c r="V18" i="22"/>
  <c r="K6" i="23"/>
  <c r="K14" i="6"/>
  <c r="FI15" i="14" s="1"/>
  <c r="M16" i="27" s="1"/>
  <c r="K4" i="6"/>
  <c r="FI5" i="14" s="1"/>
  <c r="M6" i="27" s="1"/>
  <c r="K17" i="6"/>
  <c r="FI18" i="14" s="1"/>
  <c r="M19" i="27" s="1"/>
  <c r="K7" i="6"/>
  <c r="FI8" i="14" s="1"/>
  <c r="M9" i="27" s="1"/>
  <c r="K8" i="6"/>
  <c r="FI9" i="14" s="1"/>
  <c r="M10" i="27" s="1"/>
  <c r="K5" i="6"/>
  <c r="FI6" i="14" s="1"/>
  <c r="M7" i="27" s="1"/>
  <c r="B61" i="38" l="1"/>
  <c r="B62" i="38" s="1"/>
  <c r="B63" i="38" s="1"/>
  <c r="B64" i="38" s="1"/>
  <c r="B65" i="38" s="1"/>
  <c r="B66" i="38" s="1"/>
  <c r="B67" i="38" s="1"/>
  <c r="B40" i="35"/>
  <c r="B41" i="35"/>
  <c r="J4" i="39"/>
  <c r="J24" i="35"/>
  <c r="H17" i="24"/>
  <c r="AW9" i="14"/>
  <c r="C40" i="35"/>
  <c r="AY7" i="14"/>
  <c r="C41" i="35"/>
  <c r="AY8" i="14"/>
  <c r="V5" i="22"/>
  <c r="G162" i="34"/>
  <c r="G158" i="34"/>
  <c r="G183" i="34"/>
  <c r="G160" i="34"/>
  <c r="N115" i="34"/>
  <c r="N111" i="34"/>
  <c r="D161" i="34" s="1"/>
  <c r="CJ9" i="14" s="1"/>
  <c r="V115" i="34"/>
  <c r="V111" i="34"/>
  <c r="D165" i="34" s="1"/>
  <c r="Z115" i="34"/>
  <c r="H167" i="34" s="1"/>
  <c r="Z111" i="34"/>
  <c r="D167" i="34" s="1"/>
  <c r="AP115" i="34"/>
  <c r="H175" i="34" s="1"/>
  <c r="AP111" i="34"/>
  <c r="D175" i="34" s="1"/>
  <c r="R115" i="34"/>
  <c r="H163" i="34" s="1"/>
  <c r="H20" i="25" s="1"/>
  <c r="R111" i="34"/>
  <c r="D163" i="34" s="1"/>
  <c r="CJ11" i="14" s="1"/>
  <c r="BF115" i="34"/>
  <c r="BF111" i="34"/>
  <c r="D183" i="34" s="1"/>
  <c r="T115" i="34"/>
  <c r="T111" i="34"/>
  <c r="D164" i="34" s="1"/>
  <c r="AH115" i="34"/>
  <c r="H171" i="34" s="1"/>
  <c r="AH111" i="34"/>
  <c r="D171" i="34" s="1"/>
  <c r="L115" i="34"/>
  <c r="L111" i="34"/>
  <c r="D160" i="34" s="1"/>
  <c r="CJ8" i="14" s="1"/>
  <c r="AN115" i="34"/>
  <c r="H174" i="34" s="1"/>
  <c r="AN111" i="34"/>
  <c r="D174" i="34" s="1"/>
  <c r="X115" i="34"/>
  <c r="H166" i="34" s="1"/>
  <c r="X111" i="34"/>
  <c r="D166" i="34" s="1"/>
  <c r="AB115" i="34"/>
  <c r="H168" i="34" s="1"/>
  <c r="AB111" i="34"/>
  <c r="D168" i="34" s="1"/>
  <c r="BN115" i="34"/>
  <c r="H187" i="34" s="1"/>
  <c r="BN111" i="34"/>
  <c r="D187" i="34" s="1"/>
  <c r="BB115" i="34"/>
  <c r="H181" i="34" s="1"/>
  <c r="BB111" i="34"/>
  <c r="D181" i="34" s="1"/>
  <c r="AD115" i="34"/>
  <c r="H169" i="34" s="1"/>
  <c r="AD111" i="34"/>
  <c r="D169" i="34" s="1"/>
  <c r="BH115" i="34"/>
  <c r="H184" i="34" s="1"/>
  <c r="I184" i="34"/>
  <c r="H115" i="34"/>
  <c r="H111" i="34"/>
  <c r="D158" i="34" s="1"/>
  <c r="CJ6" i="14" s="1"/>
  <c r="BJ115" i="34"/>
  <c r="H185" i="34" s="1"/>
  <c r="I185" i="34"/>
  <c r="BD115" i="34"/>
  <c r="BD111" i="34"/>
  <c r="D182" i="34" s="1"/>
  <c r="P115" i="34"/>
  <c r="P111" i="34"/>
  <c r="D162" i="34" s="1"/>
  <c r="CJ10" i="14" s="1"/>
  <c r="AV115" i="34"/>
  <c r="H178" i="34" s="1"/>
  <c r="AV111" i="34"/>
  <c r="D178" i="34" s="1"/>
  <c r="BL115" i="34"/>
  <c r="H186" i="34" s="1"/>
  <c r="I186" i="34"/>
  <c r="AT115" i="34"/>
  <c r="H177" i="34" s="1"/>
  <c r="AT111" i="34"/>
  <c r="D177" i="34" s="1"/>
  <c r="AF115" i="34"/>
  <c r="H170" i="34" s="1"/>
  <c r="AF111" i="34"/>
  <c r="D170" i="34" s="1"/>
  <c r="AJ115" i="34"/>
  <c r="H172" i="34" s="1"/>
  <c r="AJ111" i="34"/>
  <c r="D172" i="34" s="1"/>
  <c r="AZ115" i="34"/>
  <c r="H180" i="34" s="1"/>
  <c r="AZ111" i="34"/>
  <c r="D180" i="34" s="1"/>
  <c r="AR115" i="34"/>
  <c r="H176" i="34" s="1"/>
  <c r="AR111" i="34"/>
  <c r="D176" i="34" s="1"/>
  <c r="AL115" i="34"/>
  <c r="H173" i="34" s="1"/>
  <c r="AL111" i="34"/>
  <c r="D173" i="34" s="1"/>
  <c r="AX115" i="34"/>
  <c r="H179" i="34" s="1"/>
  <c r="AX111" i="34"/>
  <c r="D179" i="34" s="1"/>
  <c r="E156" i="34"/>
  <c r="E13" i="25" s="1"/>
  <c r="F115" i="34"/>
  <c r="H157" i="34" s="1"/>
  <c r="H14" i="25" s="1"/>
  <c r="F111" i="34"/>
  <c r="D157" i="34" s="1"/>
  <c r="D115" i="34"/>
  <c r="H156" i="34" s="1"/>
  <c r="H13" i="25" s="1"/>
  <c r="D111" i="34"/>
  <c r="D156" i="34" s="1"/>
  <c r="E161" i="34"/>
  <c r="CK9" i="14" s="1"/>
  <c r="H164" i="34"/>
  <c r="E183" i="34"/>
  <c r="E162" i="34"/>
  <c r="CK10" i="14" s="1"/>
  <c r="E160" i="34"/>
  <c r="CK8" i="14" s="1"/>
  <c r="E165" i="34"/>
  <c r="E158" i="34"/>
  <c r="CK6" i="14" s="1"/>
  <c r="E182" i="34"/>
  <c r="G156" i="34"/>
  <c r="CM4" i="14" s="1"/>
  <c r="I171" i="34"/>
  <c r="J30" i="39"/>
  <c r="E187" i="34"/>
  <c r="G187" i="34"/>
  <c r="F187" i="34"/>
  <c r="G157" i="34"/>
  <c r="I24" i="35" s="1"/>
  <c r="E157" i="34"/>
  <c r="E14" i="25" s="1"/>
  <c r="I16" i="24"/>
  <c r="W14" i="22"/>
  <c r="I5" i="24"/>
  <c r="AX6" i="14"/>
  <c r="B39" i="35"/>
  <c r="W3" i="22"/>
  <c r="X14" i="22"/>
  <c r="J16" i="24"/>
  <c r="AY6" i="14"/>
  <c r="X3" i="22"/>
  <c r="C39" i="35"/>
  <c r="J5" i="24"/>
  <c r="D50" i="35"/>
  <c r="Q31" i="32"/>
  <c r="E163" i="34"/>
  <c r="CK11" i="14" s="1"/>
  <c r="F169" i="34"/>
  <c r="J16" i="39" s="1"/>
  <c r="G169" i="34"/>
  <c r="F172" i="34"/>
  <c r="J19" i="39" s="1"/>
  <c r="G172" i="34"/>
  <c r="E178" i="34"/>
  <c r="E179" i="34"/>
  <c r="F168" i="34"/>
  <c r="J15" i="39" s="1"/>
  <c r="G168" i="34"/>
  <c r="E173" i="34"/>
  <c r="E164" i="34"/>
  <c r="F167" i="34"/>
  <c r="J14" i="39" s="1"/>
  <c r="G167" i="34"/>
  <c r="E181" i="34"/>
  <c r="E170" i="34"/>
  <c r="F177" i="34"/>
  <c r="J24" i="39" s="1"/>
  <c r="G177" i="34"/>
  <c r="F166" i="34"/>
  <c r="G166" i="34"/>
  <c r="F175" i="34"/>
  <c r="J22" i="39" s="1"/>
  <c r="G175" i="34"/>
  <c r="F176" i="34"/>
  <c r="J23" i="39" s="1"/>
  <c r="G176" i="34"/>
  <c r="E174" i="34"/>
  <c r="E180" i="34"/>
  <c r="F171" i="34"/>
  <c r="J18" i="39" s="1"/>
  <c r="G171" i="34"/>
  <c r="F161" i="34"/>
  <c r="J28" i="35" s="1"/>
  <c r="G161" i="34"/>
  <c r="F164" i="34"/>
  <c r="G164" i="34"/>
  <c r="E169" i="34"/>
  <c r="E172" i="34"/>
  <c r="E171" i="34"/>
  <c r="F178" i="34"/>
  <c r="J25" i="39" s="1"/>
  <c r="G178" i="34"/>
  <c r="E166" i="34"/>
  <c r="E175" i="34"/>
  <c r="E176" i="34"/>
  <c r="F174" i="34"/>
  <c r="J21" i="39" s="1"/>
  <c r="G174" i="34"/>
  <c r="F180" i="34"/>
  <c r="J27" i="39" s="1"/>
  <c r="G180" i="34"/>
  <c r="F163" i="34"/>
  <c r="CL11" i="14" s="1"/>
  <c r="G163" i="34"/>
  <c r="F165" i="34"/>
  <c r="G165" i="34"/>
  <c r="E167" i="34"/>
  <c r="F181" i="34"/>
  <c r="G181" i="34"/>
  <c r="F170" i="34"/>
  <c r="J17" i="39" s="1"/>
  <c r="G170" i="34"/>
  <c r="E177" i="34"/>
  <c r="F179" i="34"/>
  <c r="J26" i="39" s="1"/>
  <c r="G179" i="34"/>
  <c r="E168" i="34"/>
  <c r="F182" i="34"/>
  <c r="G182" i="34"/>
  <c r="F173" i="34"/>
  <c r="J20" i="39" s="1"/>
  <c r="G173" i="34"/>
  <c r="F14" i="25"/>
  <c r="Q5" i="32"/>
  <c r="F158" i="34"/>
  <c r="J25" i="35" s="1"/>
  <c r="F160" i="34"/>
  <c r="J27" i="35" s="1"/>
  <c r="F162" i="34"/>
  <c r="J29" i="35" s="1"/>
  <c r="J10" i="24"/>
  <c r="C44" i="35"/>
  <c r="J8" i="24"/>
  <c r="C42" i="35"/>
  <c r="J14" i="24"/>
  <c r="C48" i="35"/>
  <c r="J12" i="24"/>
  <c r="C46" i="35"/>
  <c r="B42" i="35"/>
  <c r="W12" i="22"/>
  <c r="B48" i="35"/>
  <c r="W8" i="22"/>
  <c r="B44" i="35"/>
  <c r="K39" i="34"/>
  <c r="K38" i="34"/>
  <c r="I14" i="24"/>
  <c r="W13" i="22"/>
  <c r="I15" i="24"/>
  <c r="X12" i="22"/>
  <c r="X13" i="22"/>
  <c r="J15" i="24"/>
  <c r="D49" i="35"/>
  <c r="I12" i="24"/>
  <c r="I13" i="24"/>
  <c r="W11" i="22"/>
  <c r="W10" i="22"/>
  <c r="X10" i="22"/>
  <c r="J13" i="24"/>
  <c r="X11" i="22"/>
  <c r="D47" i="35"/>
  <c r="I10" i="24"/>
  <c r="W9" i="22"/>
  <c r="I11" i="24"/>
  <c r="X8" i="22"/>
  <c r="X9" i="22"/>
  <c r="J11" i="24"/>
  <c r="D44" i="35"/>
  <c r="D45" i="35"/>
  <c r="X6" i="22"/>
  <c r="W6" i="22"/>
  <c r="I8" i="24"/>
  <c r="I9" i="24"/>
  <c r="W7" i="22"/>
  <c r="J9" i="24"/>
  <c r="X7" i="22"/>
  <c r="D42" i="35"/>
  <c r="D43" i="35"/>
  <c r="D10" i="26"/>
  <c r="D22" i="26" s="1"/>
  <c r="X4" i="22"/>
  <c r="W4" i="22"/>
  <c r="J6" i="24"/>
  <c r="I6" i="24"/>
  <c r="W5" i="22"/>
  <c r="I7" i="24"/>
  <c r="X5" i="22"/>
  <c r="J7" i="24"/>
  <c r="B87" i="38" l="1"/>
  <c r="B88" i="38" s="1"/>
  <c r="B89" i="38" s="1"/>
  <c r="B90" i="38" s="1"/>
  <c r="B91" i="38" s="1"/>
  <c r="B92" i="38" s="1"/>
  <c r="B93" i="38" s="1"/>
  <c r="I30" i="35"/>
  <c r="CM11" i="14"/>
  <c r="CM10" i="14"/>
  <c r="I29" i="35"/>
  <c r="CM9" i="14"/>
  <c r="I28" i="35"/>
  <c r="CM8" i="14"/>
  <c r="I27" i="35"/>
  <c r="CM6" i="14"/>
  <c r="I25" i="35"/>
  <c r="D40" i="35"/>
  <c r="AZ7" i="14"/>
  <c r="D41" i="35"/>
  <c r="AZ8" i="14"/>
  <c r="R10" i="32"/>
  <c r="G19" i="25"/>
  <c r="G17" i="25"/>
  <c r="R6" i="32"/>
  <c r="G15" i="25"/>
  <c r="P9" i="32"/>
  <c r="R31" i="32"/>
  <c r="P6" i="32"/>
  <c r="R8" i="32"/>
  <c r="I167" i="34"/>
  <c r="E19" i="25"/>
  <c r="I168" i="34"/>
  <c r="P10" i="32"/>
  <c r="I173" i="34"/>
  <c r="I175" i="34"/>
  <c r="I176" i="34"/>
  <c r="I179" i="34"/>
  <c r="I187" i="34"/>
  <c r="P8" i="32"/>
  <c r="I163" i="34"/>
  <c r="I20" i="25" s="1"/>
  <c r="I181" i="34"/>
  <c r="I174" i="34"/>
  <c r="E15" i="25"/>
  <c r="I166" i="34"/>
  <c r="I172" i="34"/>
  <c r="I178" i="34"/>
  <c r="I177" i="34"/>
  <c r="I180" i="34"/>
  <c r="I170" i="34"/>
  <c r="I164" i="34"/>
  <c r="R4" i="32"/>
  <c r="I157" i="34"/>
  <c r="I14" i="25" s="1"/>
  <c r="P31" i="32"/>
  <c r="E18" i="25"/>
  <c r="E17" i="25"/>
  <c r="I156" i="34"/>
  <c r="I13" i="25" s="1"/>
  <c r="G13" i="25"/>
  <c r="J28" i="39"/>
  <c r="H182" i="34"/>
  <c r="I182" i="34"/>
  <c r="I158" i="34"/>
  <c r="I15" i="25" s="1"/>
  <c r="H158" i="34"/>
  <c r="H15" i="25" s="1"/>
  <c r="H165" i="34"/>
  <c r="I165" i="34"/>
  <c r="H160" i="34"/>
  <c r="H17" i="25" s="1"/>
  <c r="I160" i="34"/>
  <c r="I17" i="25" s="1"/>
  <c r="I183" i="34"/>
  <c r="H183" i="34"/>
  <c r="H161" i="34"/>
  <c r="H18" i="25" s="1"/>
  <c r="I161" i="34"/>
  <c r="I18" i="25" s="1"/>
  <c r="H162" i="34"/>
  <c r="H19" i="25" s="1"/>
  <c r="I162" i="34"/>
  <c r="I19" i="25" s="1"/>
  <c r="F156" i="34"/>
  <c r="F13" i="25" s="1"/>
  <c r="J9" i="39"/>
  <c r="CL10" i="14"/>
  <c r="J7" i="39"/>
  <c r="CL8" i="14"/>
  <c r="J12" i="39"/>
  <c r="J10" i="39"/>
  <c r="J11" i="39"/>
  <c r="J34" i="39"/>
  <c r="J29" i="39"/>
  <c r="J13" i="39"/>
  <c r="J5" i="39"/>
  <c r="CL6" i="14"/>
  <c r="J8" i="39"/>
  <c r="CL9" i="14"/>
  <c r="P5" i="32"/>
  <c r="O31" i="32"/>
  <c r="O16" i="32"/>
  <c r="O25" i="32"/>
  <c r="Q29" i="32"/>
  <c r="Q13" i="32"/>
  <c r="Q11" i="32"/>
  <c r="Q28" i="32"/>
  <c r="Q22" i="32"/>
  <c r="O23" i="32"/>
  <c r="O14" i="32"/>
  <c r="Q9" i="32"/>
  <c r="Q19" i="32"/>
  <c r="Q14" i="32"/>
  <c r="O18" i="32"/>
  <c r="O29" i="32"/>
  <c r="Q15" i="32"/>
  <c r="O21" i="32"/>
  <c r="O30" i="32"/>
  <c r="O27" i="32"/>
  <c r="Q20" i="32"/>
  <c r="Q17" i="32"/>
  <c r="O11" i="32"/>
  <c r="CK5" i="14"/>
  <c r="R5" i="32"/>
  <c r="G14" i="25"/>
  <c r="O15" i="32"/>
  <c r="O22" i="32"/>
  <c r="Q25" i="32"/>
  <c r="O12" i="32"/>
  <c r="K16" i="24"/>
  <c r="D39" i="35"/>
  <c r="AZ6" i="14"/>
  <c r="K5" i="24"/>
  <c r="D20" i="25"/>
  <c r="Q12" i="32"/>
  <c r="O28" i="32"/>
  <c r="O20" i="32"/>
  <c r="Q23" i="32"/>
  <c r="O24" i="32"/>
  <c r="Q18" i="32"/>
  <c r="Q21" i="32"/>
  <c r="P4" i="32"/>
  <c r="Q24" i="32"/>
  <c r="Q26" i="32"/>
  <c r="F20" i="25"/>
  <c r="Q30" i="32"/>
  <c r="Q27" i="32"/>
  <c r="O19" i="32"/>
  <c r="O17" i="32"/>
  <c r="F18" i="25"/>
  <c r="O26" i="32"/>
  <c r="O13" i="32"/>
  <c r="Q16" i="32"/>
  <c r="R21" i="32"/>
  <c r="P16" i="32"/>
  <c r="P25" i="32"/>
  <c r="R29" i="32"/>
  <c r="R13" i="32"/>
  <c r="R11" i="32"/>
  <c r="G20" i="25"/>
  <c r="R22" i="32"/>
  <c r="P23" i="32"/>
  <c r="R26" i="32"/>
  <c r="P20" i="32"/>
  <c r="R12" i="32"/>
  <c r="R19" i="32"/>
  <c r="P28" i="32"/>
  <c r="R24" i="32"/>
  <c r="R14" i="32"/>
  <c r="P18" i="32"/>
  <c r="R15" i="32"/>
  <c r="P30" i="32"/>
  <c r="P27" i="32"/>
  <c r="R20" i="32"/>
  <c r="P11" i="32"/>
  <c r="E20" i="25"/>
  <c r="R30" i="32"/>
  <c r="R27" i="32"/>
  <c r="R18" i="32"/>
  <c r="P15" i="32"/>
  <c r="R28" i="32"/>
  <c r="P24" i="32"/>
  <c r="P14" i="32"/>
  <c r="P19" i="32"/>
  <c r="P17" i="32"/>
  <c r="R9" i="32"/>
  <c r="G18" i="25"/>
  <c r="P13" i="32"/>
  <c r="P22" i="32"/>
  <c r="R23" i="32"/>
  <c r="R25" i="32"/>
  <c r="P29" i="32"/>
  <c r="P12" i="32"/>
  <c r="P21" i="32"/>
  <c r="R16" i="32"/>
  <c r="P26" i="32"/>
  <c r="R17" i="32"/>
  <c r="O9" i="32"/>
  <c r="D18" i="25"/>
  <c r="Q10" i="32"/>
  <c r="F19" i="25"/>
  <c r="D19" i="25"/>
  <c r="O10" i="32"/>
  <c r="Q8" i="32"/>
  <c r="F17" i="25"/>
  <c r="D17" i="25"/>
  <c r="O8" i="32"/>
  <c r="F15" i="25"/>
  <c r="Q6" i="32"/>
  <c r="D15" i="25"/>
  <c r="O6" i="32"/>
  <c r="O5" i="32"/>
  <c r="D14" i="25"/>
  <c r="D13" i="25"/>
  <c r="O4" i="32"/>
  <c r="D48" i="35"/>
  <c r="K12" i="24"/>
  <c r="D46" i="35"/>
  <c r="CJ4" i="14"/>
  <c r="CJ5" i="14"/>
  <c r="CL5" i="14"/>
  <c r="CK4" i="14"/>
  <c r="CM5" i="14"/>
  <c r="K41" i="34"/>
  <c r="K40" i="34"/>
  <c r="U15" i="22"/>
  <c r="K14" i="24"/>
  <c r="K15" i="24"/>
  <c r="K13" i="24"/>
  <c r="K10" i="24"/>
  <c r="K11" i="24"/>
  <c r="K8" i="24"/>
  <c r="K9" i="24"/>
  <c r="D33" i="26"/>
  <c r="D19" i="26"/>
  <c r="D35" i="26"/>
  <c r="D49" i="26"/>
  <c r="D26" i="26"/>
  <c r="D39" i="26"/>
  <c r="D28" i="26"/>
  <c r="D42" i="26"/>
  <c r="D11" i="26"/>
  <c r="D44" i="26"/>
  <c r="D17" i="26"/>
  <c r="D23" i="26"/>
  <c r="D48" i="26"/>
  <c r="D32" i="26"/>
  <c r="D16" i="26"/>
  <c r="D37" i="26"/>
  <c r="D21" i="26"/>
  <c r="D46" i="26"/>
  <c r="D30" i="26"/>
  <c r="D14" i="26"/>
  <c r="D43" i="26"/>
  <c r="D27" i="26"/>
  <c r="D12" i="26"/>
  <c r="D36" i="26"/>
  <c r="D20" i="26"/>
  <c r="D41" i="26"/>
  <c r="D25" i="26"/>
  <c r="D50" i="26"/>
  <c r="D34" i="26"/>
  <c r="D18" i="26"/>
  <c r="D47" i="26"/>
  <c r="D31" i="26"/>
  <c r="D15" i="26"/>
  <c r="D40" i="26"/>
  <c r="D24" i="26"/>
  <c r="D45" i="26"/>
  <c r="D29" i="26"/>
  <c r="D13" i="26"/>
  <c r="D38" i="26"/>
  <c r="T15" i="22"/>
  <c r="K6" i="24"/>
  <c r="K7" i="24"/>
  <c r="B51" i="35" l="1"/>
  <c r="AX9" i="14"/>
  <c r="C51" i="35"/>
  <c r="D51" i="35" s="1"/>
  <c r="A53" i="35" s="1"/>
  <c r="AY9" i="14"/>
  <c r="Q4" i="32"/>
  <c r="J3" i="39"/>
  <c r="CL4" i="14"/>
  <c r="J17" i="24"/>
  <c r="K43" i="34"/>
  <c r="K42" i="34"/>
  <c r="I17" i="24"/>
  <c r="V15" i="22"/>
  <c r="AZ9" i="14" s="1"/>
  <c r="K45" i="34" l="1"/>
  <c r="K44" i="34"/>
  <c r="K17" i="24"/>
  <c r="K47" i="34" l="1"/>
  <c r="K46" i="34"/>
  <c r="K49" i="34" l="1"/>
  <c r="K48" i="34"/>
  <c r="K51" i="34" l="1"/>
  <c r="K50" i="34"/>
  <c r="K52" i="34" l="1"/>
  <c r="K53" i="34"/>
  <c r="K54" i="34" l="1"/>
  <c r="K55" i="34"/>
  <c r="K56" i="34" l="1"/>
  <c r="K57" i="34"/>
  <c r="K58" i="34" l="1"/>
  <c r="K59" i="34"/>
  <c r="K61" i="34" l="1"/>
  <c r="K60" i="34"/>
  <c r="K62" i="34" l="1"/>
  <c r="K63" i="34"/>
  <c r="K65" i="34" l="1"/>
  <c r="K64" i="34"/>
  <c r="K67" i="34" l="1"/>
  <c r="K66" i="34"/>
  <c r="K68" i="34" l="1"/>
  <c r="K69" i="34"/>
  <c r="K70" i="34" l="1"/>
  <c r="K71" i="34"/>
  <c r="K72" i="34" l="1"/>
  <c r="K73" i="34"/>
  <c r="K74" i="34" l="1"/>
  <c r="K75" i="34"/>
  <c r="K76" i="34" l="1"/>
  <c r="K77" i="34"/>
  <c r="K79" i="34" l="1"/>
  <c r="K78" i="34"/>
  <c r="K81" i="34" l="1"/>
  <c r="K80" i="34"/>
  <c r="K82" i="34" l="1"/>
  <c r="K83" i="34"/>
  <c r="K84" i="34" l="1"/>
  <c r="K85" i="34"/>
  <c r="K86" i="34" l="1"/>
  <c r="K87" i="34"/>
  <c r="K88" i="34" l="1"/>
  <c r="K89" i="34"/>
  <c r="K90" i="34" l="1"/>
  <c r="K91" i="34"/>
  <c r="K92" i="34" l="1"/>
  <c r="K93" i="34"/>
  <c r="K94" i="34" l="1"/>
  <c r="K95" i="34"/>
  <c r="K96" i="34" l="1"/>
  <c r="K97" i="34"/>
  <c r="K99" i="34" l="1"/>
  <c r="K98" i="34"/>
  <c r="K101" i="34" l="1"/>
  <c r="K100" i="34"/>
  <c r="K105" i="34" l="1"/>
  <c r="K103" i="34"/>
  <c r="K104" i="34"/>
  <c r="K102" i="34"/>
  <c r="J108" i="34" l="1"/>
  <c r="J107" i="34"/>
  <c r="AH121" i="34"/>
  <c r="F149" i="34"/>
  <c r="AF121" i="34"/>
  <c r="AG121" i="34"/>
  <c r="F147" i="34"/>
  <c r="F146" i="34"/>
  <c r="F148" i="34"/>
  <c r="O121" i="34"/>
  <c r="F130" i="34"/>
  <c r="W121" i="34"/>
  <c r="X121" i="34"/>
  <c r="T121" i="34"/>
  <c r="Q121" i="34"/>
  <c r="S121" i="34"/>
  <c r="F131" i="34"/>
  <c r="F135" i="34"/>
  <c r="F139" i="34"/>
  <c r="F137" i="34"/>
  <c r="F141" i="34"/>
  <c r="F145" i="34"/>
  <c r="F128" i="34"/>
  <c r="F132" i="34"/>
  <c r="F136" i="34"/>
  <c r="F144" i="34"/>
  <c r="P121" i="34"/>
  <c r="V121" i="34"/>
  <c r="Z121" i="34"/>
  <c r="M121" i="34"/>
  <c r="R121" i="34"/>
  <c r="AA121" i="34"/>
  <c r="AD121" i="34"/>
  <c r="F129" i="34"/>
  <c r="F134" i="34"/>
  <c r="F138" i="34"/>
  <c r="F142" i="34"/>
  <c r="U121" i="34"/>
  <c r="AC121" i="34"/>
  <c r="N121" i="34"/>
  <c r="E121" i="34"/>
  <c r="C121" i="34"/>
  <c r="D121" i="34"/>
  <c r="F122" i="34"/>
  <c r="F120" i="34"/>
  <c r="F126" i="34"/>
  <c r="F118" i="34"/>
  <c r="F121" i="34"/>
  <c r="F119" i="34"/>
  <c r="H121" i="34"/>
  <c r="I121" i="34"/>
  <c r="K121" i="34"/>
  <c r="G121" i="34"/>
  <c r="J121" i="34"/>
  <c r="F125" i="34"/>
  <c r="L121" i="34"/>
  <c r="F124" i="34"/>
  <c r="F123" i="34"/>
  <c r="J112" i="34" l="1"/>
  <c r="J113" i="34" s="1"/>
  <c r="J110" i="34"/>
  <c r="G159" i="34"/>
  <c r="I26" i="35" s="1"/>
  <c r="J114" i="34" l="1"/>
  <c r="J115" i="34" s="1"/>
  <c r="J111" i="34"/>
  <c r="D159" i="34" s="1"/>
  <c r="E159" i="34"/>
  <c r="CK7" i="14" s="1"/>
  <c r="C192" i="34" a="1"/>
  <c r="N192" i="34" s="1"/>
  <c r="CM7" i="14"/>
  <c r="R7" i="32"/>
  <c r="G16" i="25"/>
  <c r="F159" i="34"/>
  <c r="J26" i="35" s="1"/>
  <c r="C190" i="34" l="1" a="1"/>
  <c r="AF190" i="34" s="1"/>
  <c r="P7" i="32"/>
  <c r="E16" i="25"/>
  <c r="H159" i="34"/>
  <c r="H16" i="25" s="1"/>
  <c r="I159" i="34"/>
  <c r="I16" i="25" s="1"/>
  <c r="W192" i="34"/>
  <c r="D192" i="34"/>
  <c r="AE192" i="34"/>
  <c r="AA192" i="34"/>
  <c r="AD192" i="34"/>
  <c r="Y192" i="34"/>
  <c r="F192" i="34"/>
  <c r="J39" i="39" s="1"/>
  <c r="AG192" i="34"/>
  <c r="AC192" i="34"/>
  <c r="G192" i="34"/>
  <c r="I192" i="34"/>
  <c r="S192" i="34"/>
  <c r="U192" i="34"/>
  <c r="O192" i="34"/>
  <c r="Q192" i="34"/>
  <c r="K192" i="34"/>
  <c r="M192" i="34"/>
  <c r="X192" i="34"/>
  <c r="Z192" i="34"/>
  <c r="E192" i="34"/>
  <c r="C192" i="34"/>
  <c r="AF192" i="34"/>
  <c r="AH192" i="34"/>
  <c r="AB192" i="34"/>
  <c r="H192" i="34"/>
  <c r="J192" i="34"/>
  <c r="T192" i="34"/>
  <c r="V192" i="34"/>
  <c r="P192" i="34"/>
  <c r="R192" i="34"/>
  <c r="L192" i="34"/>
  <c r="C191" i="34" a="1"/>
  <c r="D191" i="34" s="1"/>
  <c r="J6" i="39"/>
  <c r="CL7" i="14"/>
  <c r="C189" i="34" a="1"/>
  <c r="F189" i="34" s="1"/>
  <c r="J36" i="39" s="1"/>
  <c r="CJ7" i="14"/>
  <c r="F16" i="25"/>
  <c r="Q7" i="32"/>
  <c r="O7" i="32"/>
  <c r="D16" i="25"/>
  <c r="G189" i="34" l="1"/>
  <c r="AC190" i="34"/>
  <c r="AG190" i="34"/>
  <c r="U190" i="34"/>
  <c r="Y190" i="34"/>
  <c r="M190" i="34"/>
  <c r="Q190" i="34"/>
  <c r="E190" i="34"/>
  <c r="I190" i="34"/>
  <c r="AD190" i="34"/>
  <c r="AH190" i="34"/>
  <c r="V190" i="34"/>
  <c r="Z190" i="34"/>
  <c r="N190" i="34"/>
  <c r="R190" i="34"/>
  <c r="F190" i="34"/>
  <c r="J37" i="39" s="1"/>
  <c r="J190" i="34"/>
  <c r="J189" i="34"/>
  <c r="AB190" i="34"/>
  <c r="X190" i="34"/>
  <c r="T190" i="34"/>
  <c r="P190" i="34"/>
  <c r="L190" i="34"/>
  <c r="H190" i="34"/>
  <c r="D190" i="34"/>
  <c r="M189" i="34"/>
  <c r="Y189" i="34"/>
  <c r="AE190" i="34"/>
  <c r="AA190" i="34"/>
  <c r="W190" i="34"/>
  <c r="S190" i="34"/>
  <c r="O190" i="34"/>
  <c r="K190" i="34"/>
  <c r="G190" i="34"/>
  <c r="C190" i="34"/>
  <c r="E189" i="34"/>
  <c r="O189" i="34"/>
  <c r="Z189" i="34"/>
  <c r="AE189" i="34"/>
  <c r="AH189" i="34"/>
  <c r="AF189" i="34"/>
  <c r="P189" i="34"/>
  <c r="AG189" i="34"/>
  <c r="Q189" i="34"/>
  <c r="I189" i="34"/>
  <c r="R189" i="34"/>
  <c r="D189" i="34"/>
  <c r="W189" i="34"/>
  <c r="K189" i="34"/>
  <c r="C189" i="34"/>
  <c r="X189" i="34"/>
  <c r="H189" i="34"/>
  <c r="AA189" i="34"/>
  <c r="S189" i="34"/>
  <c r="AB189" i="34"/>
  <c r="T189" i="34"/>
  <c r="L189" i="34"/>
  <c r="AC189" i="34"/>
  <c r="U189" i="34"/>
  <c r="AD189" i="34"/>
  <c r="V189" i="34"/>
  <c r="N189" i="34"/>
  <c r="G153" i="34"/>
  <c r="F153" i="34" s="1"/>
  <c r="E191" i="34"/>
  <c r="AD191" i="34"/>
  <c r="U191" i="34"/>
  <c r="AE191" i="34"/>
  <c r="R191" i="34"/>
  <c r="M191" i="34"/>
  <c r="H191" i="34"/>
  <c r="AG191" i="34"/>
  <c r="W191" i="34"/>
  <c r="O191" i="34"/>
  <c r="G191" i="34"/>
  <c r="AF191" i="34"/>
  <c r="V191" i="34"/>
  <c r="J191" i="34"/>
  <c r="Y191" i="34"/>
  <c r="Q191" i="34"/>
  <c r="I191" i="34"/>
  <c r="AH191" i="34"/>
  <c r="X191" i="34"/>
  <c r="N191" i="34"/>
  <c r="AC191" i="34"/>
  <c r="S191" i="34"/>
  <c r="K191" i="34"/>
  <c r="C191" i="34"/>
  <c r="Z191" i="34"/>
  <c r="P191" i="34"/>
  <c r="F191" i="34"/>
  <c r="J38" i="39" s="1"/>
  <c r="AA191" i="34"/>
  <c r="AB191" i="34"/>
  <c r="T191" i="34"/>
  <c r="L191" i="34"/>
  <c r="J10" i="25"/>
  <c r="E153" i="34" l="1"/>
  <c r="I153" i="34" s="1"/>
  <c r="H153" i="34" s="1"/>
  <c r="J16" i="25"/>
  <c r="J14" i="25"/>
  <c r="J20" i="25"/>
  <c r="J15" i="25"/>
  <c r="J19" i="25"/>
  <c r="J18" i="25"/>
  <c r="J17" i="25"/>
  <c r="J13" i="25"/>
  <c r="H10" i="25" l="1"/>
  <c r="D153" i="34"/>
  <c r="D10" i="25" s="1"/>
  <c r="R1" i="32"/>
  <c r="G10" i="25"/>
  <c r="E10" i="25"/>
  <c r="CS27" i="14"/>
  <c r="I10" i="25" l="1"/>
  <c r="CS23" i="14"/>
  <c r="J23" i="35"/>
  <c r="Q1" i="32"/>
  <c r="F10" i="25"/>
  <c r="I23" i="35"/>
</calcChain>
</file>

<file path=xl/sharedStrings.xml><?xml version="1.0" encoding="utf-8"?>
<sst xmlns="http://schemas.openxmlformats.org/spreadsheetml/2006/main" count="4433" uniqueCount="1211">
  <si>
    <t>Nome do fundo</t>
  </si>
  <si>
    <t>CNPJ</t>
  </si>
  <si>
    <t>Saldo Anterior</t>
  </si>
  <si>
    <t>Aplicações</t>
  </si>
  <si>
    <t>Resgate</t>
  </si>
  <si>
    <t>Saldo Atual</t>
  </si>
  <si>
    <t>Conta Corrente</t>
  </si>
  <si>
    <t>IPCA</t>
  </si>
  <si>
    <t>INPC</t>
  </si>
  <si>
    <t>IGP-M</t>
  </si>
  <si>
    <t>ICV</t>
  </si>
  <si>
    <t xml:space="preserve">    Índice  &gt;&gt;&gt;</t>
  </si>
  <si>
    <t xml:space="preserve">           Município &gt;&gt;&gt;</t>
  </si>
  <si>
    <t>Água Branca/PB</t>
  </si>
  <si>
    <t>Águia Branca/ES</t>
  </si>
  <si>
    <t>Anchieta/ES</t>
  </si>
  <si>
    <t>Arandu/SP</t>
  </si>
  <si>
    <t>Barra de São Francisco /ES</t>
  </si>
  <si>
    <t>Buri/SP</t>
  </si>
  <si>
    <t>Campinas/SP</t>
  </si>
  <si>
    <t>Cardoso/SP</t>
  </si>
  <si>
    <t>Cravinhos/SP</t>
  </si>
  <si>
    <t>Guiratinga/MT</t>
  </si>
  <si>
    <t>Itapeva/MG</t>
  </si>
  <si>
    <t>João Neiva/ES</t>
  </si>
  <si>
    <t>Maricá/RJ</t>
  </si>
  <si>
    <t>Monte Castelo/SP</t>
  </si>
  <si>
    <t>Nova Mamoré/RO</t>
  </si>
  <si>
    <t>Paranaíba/MS</t>
  </si>
  <si>
    <t>Paranapanema/SP</t>
  </si>
  <si>
    <t>Planalto/PR</t>
  </si>
  <si>
    <t>Rafard/SP</t>
  </si>
  <si>
    <t>Serrana/SP</t>
  </si>
  <si>
    <t>Sidrolândia/MS</t>
  </si>
  <si>
    <t>Sta Rita do Pas. Q./SP</t>
  </si>
  <si>
    <t>Sumidouro/RJ</t>
  </si>
  <si>
    <t>Suzanápolis/SP</t>
  </si>
  <si>
    <t>Tambaú/SP</t>
  </si>
  <si>
    <t>Tarumã/SP</t>
  </si>
  <si>
    <t>Telêmaco Borba/PR</t>
  </si>
  <si>
    <t>Vertente do Lério/PE</t>
  </si>
  <si>
    <t>INSTITUTO DE PREVIDÊNCIA DOS SERVIDORES MUNICIPAIS DO PODER EXECUTIVO E LEGISLATIVO DE ÁGUA BRANCA</t>
  </si>
  <si>
    <t>INSTITUTO DE PREVIDÊNCIA DOS SERVIDORES PÚBLICOS EFETIVOS DO MUNICIPIO DE ÁGUIA BRANCA</t>
  </si>
  <si>
    <t>INSTITUTO DE PREVIDÊNCIA DOS SERVIDORES PÚBLICOS DE ANCHIETA</t>
  </si>
  <si>
    <t>CAIXA DE APOSENTADORIA E PREVIDÊNCIA DOS SERVIDORES PÚBLICOS MUNICIPAIS DE ARANDU</t>
  </si>
  <si>
    <t>INSTITUTO DE PREVIDENCIA DOS SERVIDORES PÚBLICOS DO MUNICÍPIO DE BURI</t>
  </si>
  <si>
    <t>INSTITUTO DE PREVIDÊNCIA SOCIAL DO MUNICÍPIO DE CAMPINAS</t>
  </si>
  <si>
    <t>INSTITUTO DE PREVIDÊNCIA MUNICIPAL DE CARDOSO</t>
  </si>
  <si>
    <t>FUNDO DE APOSENTADORIA DO MUNICÍPIO DE CRAVINHOS</t>
  </si>
  <si>
    <t>INSTITUTO DA PREVIDÊNCIA MUNICIPAL DE GUIRATINGA</t>
  </si>
  <si>
    <t>INSTITUTO DE PREVIDÊNCIA MUNICIPAL DE ITAPEVA</t>
  </si>
  <si>
    <t>INSTITUTO DE PREVIDÊNCIA DOS SERVIDORES DO MUNICÍPIO DE JOÃO NEIVA</t>
  </si>
  <si>
    <t>INSTITUTO DE SEGURIDADE SOCIAL DE MARICÁ</t>
  </si>
  <si>
    <t>INSTITUTO DE PREVIDÊNCIA MUNICIPAL DE MONTE CASTELO</t>
  </si>
  <si>
    <t>INSTITUTO DE PREVIDENCIA MUNICIPAL DE NOVA GUATAPORANGA</t>
  </si>
  <si>
    <t>INSTITUTO DE PREVIDENCIA SOCIAL DOS SERVIDORES PÚBLICOS NOVA MAMORÉ</t>
  </si>
  <si>
    <t>INSTITUTO MUNICIPAL DE PREVIDÊNCIA DE OLÍMPIO NORONHA</t>
  </si>
  <si>
    <t>INSTITUTO DE PREVIDÊNCIA DOS SERVIDORES DO MUNICÍPIO DE PARANAÍBA</t>
  </si>
  <si>
    <t>INSTITUTO DE PREVIDÊNCIA SOCIAL DOS FUNCIONÁRIOS PÚBLICOS DA ESTÂNCIA TURÍSTICA DE PARANAPANEMA</t>
  </si>
  <si>
    <t>FUNDO DE PREVIDÊNCIA DO MUNICÍPIO DE PLANALTO</t>
  </si>
  <si>
    <t>FUNDO DE APOSENTADORIA DOS SERVIDORES PÚBLICOS DO MUNICIPIO DE RAFARD</t>
  </si>
  <si>
    <t>INSTITUTO DE PREVIDÊNCIA DOS SERVIDORES MUNICIPAIS DE SANTA RITA DO PASSA QUATRO</t>
  </si>
  <si>
    <t>INSTITUTO DE PREVIDÊNCIA DOS SERVIDORES PÚBLICOS DO MUNICÍPIO DE SERRANA</t>
  </si>
  <si>
    <t>INSTITUTO MUNICIPAL DE PREVIDÊNCIA SOCIAL DE SIDROLÂNDIA</t>
  </si>
  <si>
    <t>INSTITUTO DE APOSENTADORIA E PENSÕES DO MUNICÍPIO DE SUMIDOURO</t>
  </si>
  <si>
    <t>INSTITUTO DE PREVIDÊNCIA MUNICIPAL DE SUZANÁPOLIS</t>
  </si>
  <si>
    <t>FUNDO PREVIDENCIÁRIO DO MUNICÍPIO DE TAMBAÚ</t>
  </si>
  <si>
    <t>PREFEITURA MUNICIPAL DE TARUMÃ</t>
  </si>
  <si>
    <t>FUNDO PREVIDENCIÁRIO DO MUNICÍPIO DE TELÊMACO BORBA</t>
  </si>
  <si>
    <t>INSTITUTO DE PREVIDÊNCIA DO MUNICÍPIO DE VERTENTE DO LÉRIO</t>
  </si>
  <si>
    <t>Nova Guataporanga/SP</t>
  </si>
  <si>
    <t>Olímpio Noronha/MG</t>
  </si>
  <si>
    <t>INSTITUTO DE PREVIDÊNCIA DOS SERVIDORES DE BARRA DE SÃO FRANCISCO</t>
  </si>
  <si>
    <t>Nome do Fundo</t>
  </si>
  <si>
    <t>BANCO DO NORDESTE PLUS FI RENDA FIXA LP</t>
  </si>
  <si>
    <t>BANCO DO NORDESTE SETOR PÚBLICO PREVIDÊNCIA FI RENDA FIXA</t>
  </si>
  <si>
    <t>BANESTES FI AÇÕES</t>
  </si>
  <si>
    <t>BANESTES FI RENDA FIXA PREVIDENCIÁRIO</t>
  </si>
  <si>
    <t>BANESTES INSTITUCIONAL FI RENDA FIXA</t>
  </si>
  <si>
    <t>BANESTES VIP FI REFERENCIADO DI LP</t>
  </si>
  <si>
    <t>BB COMERCIAL 17 FIC RENDA FIXA LP</t>
  </si>
  <si>
    <t>BB FI MULTIMERCADO PREVIDENCIÁRIO LP</t>
  </si>
  <si>
    <t>BB FLUXO FIC RENDA FIXA PREVIDENCIÁRIO</t>
  </si>
  <si>
    <t>BB GOVERNANÇA FI AÇÕES PREVIDENCIÁRIO</t>
  </si>
  <si>
    <t>BB IDKA 2 TÍTULOS PÚBLICOS FI RENDA FIXA PREVIDENCIÁRIO</t>
  </si>
  <si>
    <t>BB IMA-B FI RENDA FIXA PREVIDENCIÁRIO</t>
  </si>
  <si>
    <t>BB IMA-B TÍTULOS PÚBLICOS FI RENDA FIXA PREVIDENCIÁRIO</t>
  </si>
  <si>
    <t>BB IMA-GERAL EX-C TÍTULOS PÚBLICOS FI RENDA FIXA PREVIDENCIÁRIO</t>
  </si>
  <si>
    <t>BB IPCA III FI RENDA FIXA PREVIDENCIÁRIO CRÉDITO PRIVADO</t>
  </si>
  <si>
    <t>BB IRF M1 TÍTULOS PÚBLICOS FIC RENDA FIXA PREVIDENCIÁRIO</t>
  </si>
  <si>
    <t>BB IRF-M TÍTULOS PÚBLICOS FI RENDA FIXA PREVIDENCIÁRIO</t>
  </si>
  <si>
    <t>BB PERFIL FIC RENDA FIXA PREVIDENCIÁRIO</t>
  </si>
  <si>
    <t>BB RPPS I FI RENDA FIXA IPCA CRÉDITO PRIVADO</t>
  </si>
  <si>
    <t>BCSUL VERAX CPP ABERTO 360 FIDC SÊNIOR</t>
  </si>
  <si>
    <t>BMG RPPS CRÉDITO CONSIGNADO ABERTO FIDC SÊNIOR</t>
  </si>
  <si>
    <t>BRADESCO FEDERAL EXTRA FI REFERENCIADO DI</t>
  </si>
  <si>
    <t>BRADESCO IRF-M 1 FI RENDA FIXA</t>
  </si>
  <si>
    <t>BRADESCO IRF-M 1 TÍTULOS PÚBLICOS FI RENDA FIXA</t>
  </si>
  <si>
    <t>BRADESCO MAXI PODER PÚBLICO FI RENDA FIXA</t>
  </si>
  <si>
    <t>BRADESCO PLUS IBOVESPA FI AÇÕES</t>
  </si>
  <si>
    <t>BRADESCO PODER PÚBLICO FIC REFERENCIADO DI</t>
  </si>
  <si>
    <t>BRADESCO PREMIUM FI REFERENCIADO DI</t>
  </si>
  <si>
    <t>BTG PACTUAL IMA-B FI RENDA FIXA</t>
  </si>
  <si>
    <t>CAIXA ALIANÇA TÍTULOS PÚBLICOS FI RENDA FIXA</t>
  </si>
  <si>
    <t>CAIXA BRASIL DISPONIBILIDADES FI RENDA FIXA</t>
  </si>
  <si>
    <t>CAIXA BRASIL ETF IBOVESPA FI AÇÕES</t>
  </si>
  <si>
    <t>CAIXA BRASIL FI REFERENCIADO DI LP</t>
  </si>
  <si>
    <t>CAIXA BRASIL I FI RENDA FIXA IPCA CRÉDITO PRIVADO</t>
  </si>
  <si>
    <t>CAIXA BRASIL IBOVESPA FI AÇÕES</t>
  </si>
  <si>
    <t>CAIXA BRASIL IBX 50 FI AÇÕES</t>
  </si>
  <si>
    <t>CAIXA BRASIL IDKA 2A IPCA TÍTULOS PÚBLICOS FI RENDA FIXA LP</t>
  </si>
  <si>
    <t>CAIXA BRASIL IMA-B 5 TÍTULOS PÚBLICOS FI RENDA FIXA LP</t>
  </si>
  <si>
    <t>CAIXA BRASIL IMA-B 5+ TÍTULOS PÚBLICOS FI RENDA FIXA LP</t>
  </si>
  <si>
    <t>CAIXA BRASIL IMA-B TÍTULOS PÚBLICOS FI RENDA FIXA LP</t>
  </si>
  <si>
    <t>CAIXA BRASIL IMA-GERAL TÍTULOS PÚBLICOS FI RENDA FIXA LP</t>
  </si>
  <si>
    <t>CAIXA BRASIL IPCA I FI MULTIMERCADO CRÉDITO PRIVADO</t>
  </si>
  <si>
    <t>CAIXA BRASIL IPCA V FI MULTIMERCADO CRÉDITO PRIVADO</t>
  </si>
  <si>
    <t>CAIXA BRASIL IPCA VII FI MULTIMERCADO CRÉDITO PRIVADO</t>
  </si>
  <si>
    <t>CAIXA BRASIL IPCA VIII FI MULTIMERCADO CRÉDITO PRIVADO</t>
  </si>
  <si>
    <t>CAIXA BRASIL IRF-M 1 TÍTULOS PÚBLICOS FI RENDA FIXA</t>
  </si>
  <si>
    <t>CAIXA BRASIL IRF-M 1+ TÍTULOS PÚBLICOS FI RENDA FIXA LP</t>
  </si>
  <si>
    <t>CAIXA BRASIL IRF-M TÍTULOS PÚBLICOS FI RENDA FIXA LP</t>
  </si>
  <si>
    <t>CAIXA BRASIL IX FI RENDA FIXA IPCA CRÉDITO PRIVADO</t>
  </si>
  <si>
    <t>CAIXA BRASIL TÍTULOS PÚBLICOS FI RENDA FIXA LP</t>
  </si>
  <si>
    <t>CAIXA BRASIL VI FI RENDA FIXA IPCA CRÉDITO PRIVADO</t>
  </si>
  <si>
    <t>CAIXA BRASIL VIII FI RENDA FIXA IPCA CRÉDITO PRIVADO</t>
  </si>
  <si>
    <t>CAIXA BRASIL X FI RENDA FIXA IPCA CRÉDITO PRIVADO</t>
  </si>
  <si>
    <t>CAIXA BRASIL XII FI RENDA FIXA IPCA CRÉDITO PRIVADO</t>
  </si>
  <si>
    <t>CAIXA BRASIL XIII FI RENDA FIXA IPCA CRÉDITO PRIVADO</t>
  </si>
  <si>
    <t>CAIXA BRASIL XIV FI RENDA FIXA IPCA CRÉDITO PRIVADO</t>
  </si>
  <si>
    <t>CAIXA BRASIL XV FI RENDA FIXA IPCA CRÉDITO PRIVADO</t>
  </si>
  <si>
    <t>CAIXA IBOVESPA FI AÇÕES</t>
  </si>
  <si>
    <t>CAIXA IDEAL FIC RENDA FIXA LP</t>
  </si>
  <si>
    <t>CAIXA NOVO BRASIL IMA-B FIC RENDA FIXA LP</t>
  </si>
  <si>
    <t>CAIXA RPPS ABERTO CONSIGNADO BMG FIDC SÊNIOR</t>
  </si>
  <si>
    <t>CAIXA SOBERANO FIC RENDA FIXA LP</t>
  </si>
  <si>
    <t>CAIXA VALOR DIVIDENDOS RPPS FIC AÇÕES</t>
  </si>
  <si>
    <t>CAIXA VALOR SMALL CAP RPPS FIC AÇÕES</t>
  </si>
  <si>
    <t>DIFERENCIAL FI RENDA FIXA LP</t>
  </si>
  <si>
    <t>GERAÇÃO FUTURO DIVIDENDOS FI AÇÕES</t>
  </si>
  <si>
    <t>GRAU SAVANA INSTITUCIONAL FI MULTIMERCADO</t>
  </si>
  <si>
    <t>HSBC ATIVO REGIMES DE PREVIDÊNCIA FI RENDA FIXA</t>
  </si>
  <si>
    <t>HSBC FI REFERENCIADO DI LP</t>
  </si>
  <si>
    <t>HSBC REGIMES DE PREVIDÊNCIA ATIVO FI RENDA FIXA IPCA</t>
  </si>
  <si>
    <t>HSBC REGIMES DE PREVIDÊNCIA IBOVESPA FIC AÇÕES</t>
  </si>
  <si>
    <t>ITÁLIA FIDC MULTISSETORIAL SÊNIOR</t>
  </si>
  <si>
    <t>ITAÚ INSTITUCIONAL FI REFERENCIADO DI</t>
  </si>
  <si>
    <t>ITAÚ INSTITUCIONAL INFLAÇÃO 5 FIC RENDA FIXA</t>
  </si>
  <si>
    <t>ITAÚ INSTITUCIONAL INFLAÇÃO FIC RENDA FIXA</t>
  </si>
  <si>
    <t>ITAÚ INSTITUCIONAL JUROS E MOEDAS FI MULTIMERCADO</t>
  </si>
  <si>
    <t>ITAÚ INSTITUCIONAL PRÉ-FIXADO FIC RENDA FIXA LP</t>
  </si>
  <si>
    <t>ITAÚ SOBERANO FI REFERENCIADO DI LP</t>
  </si>
  <si>
    <t>ITAÚ SOBERANO IRFM 1 FI RENDA FIXA</t>
  </si>
  <si>
    <t>JMALUCELLI SMALL CAPS FI AÇÕES</t>
  </si>
  <si>
    <t>LEME IPCA FIDC MULTISSETORIAL SÊNIOR 1</t>
  </si>
  <si>
    <t>MASTER III FIDC MULTISSETORIAL SÊNIOR</t>
  </si>
  <si>
    <t>MAXPREV FICFIDC MULTISSETORIAL</t>
  </si>
  <si>
    <t>PREMIUM FIDC SÊNIOR</t>
  </si>
  <si>
    <t>QT IPCA JUROS REAL FIDC SÊNIOR</t>
  </si>
  <si>
    <t>RB CAPITAL RENDA II FII - RBRD11</t>
  </si>
  <si>
    <t>RP FI RENDA FIXA CRÉDITO PRIVADO I</t>
  </si>
  <si>
    <t>RPPS CPP 540 ABERTO FIDC SÊNIOR</t>
  </si>
  <si>
    <t>SAFRA CARTEIRA INSTITUCIONAL FI MULTIMERCADO</t>
  </si>
  <si>
    <t>SAFRA IMA FIC RENDA FIXA</t>
  </si>
  <si>
    <t>SANTANDER CORPORATE FIC REFERENCIADO DI</t>
  </si>
  <si>
    <t>SANTANDER IMA-B 5 TÍTULOS PUBLICOS FIC RENDA FIXA</t>
  </si>
  <si>
    <t>SANTANDER IMA-B INSTITUCIONAL TÍTULOS PÚBLICOS FIC RENDA FIXA LP</t>
  </si>
  <si>
    <t>SANTANDER IMA-B TÍTULOS PÚBLICOS FIC RENDA FIXA LP</t>
  </si>
  <si>
    <t>SANTANDER IRF M 1+ TÍTULOS PÚBLICOS FIC RENDA FIXA</t>
  </si>
  <si>
    <t>SANTANDER IRF-M 1 TÍTULOS PÚBLICOS FIC RENDA FIXA</t>
  </si>
  <si>
    <t>SANTANDER PETROBRAS PLUS FIC AÇÕES</t>
  </si>
  <si>
    <t>SANTANDER PRIORITY FIC REFERENCIADO DI</t>
  </si>
  <si>
    <t>SANTANDER SÊNIOR FIC REFERENCIADO DI</t>
  </si>
  <si>
    <t>SANTANDER SMALL CAP FI AÇÕES</t>
  </si>
  <si>
    <t>SANTOS CREDIT YIELD FI RENDA FIXA CRÉDITO PRIVADO</t>
  </si>
  <si>
    <t>SCHRODER IBRX 50 FI AÇÕES</t>
  </si>
  <si>
    <t>SECURITY FI REFERENCIADO DI CRÉDITO PRIVADO LP</t>
  </si>
  <si>
    <t>SICREDI INSTITUCIONAL IRF-M FI RENDA FIXA LP</t>
  </si>
  <si>
    <t>URCA FI RENDA FIXA PREVIDENCIÁRIO CRÉDITO PRIVADO</t>
  </si>
  <si>
    <t>BNB Plus</t>
  </si>
  <si>
    <t>BNB Previdência</t>
  </si>
  <si>
    <t>Banestes Ações</t>
  </si>
  <si>
    <t>Banestes Previdenciário</t>
  </si>
  <si>
    <t>Banestes Institucional</t>
  </si>
  <si>
    <t>Banestes VIP DI</t>
  </si>
  <si>
    <t>BB Comercial 17</t>
  </si>
  <si>
    <t>BB Multimercado</t>
  </si>
  <si>
    <t>BB Fluxo</t>
  </si>
  <si>
    <t>BB RPPS Ações</t>
  </si>
  <si>
    <t>BB IDKA 2</t>
  </si>
  <si>
    <t>BB IMA-B</t>
  </si>
  <si>
    <t>BB IMA-B TP</t>
  </si>
  <si>
    <t>BB IMA-B 5+</t>
  </si>
  <si>
    <t>BB IMA Geral</t>
  </si>
  <si>
    <t>BB IPCA III CP</t>
  </si>
  <si>
    <t>BB IRF-M1</t>
  </si>
  <si>
    <t>BB IRF-M</t>
  </si>
  <si>
    <t>BB Perfil</t>
  </si>
  <si>
    <t>BB IPCA I CP</t>
  </si>
  <si>
    <t>BCSUL 360 FIDC</t>
  </si>
  <si>
    <t>BMG RPPS FIDC</t>
  </si>
  <si>
    <t>Bradesco Federal DI</t>
  </si>
  <si>
    <t>Bradesco IMA-B 5+</t>
  </si>
  <si>
    <t>Bradesco IMA-B</t>
  </si>
  <si>
    <t>Bradesco IMA-B TP</t>
  </si>
  <si>
    <t>Bradesco IMA-Geral</t>
  </si>
  <si>
    <t>Bradesco IRF-M1</t>
  </si>
  <si>
    <t>Bradesco IRF-M1 TP</t>
  </si>
  <si>
    <t>Bradesco Maxi</t>
  </si>
  <si>
    <t>Bradesco Ibovespa</t>
  </si>
  <si>
    <t>Bradesco PP DI</t>
  </si>
  <si>
    <t>Bradesco Premium DI</t>
  </si>
  <si>
    <t>BTG Pactual IMA-B</t>
  </si>
  <si>
    <t>Caixa Aliança</t>
  </si>
  <si>
    <t>Caixa Disponibilidades</t>
  </si>
  <si>
    <t>Caixa ETF Ibovespa</t>
  </si>
  <si>
    <t>Caixa Ref. DI LP</t>
  </si>
  <si>
    <t>Caixa IPCA I CP</t>
  </si>
  <si>
    <t>Caixa Ibovespa</t>
  </si>
  <si>
    <t>Caixa IBX 50</t>
  </si>
  <si>
    <t>Caixa IDKA 2A</t>
  </si>
  <si>
    <t>Caixa IMA-B 5</t>
  </si>
  <si>
    <t>Caixa IMA-B 5+</t>
  </si>
  <si>
    <t>Caixa IMA-B</t>
  </si>
  <si>
    <t>Caixa IMA Geral</t>
  </si>
  <si>
    <t>Caixa I Multimercado</t>
  </si>
  <si>
    <t>Caixa V Multimercado</t>
  </si>
  <si>
    <t>Caixa VII Multimercado</t>
  </si>
  <si>
    <t>Caixa VIII Multimercado</t>
  </si>
  <si>
    <t>Caixa IRF-M1</t>
  </si>
  <si>
    <t>Caixa IRF-M1+</t>
  </si>
  <si>
    <t>Caixa IRF-M</t>
  </si>
  <si>
    <t>Caixa IPCA IX CP</t>
  </si>
  <si>
    <t>Caixa Brasil TP</t>
  </si>
  <si>
    <t>Caixa IPCA VI CP</t>
  </si>
  <si>
    <t>Caixa IPCA VIII CP</t>
  </si>
  <si>
    <t>Caixa IPCA X CP</t>
  </si>
  <si>
    <t>Caixa IPCA XII CP</t>
  </si>
  <si>
    <t>Caixa IPCA XIII CP</t>
  </si>
  <si>
    <t>Caixa IPCA XIV CP</t>
  </si>
  <si>
    <t>Caixa IPCA XV CP</t>
  </si>
  <si>
    <t>Caixa Ideal</t>
  </si>
  <si>
    <t>Caixa Novo Brasil IMA-B</t>
  </si>
  <si>
    <t>Caixa Consignado FIDC</t>
  </si>
  <si>
    <t>Caixa Soberano</t>
  </si>
  <si>
    <t>Caixa Dividendos Ações</t>
  </si>
  <si>
    <t>Caixa Small Cap Ações</t>
  </si>
  <si>
    <t>Diferencial</t>
  </si>
  <si>
    <t>Geração Futuro Ações</t>
  </si>
  <si>
    <t>Grau Savana Multimercado</t>
  </si>
  <si>
    <t>HSBC Ativo Previdência</t>
  </si>
  <si>
    <t>HSBC Referenciado DI</t>
  </si>
  <si>
    <t>HSBC Ativo IPCA</t>
  </si>
  <si>
    <t>HSBC Ibovespa</t>
  </si>
  <si>
    <t>Itália FIDC</t>
  </si>
  <si>
    <t>Itaú Referenciado DI</t>
  </si>
  <si>
    <t>Itaú IBRX Ações</t>
  </si>
  <si>
    <t>Itaú Inflação 5</t>
  </si>
  <si>
    <t>Itaú Inflação</t>
  </si>
  <si>
    <t>Itaú Multimercado</t>
  </si>
  <si>
    <t>Itaú Pré-Fixado</t>
  </si>
  <si>
    <t>Itaú Soberano Ref. DI</t>
  </si>
  <si>
    <t>Itaú IRF-M1</t>
  </si>
  <si>
    <t>Jmalucelli Ações</t>
  </si>
  <si>
    <t>Leme IPCA FIDC</t>
  </si>
  <si>
    <t>Master III FIDC</t>
  </si>
  <si>
    <t>Maxprev FIDC</t>
  </si>
  <si>
    <t>Premium FIDC</t>
  </si>
  <si>
    <t>QT IPCA FIDC</t>
  </si>
  <si>
    <t>RB Capital Renda II FII</t>
  </si>
  <si>
    <t>RP Crédito Privado</t>
  </si>
  <si>
    <t>RPPS 540 FIDC</t>
  </si>
  <si>
    <t>Safra Multimercado</t>
  </si>
  <si>
    <t>Safra IMA</t>
  </si>
  <si>
    <t>Santander Corporate DI</t>
  </si>
  <si>
    <t>Santander IMA-B 5</t>
  </si>
  <si>
    <t>Santander IMA-B Inst.</t>
  </si>
  <si>
    <t>Santander IMA-B</t>
  </si>
  <si>
    <t>Santander IRF-M1+</t>
  </si>
  <si>
    <t>Santander Petrobrás</t>
  </si>
  <si>
    <t>Santander Priority DI</t>
  </si>
  <si>
    <t>Santander Sênior DI</t>
  </si>
  <si>
    <t>Santander Small Cap</t>
  </si>
  <si>
    <t>Santos CP</t>
  </si>
  <si>
    <t>Schroder IBRX 50 Ações</t>
  </si>
  <si>
    <t>Security CP</t>
  </si>
  <si>
    <t>Sicredi IMA-B</t>
  </si>
  <si>
    <t>Sicredi IRF-M</t>
  </si>
  <si>
    <t>Sicredi Performance</t>
  </si>
  <si>
    <t>Urca CP</t>
  </si>
  <si>
    <t>12.845.801/0001-37</t>
  </si>
  <si>
    <t>06.124.241/0001-29</t>
  </si>
  <si>
    <t>08.266.261/0001-60</t>
  </si>
  <si>
    <t>00.787.095/0001-35</t>
  </si>
  <si>
    <t>09.594.596/0001-70</t>
  </si>
  <si>
    <t>05.357.507/0001-10</t>
  </si>
  <si>
    <t>01.587.403/0001-41</t>
  </si>
  <si>
    <t>04.857.834/0001-79</t>
  </si>
  <si>
    <t>10.418.362/0001-50</t>
  </si>
  <si>
    <t>13.077.415/0001-05</t>
  </si>
  <si>
    <t>10.418.335/0001-88</t>
  </si>
  <si>
    <t>13.322.205/0001-35</t>
  </si>
  <si>
    <t>07.861.554/0001-22</t>
  </si>
  <si>
    <t>07.442.078/0001-05</t>
  </si>
  <si>
    <t>13.327.340/0001-73</t>
  </si>
  <si>
    <t>14.964.240/0001-10</t>
  </si>
  <si>
    <t>14.091.645/0001-91</t>
  </si>
  <si>
    <t>11.328.882/0001-35</t>
  </si>
  <si>
    <t>07.111.384/0001-69</t>
  </si>
  <si>
    <t>02.506.721/0001-01</t>
  </si>
  <si>
    <t>13.077.418/0001-49</t>
  </si>
  <si>
    <t>13.848.527/0001-12</t>
  </si>
  <si>
    <t>06.318.094/0001-28</t>
  </si>
  <si>
    <t>12.604.345/0001-33</t>
  </si>
  <si>
    <t>03.256.793/0001-00</t>
  </si>
  <si>
    <t>13.400.077/0001-09</t>
  </si>
  <si>
    <t>08.702.798/0001-25</t>
  </si>
  <si>
    <t>10.986.880/0001-70</t>
  </si>
  <si>
    <t>08.246.318/0001-69</t>
  </si>
  <si>
    <t>11.492.176/0001-24</t>
  </si>
  <si>
    <t>11.484.558/0001-06</t>
  </si>
  <si>
    <t>08.246.263/0001-97</t>
  </si>
  <si>
    <t>03.394.711/0001-86</t>
  </si>
  <si>
    <t>07.187.570/0001-81</t>
  </si>
  <si>
    <t>03.399.411/0001-90</t>
  </si>
  <si>
    <t>09.814.233/0001-00</t>
  </si>
  <si>
    <t>05.164.358/0001-73</t>
  </si>
  <si>
    <t>14.508.643/0001-55</t>
  </si>
  <si>
    <t>15.154.236/0001-50</t>
  </si>
  <si>
    <t>03.737.206/0001-97</t>
  </si>
  <si>
    <t>12.321.753/0001-88</t>
  </si>
  <si>
    <t>13.058.816/0001-18</t>
  </si>
  <si>
    <t>03.737.217/0001-77</t>
  </si>
  <si>
    <t>14.386.926/0001-71</t>
  </si>
  <si>
    <t>11.060.913/0001-10</t>
  </si>
  <si>
    <t>10.577.503/0001-88</t>
  </si>
  <si>
    <t>10.740.658/0001-93</t>
  </si>
  <si>
    <t>11.061.217/0001-28</t>
  </si>
  <si>
    <t>14.120.027/0001-22</t>
  </si>
  <si>
    <t>14.120.277/0001-62</t>
  </si>
  <si>
    <t>14.120.236/0001-76</t>
  </si>
  <si>
    <t>14.120.452/0001-11</t>
  </si>
  <si>
    <t>10.740.670/0001-06</t>
  </si>
  <si>
    <t>10.577.519/0001-90</t>
  </si>
  <si>
    <t>14.508.605/0001-00</t>
  </si>
  <si>
    <t>12.321.826/0001-31</t>
  </si>
  <si>
    <t>05.164.356/0001-84</t>
  </si>
  <si>
    <t>12.321.787/0001-72</t>
  </si>
  <si>
    <t>12.321.820/0001-64</t>
  </si>
  <si>
    <t>12.321.730/0001-73</t>
  </si>
  <si>
    <t>12.321.708/0001-23</t>
  </si>
  <si>
    <t>13.058.824/0001-64</t>
  </si>
  <si>
    <t>13.058.820/0001-86</t>
  </si>
  <si>
    <t>13.058.879/0001-74</t>
  </si>
  <si>
    <t>01.525.057/0001-77</t>
  </si>
  <si>
    <t>68.623.479/0001-56</t>
  </si>
  <si>
    <t>10.646.895/0001-90</t>
  </si>
  <si>
    <t>14.728.096/0001-13</t>
  </si>
  <si>
    <t>02.323.746/0001-61</t>
  </si>
  <si>
    <t>15.154.441/0001-15</t>
  </si>
  <si>
    <t>14.507.699/0001-95</t>
  </si>
  <si>
    <t>11.902.276/0001-81</t>
  </si>
  <si>
    <t>11.898.349/0001-09</t>
  </si>
  <si>
    <t>01.653.201/0001-50</t>
  </si>
  <si>
    <t>11.203.389/0001-99</t>
  </si>
  <si>
    <t>00.975.480/0001-06</t>
  </si>
  <si>
    <t>12.030.068/0001-00</t>
  </si>
  <si>
    <t>11.232.995/0001-32</t>
  </si>
  <si>
    <t>13.990.000/0001-28</t>
  </si>
  <si>
    <t>00.832.435/0001-00</t>
  </si>
  <si>
    <t>02.228.453/0001-03</t>
  </si>
  <si>
    <t>09.093.819/0001-15</t>
  </si>
  <si>
    <t>10.474.513/0001-98</t>
  </si>
  <si>
    <t>00.973.117/0001-51</t>
  </si>
  <si>
    <t>10.396.381/0001-23</t>
  </si>
  <si>
    <t>06.175.696/0001-73</t>
  </si>
  <si>
    <t>08.703.063/0001-16</t>
  </si>
  <si>
    <t>09.550.197/0001-07</t>
  </si>
  <si>
    <t>12.440.789/0001-80</t>
  </si>
  <si>
    <t>12.138.813/0001-21</t>
  </si>
  <si>
    <t>11.902.340/0001-24</t>
  </si>
  <si>
    <t>06.018.364/0001-85</t>
  </si>
  <si>
    <t>11.198.684/0001-02</t>
  </si>
  <si>
    <t>09.006.914/0001-34</t>
  </si>
  <si>
    <t>10.697.953/0001-04</t>
  </si>
  <si>
    <t>06.318.153/0001-68</t>
  </si>
  <si>
    <t>08.160.794/0001-62</t>
  </si>
  <si>
    <t>10.787.822/0001-18</t>
  </si>
  <si>
    <t>03.069.104/0001-40</t>
  </si>
  <si>
    <t>13.455.117/0001-01</t>
  </si>
  <si>
    <t>14.504.578/0001-90</t>
  </si>
  <si>
    <t>11.180.607/0001-17</t>
  </si>
  <si>
    <t>13.455.247/0001-44</t>
  </si>
  <si>
    <t>10.979.017/0001-96</t>
  </si>
  <si>
    <t>09.421.760/0001-47</t>
  </si>
  <si>
    <t>00.856.755/0001-92</t>
  </si>
  <si>
    <t>02.543.811/0001-64</t>
  </si>
  <si>
    <t>08.537.792/0001-40</t>
  </si>
  <si>
    <t>04.877.280/0001-71</t>
  </si>
  <si>
    <t>07.936.595/0001-30</t>
  </si>
  <si>
    <t>09.315.625/0001-17</t>
  </si>
  <si>
    <t>11.087.118/0001-15</t>
  </si>
  <si>
    <t>13.081.159/0001-20</t>
  </si>
  <si>
    <t>07.277.931/0001-80</t>
  </si>
  <si>
    <t>10.705.306/0001-05</t>
  </si>
  <si>
    <t>ID</t>
  </si>
  <si>
    <t>Nome do Fundo &gt;&gt;&gt;</t>
  </si>
  <si>
    <t>Administrador</t>
  </si>
  <si>
    <t>BNY Mellon Serviços Financeiros</t>
  </si>
  <si>
    <t>Banco do Nordeste do Brasil</t>
  </si>
  <si>
    <t>Banestes DTVM</t>
  </si>
  <si>
    <t>Banco do Estado do Espírito Santo</t>
  </si>
  <si>
    <t>BB Gestão de Recursos DTVM</t>
  </si>
  <si>
    <t>Cruzeiro do Sul DTVM</t>
  </si>
  <si>
    <t>BEM DTVM</t>
  </si>
  <si>
    <t>Banco Bradesco</t>
  </si>
  <si>
    <t>BTG Pactual Serviços Financeiros</t>
  </si>
  <si>
    <t>Caixa Econômica Federal</t>
  </si>
  <si>
    <t>Geração Futuro</t>
  </si>
  <si>
    <t>Intrag DTVM</t>
  </si>
  <si>
    <t>HSBC Bank Brasil</t>
  </si>
  <si>
    <t>BRL Trust DTVM</t>
  </si>
  <si>
    <t>Banco Itaucard</t>
  </si>
  <si>
    <t>Itaú Unibanco</t>
  </si>
  <si>
    <t>JMalucelli Investimentos</t>
  </si>
  <si>
    <t>Gradual Investimentos</t>
  </si>
  <si>
    <t>Citibank DTVM</t>
  </si>
  <si>
    <t>PETRA</t>
  </si>
  <si>
    <t>Votorantim Asset Management</t>
  </si>
  <si>
    <t>Oliveira Trust Servicer</t>
  </si>
  <si>
    <t>J Safra Asset Management</t>
  </si>
  <si>
    <t>Banco Santander</t>
  </si>
  <si>
    <t>Banco Cooperativo Sicredi</t>
  </si>
  <si>
    <t>Gestão</t>
  </si>
  <si>
    <t>Ático Asset Management</t>
  </si>
  <si>
    <t>Verax</t>
  </si>
  <si>
    <t>Integral Investimentos</t>
  </si>
  <si>
    <t>Bradesco Asset Management</t>
  </si>
  <si>
    <t>BTG Pactual Gestora de Recursos</t>
  </si>
  <si>
    <t>Vinci Partners</t>
  </si>
  <si>
    <t>Drachma Capital</t>
  </si>
  <si>
    <t>Grau Gestão de Ativos</t>
  </si>
  <si>
    <t>HSBC Global Asset Management</t>
  </si>
  <si>
    <t>Vila Rica Capital</t>
  </si>
  <si>
    <t>Leme Investimentos</t>
  </si>
  <si>
    <t>Brasil Plural Gestão de Recursos</t>
  </si>
  <si>
    <t>Aggrega Investimentos</t>
  </si>
  <si>
    <t>Quatá Investimentos</t>
  </si>
  <si>
    <t>RB Capital</t>
  </si>
  <si>
    <t>Oliveira Trust DTVM</t>
  </si>
  <si>
    <t>BRB DTVM</t>
  </si>
  <si>
    <t>Santander Brasil Asset Management</t>
  </si>
  <si>
    <t>Schroder Investment Management Brasil</t>
  </si>
  <si>
    <t>Security Administradora de Recursos</t>
  </si>
  <si>
    <t>Quantitas Asset Management</t>
  </si>
  <si>
    <t>Acrux Capital Management</t>
  </si>
  <si>
    <t>Banco BM&amp;F</t>
  </si>
  <si>
    <t>Banco do Brasil</t>
  </si>
  <si>
    <t>Deutsche Bank</t>
  </si>
  <si>
    <t>Banco BTG Pactual</t>
  </si>
  <si>
    <t>HSBC Corretora</t>
  </si>
  <si>
    <t>Banco PETRA</t>
  </si>
  <si>
    <t>Banco Safra</t>
  </si>
  <si>
    <t>BNY Mellon Corporate Trust</t>
  </si>
  <si>
    <t>Custodiante</t>
  </si>
  <si>
    <t>Benchmark</t>
  </si>
  <si>
    <t>IMA-B 5</t>
  </si>
  <si>
    <t>CDI</t>
  </si>
  <si>
    <t>IMA-B</t>
  </si>
  <si>
    <t>Ibovespa</t>
  </si>
  <si>
    <t>Não Informado</t>
  </si>
  <si>
    <t>Não definido</t>
  </si>
  <si>
    <t>IMA-B 5+</t>
  </si>
  <si>
    <t>IMA Geral</t>
  </si>
  <si>
    <t>IRF-M</t>
  </si>
  <si>
    <t>Taxa de juro prefixada</t>
  </si>
  <si>
    <t>112% do CDI</t>
  </si>
  <si>
    <t>Selic</t>
  </si>
  <si>
    <t>IBX 50</t>
  </si>
  <si>
    <t>IPCA +6%</t>
  </si>
  <si>
    <t>CDI +3,5%</t>
  </si>
  <si>
    <t>IBX</t>
  </si>
  <si>
    <t>IPCA +7%</t>
  </si>
  <si>
    <t>Não se aplica</t>
  </si>
  <si>
    <t>IPCA + 101,5% da Taxa máxima real de juros</t>
  </si>
  <si>
    <t>IPCA +8%</t>
  </si>
  <si>
    <t>Forma de Condomínio</t>
  </si>
  <si>
    <t>Carência</t>
  </si>
  <si>
    <t>Aberto</t>
  </si>
  <si>
    <t>Não há</t>
  </si>
  <si>
    <t>Fechado</t>
  </si>
  <si>
    <t>5 anos</t>
  </si>
  <si>
    <t>90 dias</t>
  </si>
  <si>
    <t>18 meses</t>
  </si>
  <si>
    <t>Enquadramento</t>
  </si>
  <si>
    <t>FI Renda Fixa/Referenciados RF - Art. 7º, III</t>
  </si>
  <si>
    <t>FI de Renda Fixa - Art. 7º, IV</t>
  </si>
  <si>
    <t>FI 100% títulos TN - Art. 7º, I, "b"</t>
  </si>
  <si>
    <t>FI em Ações - Art. 8º, III</t>
  </si>
  <si>
    <t>FI Multimercado - aberto - Art. 8º, IV</t>
  </si>
  <si>
    <t>FI Renda Fixa "Crédito Privado" - Art. 7º, VII, "b"</t>
  </si>
  <si>
    <t>FI em Direitos Creditórios - Aberto - Art. 7º, VI</t>
  </si>
  <si>
    <t>FI Ações referenciados - Art. 8º, I</t>
  </si>
  <si>
    <t>FI de Índices Referenciados em Ações - Art. 8º, II</t>
  </si>
  <si>
    <t>FI em Direitos Creditórios - Fechado - Art. 7º, VII, "a"</t>
  </si>
  <si>
    <t>FI Imobiliário - cotas negociadas em bolsa - Art. 8º, VI</t>
  </si>
  <si>
    <t>Ativo em Enquadramento</t>
  </si>
  <si>
    <t>Títulos Tesouro Nacional - SELIC - Art. 7º, I, "a"</t>
  </si>
  <si>
    <t>Operações Compromissadas - Art. 7º, II</t>
  </si>
  <si>
    <t>Poupança - Art. 7º, V</t>
  </si>
  <si>
    <t>FI em Participações - fechado - Art. 8º, V</t>
  </si>
  <si>
    <t>ENQUADRAMENTO</t>
  </si>
  <si>
    <t>Limite/Fundo</t>
  </si>
  <si>
    <t>Limite</t>
  </si>
  <si>
    <t>Segmento</t>
  </si>
  <si>
    <t>Renda Fixa</t>
  </si>
  <si>
    <t>Renda Variável</t>
  </si>
  <si>
    <t>Instituição Financeira</t>
  </si>
  <si>
    <t>60.746.948/0001-12</t>
  </si>
  <si>
    <t>59.281.253/0001-23</t>
  </si>
  <si>
    <t>01.181.521/0001-55</t>
  </si>
  <si>
    <t>30.822.936/0001-69</t>
  </si>
  <si>
    <t>28.127.603/0001-78</t>
  </si>
  <si>
    <t>07.237.373/0001-20</t>
  </si>
  <si>
    <t>11.758.741/0001-52</t>
  </si>
  <si>
    <t>58.160.789/0001-28</t>
  </si>
  <si>
    <t>90.400.888/0001-42</t>
  </si>
  <si>
    <t>02.201.501/0001-61</t>
  </si>
  <si>
    <t>00.360.305/0001-04</t>
  </si>
  <si>
    <t>33.868.597/0001-40</t>
  </si>
  <si>
    <t>62.331.228/0001-11</t>
  </si>
  <si>
    <t>01.701.201/0001-89</t>
  </si>
  <si>
    <t>17.192.451/0001-70</t>
  </si>
  <si>
    <t>CNPJ Custodiante</t>
  </si>
  <si>
    <t>Data</t>
  </si>
  <si>
    <t>Valor</t>
  </si>
  <si>
    <t>Variação</t>
  </si>
  <si>
    <t>IBOVESPA</t>
  </si>
  <si>
    <t>Nome Completo do Fundo</t>
  </si>
  <si>
    <t xml:space="preserve"> </t>
  </si>
  <si>
    <t>Valor Atual</t>
  </si>
  <si>
    <t>% do PL do RPPS</t>
  </si>
  <si>
    <t>Limite Resolução CVM 3922/10</t>
  </si>
  <si>
    <t>% do PL do Fundo</t>
  </si>
  <si>
    <t>Retorno R$</t>
  </si>
  <si>
    <t>Retorno %</t>
  </si>
  <si>
    <t>CARTEIRA</t>
  </si>
  <si>
    <t>PL</t>
  </si>
  <si>
    <t>Var</t>
  </si>
  <si>
    <t>Sharpe CDI</t>
  </si>
  <si>
    <t>Sharpe Ibovespa</t>
  </si>
  <si>
    <t>PL do Fundo</t>
  </si>
  <si>
    <t>Índice</t>
  </si>
  <si>
    <t>Taxa</t>
  </si>
  <si>
    <t>Total</t>
  </si>
  <si>
    <t>RELATÓRIO DE DESEMPENHO MENSAL</t>
  </si>
  <si>
    <t>Em atendimento a Resolução CMN 3.922/10 de acordo com os artigos:</t>
  </si>
  <si>
    <t>Índice Sharpe</t>
  </si>
  <si>
    <t>Limite Resolução</t>
  </si>
  <si>
    <t>Retorno (R$)</t>
  </si>
  <si>
    <t>Retorno (%)</t>
  </si>
  <si>
    <t xml:space="preserve">E pela Portaria MPS nº. 403 </t>
  </si>
  <si>
    <t>“Art. 9º. A taxa real de juros utilizada na avaliação atuarial deverá ter como referência a meta estabelecida para as aplicações dos recursos do RPPS na Política de Investimentos do RPPS, limitada ao máximo de 6% (seis por cento) ao ano”.</t>
  </si>
  <si>
    <t>1. Avaliação de Rentabilidade versus Meta Atuarial</t>
  </si>
  <si>
    <t>1.1. Cálculo da meta atuarial</t>
  </si>
  <si>
    <t>“Art. 4º. Os responsáveis pela gestão do regime próprio de previdência social, antes do exercício a que se referir, deverão definir a política anual de aplicação dos recursos de forma a contemplar, no mínimo:</t>
  </si>
  <si>
    <t>II – a estratégia de alocação dos recursos entre os diversos segmentos de aplicação e as respectivas carteiras de investimentos;</t>
  </si>
  <si>
    <t>III – os parâmetros de rentabilidade perseguidos, que deverão buscar compatibilidade com o perfil de suas obrigações, tendo em vista a necessidade de busca e manutenção do equilíbrio financeiro e atuarial e os limites de diversificação e concentração.”</t>
  </si>
  <si>
    <t>A seguir será calculado o retorno para cada investimento e também a rentabilidade da carteira do RPPS.</t>
  </si>
  <si>
    <t>Meta</t>
  </si>
  <si>
    <t>% da Meta</t>
  </si>
  <si>
    <t>Mês</t>
  </si>
  <si>
    <t>Saldo Mês Anterior</t>
  </si>
  <si>
    <t>Saldo Mês Atual</t>
  </si>
  <si>
    <t>RISCO DE MERCADO</t>
  </si>
  <si>
    <t>2. Gerenciamento do Risco de Mercado</t>
  </si>
  <si>
    <t xml:space="preserve">             O conceito de risco pode ser entendido de diversas maneiras, dependendo do contexto da pessoa que o está avaliando. O risco pode ser entendido como a volatilidade de resultados futuros ou pelo nível de incerteza associado a um acontecimento. No caso financeiro, os resultados futuros relacionam-se, geralmente, ao valor de ativos e passivos.</t>
  </si>
  <si>
    <t xml:space="preserve">             A mensuração do risco de um investimento processa-se, geralmente, por meio de critérios probabilísticos, o qual consiste em atribuir probabilidades subjetivas ou objetivas aos diferentes estados da natureza esperados e, em conseqüência, aos possíveis resultados do investimento. Dessa maneira, é delineada uma distribuição de probabilidades dos resultados esperados, e são mensuradas suas principais medidas de dispersão e avaliação do risco.</t>
  </si>
  <si>
    <t xml:space="preserve">             A probabilidade objetiva pode ser definida a partir de séries históricas de dados e informações, freqüências relativas observadas e experiência acumulada no passado. A probabilidade subjetiva, por seu lado, tem como base a intuição, o conhecimento, a experiência do investimento e, até mesmo, um certo grau de crença da unidade tomadora de decisão.</t>
  </si>
  <si>
    <t xml:space="preserve">             Nesse ambiente, o risco pode ser interpretado pelos desvios previsíveis dos fluxos futuros de caixa resultantes de uma decisão de investimento, encontrando-se associado a fatos considerados como de natureza incerta. Em outras palavras, uma vez que o risco representa a incerteza ou a dispersão dos resultados futuros, é conveniente relacioná-lo ao desvio-padrão da distribuição dos resultados esperados.</t>
  </si>
  <si>
    <t xml:space="preserve">             Considerando que os fatos do passado que interferiram na oscilação (volatilidade) das cotas se repitam no futuro, adicionamos como medida de perda esperada para o próximo dia (um dia) o cálculo do VaR- Value at Risk.</t>
  </si>
  <si>
    <t>2.1. VaR – Value at Risk</t>
  </si>
  <si>
    <t>2.2. VaR – Value at Risk</t>
  </si>
  <si>
    <t>Saldo no Mês</t>
  </si>
  <si>
    <t>2.3. VaR da Carteira</t>
  </si>
  <si>
    <t>2.4. Índice de Sharpe</t>
  </si>
  <si>
    <t xml:space="preserve">             O Índice Sharpe foi criado por Willian Sharpe, em 1966, é um dos mais utilizados na avaliação de fundos de investimento.</t>
  </si>
  <si>
    <t xml:space="preserve">             Esse índice é um indicador de performance que ajusta o retorno ao risco. Este índice avalia se um determinado fundo de investimento apresenta uma rentabilidade ponderada ao risco que o investidor está exposto. Descrevemos a fórmula abaixo:</t>
  </si>
  <si>
    <t xml:space="preserve">             A volatilidade do fundo é o desvio-padrão dos retornos do fundo de investimento. Representa a oscilação desses retornos em relação a sua média. A volatilidade é um indicador de risco que informa quanto o retorno oscila em torno de uma tendência. Quanto mais oscilar o retorno do investimento, maior será o risco, e maior será o valor da volatilidade.</t>
  </si>
  <si>
    <t xml:space="preserve">             Pode se dizer que mais importante que ver o Sharpe de um fundo é conhecer os números que resultaram nele. O numerador é uma informação de rentabilidade real média, porque diz em quanto na média o rendimento do fundo superou ou ficou abaixo da variação do indexador.</t>
  </si>
  <si>
    <t xml:space="preserve">             O denominador tem muito mais a dizer sobre o fundo. Por ser o desvio padrão, é um indicativo da oscilação, da volatilidade, do fundo. Portanto, do seu risco. Quanto maior o desvio padrão, maior a oscilação do fundo. E quanto maior a oscilação, maior o risco.</t>
  </si>
  <si>
    <t xml:space="preserve">             Nos rankings de carteiras com base no Índice Sharpe do fundo, desde que positivo, melhor a sua classificação.</t>
  </si>
  <si>
    <t xml:space="preserve">             Para cálculo do Sharpe foram utilizadas as taxa do CDI como taxa de juros sem risco para os fundos de renda fixa, e o cálculo foi feito com dados diários referentes ao mês do estudo em questão.</t>
  </si>
  <si>
    <t xml:space="preserve">             Quando o retorno do fundo for inferior a taxa livre de risco no nosso caso o CDI o Índice Sharpe será desconsiderado, visto que não faz sentido considerar o índice de um fundo que possui retorno inferior a um ativo livro de risco.</t>
  </si>
  <si>
    <t>2.5. Índice de Sharpe dos Fundos</t>
  </si>
  <si>
    <t>Nome do Fundos</t>
  </si>
  <si>
    <t>3. Enquadramento para efeito da Resolução CMN Nº 3.922/10</t>
  </si>
  <si>
    <t>a) Indexador</t>
  </si>
  <si>
    <t>b) Taxa de Juros</t>
  </si>
  <si>
    <t xml:space="preserve">                O Indexador geralmente é o IPCA (Índice de Preço ao Consumidor Amplo) ou INPC (Índice Nacional de Preço ao Consumidor).</t>
  </si>
  <si>
    <t xml:space="preserve">                O principal objetivo do RPPS é atingir a meta atuarial, sendo assim o primeiro passo consiste em calcular a meta para o referido mês do relatório e compará-lo com a rentabilidade dos fundos de investimento pertencentes à carteira do RPPS. Sendo assim será possível verificar se a meta atuarial está sendo cumprida.</t>
  </si>
  <si>
    <t xml:space="preserve">                A meta atuarial é composta por dois itens que são:</t>
  </si>
  <si>
    <t>Portanto a fórmula para o cálculo da metal atuarial no mês é:</t>
  </si>
  <si>
    <t>Logo a meta atuarial para esse mês é:</t>
  </si>
  <si>
    <t>Meta Atuarial</t>
  </si>
  <si>
    <t>Meta Mês</t>
  </si>
  <si>
    <t>1.3. Rentabilidade da Carteira do RPPS</t>
  </si>
  <si>
    <t>1.2. Cálculo da Rentabilidade da Carteira do RPPS</t>
  </si>
  <si>
    <t>1.4. Comparação da Rentabilidade Acumulada com a Meta Atuarial</t>
  </si>
  <si>
    <t xml:space="preserve">             Perda máxima esperada de um ativo para um dia ou para um mês, com 95% de confiança, considerando a volatilidade histórica do ativo em um período.</t>
  </si>
  <si>
    <t>VaR: value at risk de um ativo para 1 mês, com 95% de confiança, considerando a volatilidade histórica para um determinado tempo.</t>
  </si>
  <si>
    <r>
      <t>α</t>
    </r>
    <r>
      <rPr>
        <sz val="6"/>
        <color theme="1"/>
        <rFont val="Trebuchet MS"/>
        <family val="2"/>
      </rPr>
      <t>95%</t>
    </r>
    <r>
      <rPr>
        <sz val="10"/>
        <color theme="1"/>
        <rFont val="Trebuchet MS"/>
        <family val="2"/>
      </rPr>
      <t>: quantil de 95% da distribuição normal padrão arredondado para 3 casas decimais (1,645).</t>
    </r>
  </si>
  <si>
    <r>
      <t>V</t>
    </r>
    <r>
      <rPr>
        <sz val="6"/>
        <color theme="1"/>
        <rFont val="Trebuchet MS"/>
        <family val="2"/>
      </rPr>
      <t>T1,Tn</t>
    </r>
    <r>
      <rPr>
        <sz val="10"/>
        <color theme="1"/>
        <rFont val="Trebuchet MS"/>
        <family val="2"/>
      </rPr>
      <t>: volatilidade anualizada de um ativo no período entre as datas T1 e Tn.</t>
    </r>
  </si>
  <si>
    <t>Valor Total</t>
  </si>
  <si>
    <t>VaR (R$) de 1 dia</t>
  </si>
  <si>
    <t>VaR (%) de 1 dia</t>
  </si>
  <si>
    <t>VaR (R$) de 1 mês</t>
  </si>
  <si>
    <t>VaR (%) de 1 mês</t>
  </si>
  <si>
    <t xml:space="preserve">              Uma vez calculado o VaR de cada ativo isoladamente, calculamos o VaR da carteira, isto é, a perda máxima esperada da carteira como um todo, através da seguinte fórmula:</t>
  </si>
  <si>
    <t xml:space="preserve">              Nesta equação, a correlação entre os ativos tem que ser levada em consideração, isto é, é necessário observar se os ativos que compõe a carteira têm um comportamento semelhante (quando um sobe, o outro tende a subir), oposto (quando um cai, o outro tende a subir) ou se não existe associação entre o comportamento dos ativos. A correlação mede o grau de associação entre o retorno de dois ou mais ativos e é representada pela letra grega ρ (ro).</t>
  </si>
  <si>
    <t xml:space="preserve">              O VaR da carteira será sempre menor que a soma do VaR de todos os ativos, visto que para o cálculo do VaR da carteira é utilizado a correlação entre os ativos, portanto quanto menor for a correlação entre eles, menor será o VaR da carteira.</t>
  </si>
  <si>
    <t xml:space="preserve">              O VaR da carteira, assim como o VaR de cada ativo representa o valor máximo esperado de perda em 1 dia com 95% de confiança.</t>
  </si>
  <si>
    <t>Sharpe</t>
  </si>
  <si>
    <t>PL Fundo</t>
  </si>
  <si>
    <t>Enquadramento de acordo com a política de investimento</t>
  </si>
  <si>
    <t>Limite Resolução %</t>
  </si>
  <si>
    <t>Política de Investimento %</t>
  </si>
  <si>
    <t>% da Carteira</t>
  </si>
  <si>
    <t>% Carteira</t>
  </si>
  <si>
    <t>O cálculo do retorno (R$) é realizado da seguinte maneira:</t>
  </si>
  <si>
    <t>Retorno (R$) = Saldo Atual + Resgate - Aplicações - Saldo Anterior</t>
  </si>
  <si>
    <t xml:space="preserve">  </t>
  </si>
  <si>
    <t>Retonro (%) = Retorno (R$)/(Saldo Anterior + Aplicações)</t>
  </si>
  <si>
    <t>Janeiro</t>
  </si>
  <si>
    <t>% Meta</t>
  </si>
  <si>
    <t>VaR</t>
  </si>
  <si>
    <t>VaR =</t>
  </si>
  <si>
    <t>Logo o VaR da Carteira para 1 mês é:</t>
  </si>
  <si>
    <t>VaR (R$) =</t>
  </si>
  <si>
    <t>Relatório de Consultoria</t>
  </si>
  <si>
    <t>1. RENTABILIDADE MÉDIA</t>
  </si>
  <si>
    <t>4. GERENCIAMENTO DE RISCO</t>
  </si>
  <si>
    <t xml:space="preserve">   4.1 RISCO DE CRÉDITO</t>
  </si>
  <si>
    <t>Fundo</t>
  </si>
  <si>
    <t>Aplicação</t>
  </si>
  <si>
    <t>Rentabilidade</t>
  </si>
  <si>
    <t xml:space="preserve">         Caso o RPPS detenha fundos com Crédito Privado, a análise do crédito será feita a parte através da análise de avaliação de risco cedida por empresas com sede no país e fornecidas pelo RPPS para a Conexão Consultores.</t>
  </si>
  <si>
    <t xml:space="preserve">   4.2 RISCO DE MERCADO</t>
  </si>
  <si>
    <t xml:space="preserve">       4.2.1 VaR - VALUE AT RISK</t>
  </si>
  <si>
    <t xml:space="preserve">         O VaR representa o valor monetário das perdas no valor presente a que uma carteira está sujeita, a um determinado nível de confiança e dentro de um horizonte de tempo.</t>
  </si>
  <si>
    <t>VaR %</t>
  </si>
  <si>
    <t xml:space="preserve">       4.2.2 ÍNDICE SHARPE</t>
  </si>
  <si>
    <t xml:space="preserve">           O Índice Sharpe é um indicador de performance que ajusta o retorno ao risco, ou seja, ele avalia se um determinado fundo de investimento apresenta uma rentabilidade ponderada ao risco que o investidor está exposto.</t>
  </si>
  <si>
    <t>3. COMPARATIVO COM A META ATUARIAL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</si>
  <si>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</si>
  <si>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</si>
  <si>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</si>
  <si>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</si>
  <si>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</si>
  <si>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</si>
  <si>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</si>
  <si>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</si>
  <si>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</si>
  <si>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</si>
  <si>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</si>
  <si>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Acumulado</t>
  </si>
  <si>
    <t>2. ENQUADRAMENTO</t>
  </si>
  <si>
    <t>% PL do RPPS</t>
  </si>
  <si>
    <t>Art. 7º, I, "a"</t>
  </si>
  <si>
    <t>Art. 7º, I, "b"</t>
  </si>
  <si>
    <t>Art. 7º, II</t>
  </si>
  <si>
    <t>Art. 7º, III</t>
  </si>
  <si>
    <t>Art. 7º, IV</t>
  </si>
  <si>
    <t>Art. 7º, V</t>
  </si>
  <si>
    <t>Art. 7º, VI</t>
  </si>
  <si>
    <t>Art. 7º, VII, "a"</t>
  </si>
  <si>
    <t>Art. 7º, VII, "b"</t>
  </si>
  <si>
    <t>Art. 8º, I</t>
  </si>
  <si>
    <t>Art. 8º, II</t>
  </si>
  <si>
    <t>Art. 8º, III</t>
  </si>
  <si>
    <t>Art. 8º, IV</t>
  </si>
  <si>
    <t>Art. 8º, V</t>
  </si>
  <si>
    <t>Art. 8º, VI</t>
  </si>
  <si>
    <t>CNPJ Fundo</t>
  </si>
  <si>
    <t>Tipo de Ativo</t>
  </si>
  <si>
    <t>CNPJ Financeira</t>
  </si>
  <si>
    <t>Qt Cotas</t>
  </si>
  <si>
    <t>Valor da Cota</t>
  </si>
  <si>
    <t>Valor Total Atual</t>
  </si>
  <si>
    <t>Patrimônio Líquido</t>
  </si>
  <si>
    <t>% do PL</t>
  </si>
  <si>
    <t>Sharpe IFIX</t>
  </si>
  <si>
    <t>Valor Cota</t>
  </si>
  <si>
    <t>NTN-B - 2024</t>
  </si>
  <si>
    <t>NTN-C - 2031</t>
  </si>
  <si>
    <t>NTN-F - 2017</t>
  </si>
  <si>
    <t>NTN-F - 2021</t>
  </si>
  <si>
    <t>Títulos Públicos NTN-B vencimento em 2024</t>
  </si>
  <si>
    <t>Títulos Públicos NTN-C vencimento em 2032</t>
  </si>
  <si>
    <t>Títulos Públicos NTN-F vencimento em 2017</t>
  </si>
  <si>
    <t>Títulos Públicos NTN-F vencimento em 2021</t>
  </si>
  <si>
    <t>%</t>
  </si>
  <si>
    <t>Atualizar VaR</t>
  </si>
  <si>
    <t>BB TÍTULOS PÚBLICOS IPCA FI RENDA FIXA PREVIDENCIÁRIO</t>
  </si>
  <si>
    <t>15.486.093/0001-83</t>
  </si>
  <si>
    <t>CRV DTVM</t>
  </si>
  <si>
    <t>CAIXA RIO BRAVO FUNDO DE FUNDOS FII - CXRI11</t>
  </si>
  <si>
    <t>17.098.794/0001-70</t>
  </si>
  <si>
    <t>BB IPCA TP</t>
  </si>
  <si>
    <t>Caixa Rio Bravo</t>
  </si>
  <si>
    <t>BRADESCO INSTITUCIONAL IMA-B 5+ FIC RENDA FIXA</t>
  </si>
  <si>
    <t>BB TÍTULOS PÚBLICOS IPCA IV FI RENDA FIXA PREVIDENCIÁRIO</t>
  </si>
  <si>
    <t>19.515.015/0001-10</t>
  </si>
  <si>
    <t>ITAÚ INSTITUCIONAL IBRX ATIVO FIC AÇÕES</t>
  </si>
  <si>
    <t>BB IPCA IV</t>
  </si>
  <si>
    <t>18.598.117/0001-84</t>
  </si>
  <si>
    <t>Não informado</t>
  </si>
  <si>
    <t>Caixa Brasil I 2022 TP</t>
  </si>
  <si>
    <t xml:space="preserve">                A Taxa de Juros máxima utilizada para o cálculo da meta atuarial é:</t>
  </si>
  <si>
    <t>Taxa:</t>
  </si>
  <si>
    <t>Indexador:</t>
  </si>
  <si>
    <t>RETORNO DOS INVESTIMENTOS</t>
  </si>
  <si>
    <t>RETORNO ACUMULADO NO ANO</t>
  </si>
  <si>
    <t>Carteira</t>
  </si>
  <si>
    <t>Situação</t>
  </si>
  <si>
    <t>Segmento:</t>
  </si>
  <si>
    <t>Tipo de Ativo:</t>
  </si>
  <si>
    <t>Instituição Financeira:</t>
  </si>
  <si>
    <t>CNPJ da Instituição Financeira:</t>
  </si>
  <si>
    <t>Fundo:</t>
  </si>
  <si>
    <t>CNPJ do Fundo:</t>
  </si>
  <si>
    <t>Valor Total Atual:</t>
  </si>
  <si>
    <t>Patrimônio Líquido do Fundo:</t>
  </si>
  <si>
    <t>% do Patrimônio Líquido do Fundo:</t>
  </si>
  <si>
    <t>Valor da Cota:</t>
  </si>
  <si>
    <t>Quantidade de Cotas:</t>
  </si>
  <si>
    <t>Aplicação 01</t>
  </si>
  <si>
    <t>BRADESCO INSTITUCIONAL IMA-B FIC RENDA FIXA</t>
  </si>
  <si>
    <t>BRADESCO INSTITUCIONAL IMA-B TÍTULOS PÚBLICOS FIC RENDA FIXA</t>
  </si>
  <si>
    <t>BRADESCO INSTITUCIONAL IMA-GERAL FIC RENDA FIXA</t>
  </si>
  <si>
    <t>Nome dos Fundos</t>
  </si>
  <si>
    <t>BB TÍTULOS PÚBLICOS IPCA V FI RENDA FIXA PREVIDENCIÁRIO</t>
  </si>
  <si>
    <t>19.515.016/0001-65</t>
  </si>
  <si>
    <t>CAIXA BRASIL 2018 I TÍTULOS PÚBLICOS FI RENDA FIXA</t>
  </si>
  <si>
    <t>18.598.256/0001-08</t>
  </si>
  <si>
    <t>CAIXA BRASIL 2024 II TÍTULOS PÚBLICOS FI RENDA FIXA</t>
  </si>
  <si>
    <t>18.598.088/0001-50</t>
  </si>
  <si>
    <t>CAIXA INSTITUCIONAL BDR NÍVEL I FI AÇÕES</t>
  </si>
  <si>
    <t>17.502.937/0001-68</t>
  </si>
  <si>
    <t>BB IPCA V</t>
  </si>
  <si>
    <t>Caixa 2018</t>
  </si>
  <si>
    <t>Caixa Nivel I</t>
  </si>
  <si>
    <t>Caixa 2024</t>
  </si>
  <si>
    <t>CAIXA BRASIL 2022 I TÍTULOS PÚBLICOS FI RENDA FIXA</t>
  </si>
  <si>
    <t>19.523.306/0001-50</t>
  </si>
  <si>
    <t>AMAZONIA PERSONALIZADO FIC RENDA FIXA LP</t>
  </si>
  <si>
    <t>08.070.814/0001-04</t>
  </si>
  <si>
    <t>Amazonia LP</t>
  </si>
  <si>
    <t>19.769.171/0001-08</t>
  </si>
  <si>
    <t>Caixa 2020</t>
  </si>
  <si>
    <t>BB TÍTULOS PÚBLICOS IPCA VI FI RENDA FIXA PREVIDENCIÁRIO</t>
  </si>
  <si>
    <t>BB IPCA VI</t>
  </si>
  <si>
    <t>CAIXA BRASIL 2030 II TÍTULOS PÚBLICOS FI RENDA FIXA</t>
  </si>
  <si>
    <t>19.769.046/0001-06</t>
  </si>
  <si>
    <t xml:space="preserve">CAIXA 2030 II </t>
  </si>
  <si>
    <t xml:space="preserve">             VaR - Value at Risk</t>
  </si>
  <si>
    <t>SICREDI INSTITUCIONAL IMA-B FIC RENDA FIXA LP</t>
  </si>
  <si>
    <t>SICREDI PERFORMANCE FIC RENDA FIXA LP</t>
  </si>
  <si>
    <t>CAIXA BRASIL 2020 II TÍTULOS PÚBLICOS FI RENDA FIXA</t>
  </si>
  <si>
    <t>03.543.447/0001-03</t>
  </si>
  <si>
    <t>BB IMA-B 5 FIC RENDA FIXA PREVIDENCIÁRIO LP</t>
  </si>
  <si>
    <t>BB IMA-B5</t>
  </si>
  <si>
    <t>BB ALOCAÇÃO FIC AÇÕES PREVIDENCIÁRIO</t>
  </si>
  <si>
    <t>18.270.783/0001-99</t>
  </si>
  <si>
    <t>BB CIELO FI AÇÕES</t>
  </si>
  <si>
    <t>10.869.628/0001-81</t>
  </si>
  <si>
    <t>BB PIPE FIC AÇÕES</t>
  </si>
  <si>
    <t>17.116.227/0001-08</t>
  </si>
  <si>
    <t>60 meses</t>
  </si>
  <si>
    <t>BRADESCO INFRA-ESTRUTURA FI AÇÕES</t>
  </si>
  <si>
    <t>08.258.441/0001-08</t>
  </si>
  <si>
    <t>CAIXA APORTE IMEDIATO 216 FIC RENDA FIXA LP</t>
  </si>
  <si>
    <t>17.687.735/0001-38</t>
  </si>
  <si>
    <t>CAIXA BRASIL III FI RENDA FIXA IPCA CRÉDITO PRIVADO</t>
  </si>
  <si>
    <t>12.321.795/0001-19</t>
  </si>
  <si>
    <t>LEME FIC MULTIMERCADO CRÉDITO PRIVADO</t>
  </si>
  <si>
    <t>12.228.008/0001-99</t>
  </si>
  <si>
    <t>LEME IMA-B FI RENDA FIXA PREVIDENCIÁRIO</t>
  </si>
  <si>
    <t>11.784.036/0001-20</t>
  </si>
  <si>
    <t/>
  </si>
  <si>
    <t>Bradesco Infra-Estrutura Ações</t>
  </si>
  <si>
    <t>Caixa Brasil IPCA III CP</t>
  </si>
  <si>
    <t>Leme Multimercado CP</t>
  </si>
  <si>
    <t>Leme IMA-B</t>
  </si>
  <si>
    <t>BB Alocação</t>
  </si>
  <si>
    <t>Caixa Aporte 216</t>
  </si>
  <si>
    <t>Engenheiro Coelho/SP</t>
  </si>
  <si>
    <t>INSTITUTO DE PREVIDÊNCIA DOS SERVIDORES PUBLICOS MUNICIPAIS DE ENGENHEIRO</t>
  </si>
  <si>
    <t>% Resolução</t>
  </si>
  <si>
    <t>INFINITY IMA TIGER FI RENDA FIXA</t>
  </si>
  <si>
    <t>15.188.380/0001-07</t>
  </si>
  <si>
    <t>BB IMA-B 5+ TÍTULOS PÚBLICOS FI RENDA FIXA PREVIDENCIÁRIO</t>
  </si>
  <si>
    <t>19.833.108/0001-93</t>
  </si>
  <si>
    <t>Infinity Asset Management</t>
  </si>
  <si>
    <t>INX Barcelona</t>
  </si>
  <si>
    <t>Infinity IMA</t>
  </si>
  <si>
    <t>Yeld</t>
  </si>
  <si>
    <t>Atico RF Institucional FI Ima B 5</t>
  </si>
  <si>
    <t>Banestes Institucional RF</t>
  </si>
  <si>
    <t>BB Acoes Cielo FI</t>
  </si>
  <si>
    <t>BB Acoes Pipe Fc</t>
  </si>
  <si>
    <t>BB Comercial 17 LP FICFI RF</t>
  </si>
  <si>
    <t>BB Prev Acoes Alocacao Fc</t>
  </si>
  <si>
    <t>BB Prev Acoes Governanca FI</t>
  </si>
  <si>
    <t>BB Prev RF Cred Priv IPCA III FI</t>
  </si>
  <si>
    <t>BB Prev RF Fluxo Fc</t>
  </si>
  <si>
    <t>BB Prev RF Idka 2</t>
  </si>
  <si>
    <t>BB Prev RF Ima B 5 LP Fc</t>
  </si>
  <si>
    <t>BB Prev RF Ima B FI</t>
  </si>
  <si>
    <t>BB Prev RF Ima B Tit Publ FI</t>
  </si>
  <si>
    <t>BB Prev RF Ima B5+</t>
  </si>
  <si>
    <t>BB Prev RF Ima Geral Ex C Tit Publ FI</t>
  </si>
  <si>
    <t>BB Prev RF Irf M</t>
  </si>
  <si>
    <t>BB Prev RF Irf M1 Tit Publ Fc</t>
  </si>
  <si>
    <t>BB Prev RF Perfil Fc</t>
  </si>
  <si>
    <t>BB Prev RF Tit Publ IPCA FI</t>
  </si>
  <si>
    <t>BB Prev RF Tp IPCA IV FI</t>
  </si>
  <si>
    <t>BB Prev RF Tp IPCA V FI</t>
  </si>
  <si>
    <t>BB Prev RF Tp IPCA VI FI</t>
  </si>
  <si>
    <t>BB Rpps RF Cred Priv IPCA I FI</t>
  </si>
  <si>
    <t>-</t>
  </si>
  <si>
    <t>Brad Inst FICFI RF Ima B Tit Publicos</t>
  </si>
  <si>
    <t>Bradesco FI Ref DI Premium</t>
  </si>
  <si>
    <t>Bradesco FI RF Irf M 1</t>
  </si>
  <si>
    <t>Bradesco FI RF Irf M 1 Titulos Publicos</t>
  </si>
  <si>
    <t>Bradesco FI RF Maxi Poder Publico</t>
  </si>
  <si>
    <t>Bradesco FIA Ibovespa Plus</t>
  </si>
  <si>
    <t>Bradesco FIA Infra-Estrutura</t>
  </si>
  <si>
    <t>Bradesco FICFI Ref DI Poder Publico</t>
  </si>
  <si>
    <t>Bradesco Inst FICFI RF Ima B</t>
  </si>
  <si>
    <t>Bradesco Inst FICFI RF Ima B 5</t>
  </si>
  <si>
    <t>Bradesco Inst FICFI RF Ima Geral</t>
  </si>
  <si>
    <t>BTG Pactual FI RF Ima B</t>
  </si>
  <si>
    <t>Caixa FI Alianca Titulos Publicos RF</t>
  </si>
  <si>
    <t>Caixa FI Brasil 2018 I Tp RF</t>
  </si>
  <si>
    <t>Caixa FI Brasil 2020 II Tp RF</t>
  </si>
  <si>
    <t>Caixa FI Brasil 2022 I Tp RF</t>
  </si>
  <si>
    <t>Caixa FI Brasil 2024 II Tp RF</t>
  </si>
  <si>
    <t>Caixa FI Brasil 2030 II Tp RF</t>
  </si>
  <si>
    <t>Caixa FI Brasil DI LP</t>
  </si>
  <si>
    <t>Caixa FI Brasil Disponibilidades RF</t>
  </si>
  <si>
    <t>Caixa FI Brasil Idka IPCA 2a RF LP</t>
  </si>
  <si>
    <t>Caixa FI Brasil Ima B 5+ Tp RF LP</t>
  </si>
  <si>
    <t>Caixa FI Brasil Ima Geral Tp RF LP</t>
  </si>
  <si>
    <t>Caixa FI Brasil IPCA I Mult Cred Priv</t>
  </si>
  <si>
    <t>Caixa FI Brasil IPCA IX RF Cred Priv</t>
  </si>
  <si>
    <t>Caixa FI Brasil IPCA V Mult Cred Priv</t>
  </si>
  <si>
    <t>Caixa FI Brasil IPCA VII Mult Cred Priv</t>
  </si>
  <si>
    <t>Caixa FI Brasil IPCA VIII Mult Cred Priv</t>
  </si>
  <si>
    <t>Caixa FI Brasil IPCA VIII RF Cred Priv</t>
  </si>
  <si>
    <t>Caixa FI Brasil IPCA X RF Cred Priv</t>
  </si>
  <si>
    <t>Caixa FI Brasil IPCA XII RF Cred Priv</t>
  </si>
  <si>
    <t>Caixa FI Brasil IPCA XIII RF Cred Priv</t>
  </si>
  <si>
    <t>Caixa FI Brasil IPCA XIV RF Cred Priv</t>
  </si>
  <si>
    <t>Caixa FI Brasil IPCA XV RF Cred Priv</t>
  </si>
  <si>
    <t>Caixa FI Brasil Irf M 1+ Tp RF LP</t>
  </si>
  <si>
    <t>Caixa FI Brasil Irf M Tp RF LP</t>
  </si>
  <si>
    <t>Caixa FI Brasil Titulos Publicos RF LP</t>
  </si>
  <si>
    <t>Caixa FIA Brasil Etf Ibovespa</t>
  </si>
  <si>
    <t>Caixa FIA Brasil Ibovespa</t>
  </si>
  <si>
    <t>Caixa FIA Brasil Ibx - 50</t>
  </si>
  <si>
    <t>Caixa FIA Ibovespa</t>
  </si>
  <si>
    <t>Caixa FIA Institucional Bdr Nivel I</t>
  </si>
  <si>
    <t>Caixa FIC Acoes Valor Dividendos Rpps</t>
  </si>
  <si>
    <t>Caixa FIC Acoes Valor Small Cap Rpps</t>
  </si>
  <si>
    <t>Caixa FIC Aporte Imediato 216 RF LP</t>
  </si>
  <si>
    <t>Caixa FIC Ideal RF LP</t>
  </si>
  <si>
    <t>Caixa FIC Novo Brasil Ima B RF LP</t>
  </si>
  <si>
    <t>Caixa FIC Soberano RF LP</t>
  </si>
  <si>
    <t>Caixa Rio Bravo Fundo de FII</t>
  </si>
  <si>
    <t>FI Banestes Prev RF</t>
  </si>
  <si>
    <t>FI Banestes Vip DI Ref de LP</t>
  </si>
  <si>
    <t>FI Caixa Brasil Ima B 5 Tp RF LP</t>
  </si>
  <si>
    <t>FI Caixa Brasil Ima B Tp RF LP</t>
  </si>
  <si>
    <t>FI Caixa Brasil Irf M 1 Tp RF</t>
  </si>
  <si>
    <t>FI Diferencial RF LP</t>
  </si>
  <si>
    <t>FI Security RF LP Cred Priv</t>
  </si>
  <si>
    <t>FIC Amazonia Personalizado RF Long Prazo</t>
  </si>
  <si>
    <t>Geracao Futuro Dividendos FIA</t>
  </si>
  <si>
    <t>HSBC FI Ref DI LP</t>
  </si>
  <si>
    <t>HSBC FI RF Regimes de Previdencia Ativo</t>
  </si>
  <si>
    <t>HSBC FICFI em Acoes Ibov Reg de Prev</t>
  </si>
  <si>
    <t>Itau Inst Ibrx Ativo Acoes FICFI</t>
  </si>
  <si>
    <t>Itau Institucion RF Pre Fixado LP FICFI</t>
  </si>
  <si>
    <t>Itau Institucional RF Inflacao 5 FICFI</t>
  </si>
  <si>
    <t>Itau Institucional RF Inflacao FICFI</t>
  </si>
  <si>
    <t>Itau Soberano RF Irfm 1 FI</t>
  </si>
  <si>
    <t>JMalucelli Small Caps FIA</t>
  </si>
  <si>
    <t>Leme FICFI Mult Cred Priv</t>
  </si>
  <si>
    <t>Leme Ima B FI RF Prev</t>
  </si>
  <si>
    <t>Qt IPCA FIDC Juros Real Senior</t>
  </si>
  <si>
    <t>Rp FI RF de Cred Priv</t>
  </si>
  <si>
    <t>Safra Carteira Institucional FI Multim</t>
  </si>
  <si>
    <t>Safra Ima FICFI RF</t>
  </si>
  <si>
    <t>Sant FICFI Ima B 5 Tit Publ RF</t>
  </si>
  <si>
    <t>Sant FICFI Ima B Inst Tit Publ RF LP</t>
  </si>
  <si>
    <t>Santander FI Small Cap Acoes</t>
  </si>
  <si>
    <t>Santander FICFI Irf M Tit Pub RF</t>
  </si>
  <si>
    <t>Santander FICFI Petrobras Plus Acoes</t>
  </si>
  <si>
    <t>Santander FICFI Priority Ref DI</t>
  </si>
  <si>
    <t>Santander FICFI Senior Ref DI</t>
  </si>
  <si>
    <t>Schroder FIA Ibrx 50</t>
  </si>
  <si>
    <t>Sicredi Fc FI Institucional RF Ima B LP</t>
  </si>
  <si>
    <t>Sicredi Fc FI RF Performance LP</t>
  </si>
  <si>
    <t>Sicredi FI Institucional RF Irf M LP</t>
  </si>
  <si>
    <t>Urca FI RF Cred Priv Previ</t>
  </si>
  <si>
    <t>01.396.302/0001-93</t>
  </si>
  <si>
    <t>BB Nossa Caixa 100</t>
  </si>
  <si>
    <t>20.216.216/0001-04</t>
  </si>
  <si>
    <t>Bradesco Institucioonal IMA-B5</t>
  </si>
  <si>
    <t>BB MASTER SETOR PUBLICO FIC RENDA FIXA</t>
  </si>
  <si>
    <t>BRB PÚBLICO FI RENDA FIXA LP</t>
  </si>
  <si>
    <t>10.859.917/0001-08</t>
  </si>
  <si>
    <t>BRB Publico LP</t>
  </si>
  <si>
    <t>BB Nc RF LP 100 FICFI</t>
  </si>
  <si>
    <t>BRB FI RF Publico LP</t>
  </si>
  <si>
    <t>33.850.686/0001-69</t>
  </si>
  <si>
    <t>INX BARCELONA FI RENDA FIXA</t>
  </si>
  <si>
    <t>INX Administração e Gestão de Recursos</t>
  </si>
  <si>
    <t>BB NOSSA CAIXA 100 FIC RENDA FIXA LP</t>
  </si>
  <si>
    <t>BANESTES LIQUIDEZ FI REFERENCIADO DI</t>
  </si>
  <si>
    <t>20.230.719/0001-26</t>
  </si>
  <si>
    <t>Banestes Ref Di</t>
  </si>
  <si>
    <t>BB Publico Master</t>
  </si>
  <si>
    <t>BRADESCO INSTITUCIONAL IMA-B 5 FIC RENDA FIXA</t>
  </si>
  <si>
    <t>BB RF Master Setor Publico Fc</t>
  </si>
  <si>
    <t>FI Banestes Liquidez Ref DI</t>
  </si>
  <si>
    <t>INFORMAÇÕES</t>
  </si>
  <si>
    <t>Var com 95% z=</t>
  </si>
  <si>
    <t>Valor da Carteira</t>
  </si>
  <si>
    <t xml:space="preserve">VaR com 95% para 30 dias </t>
  </si>
  <si>
    <t>Média</t>
  </si>
  <si>
    <t>Desvio Padrão</t>
  </si>
  <si>
    <t>Valor investido</t>
  </si>
  <si>
    <t>Fundo 1</t>
  </si>
  <si>
    <t>Fundo 2</t>
  </si>
  <si>
    <t>Fundo 3</t>
  </si>
  <si>
    <t>Fundo 4</t>
  </si>
  <si>
    <t>Fundo 5</t>
  </si>
  <si>
    <t>Fundo 6</t>
  </si>
  <si>
    <t>Fundo 7</t>
  </si>
  <si>
    <t>Fundo 8</t>
  </si>
  <si>
    <t>Fundo 9</t>
  </si>
  <si>
    <t>Fundo 10</t>
  </si>
  <si>
    <t>Fundo 11</t>
  </si>
  <si>
    <t>Fundo 12</t>
  </si>
  <si>
    <t>Fundo 13</t>
  </si>
  <si>
    <t>Fundo 14</t>
  </si>
  <si>
    <t>Fundo 15</t>
  </si>
  <si>
    <t>Fundo 16</t>
  </si>
  <si>
    <t>Fundo 17</t>
  </si>
  <si>
    <t>Fundo 18</t>
  </si>
  <si>
    <t>Fundo 19</t>
  </si>
  <si>
    <t>Fundo 20</t>
  </si>
  <si>
    <t>Fundo 21</t>
  </si>
  <si>
    <t>Fundo 22</t>
  </si>
  <si>
    <t>Fundo 23</t>
  </si>
  <si>
    <t>Fundo 24</t>
  </si>
  <si>
    <t>Fundo 25</t>
  </si>
  <si>
    <t>Fundo 26</t>
  </si>
  <si>
    <t>Fundo 27</t>
  </si>
  <si>
    <t>Fundo 28</t>
  </si>
  <si>
    <t>BB Prev Mult FI LP</t>
  </si>
  <si>
    <t>VaR % 1 Dia</t>
  </si>
  <si>
    <t>VaR R$ 1 dia</t>
  </si>
  <si>
    <t>VaR % 1 Mês</t>
  </si>
  <si>
    <t>VaR R$ 1 Mês</t>
  </si>
  <si>
    <t>Sicredi FI Institucional RF Irf M 1</t>
  </si>
  <si>
    <t>19.196.599/0001-09</t>
  </si>
  <si>
    <t>IRF-M 1</t>
  </si>
  <si>
    <t>Sicredi IRF-M1</t>
  </si>
  <si>
    <t>Itajá/GO</t>
  </si>
  <si>
    <t>INSTITUTO DE PREVIDÊNCIA DOS SERVIDORES DO MUNICÍPIO DE ITAJÁ</t>
  </si>
  <si>
    <t>Basa Seleto 2</t>
  </si>
  <si>
    <t>07.144.604/0001-50</t>
  </si>
  <si>
    <t>Banco da Amazônia</t>
  </si>
  <si>
    <t>Santos Asset Management</t>
  </si>
  <si>
    <t>Banco Santos</t>
  </si>
  <si>
    <t>FI Inx Barcelona RF</t>
  </si>
  <si>
    <t>Santander FICFI Master Ref DI</t>
  </si>
  <si>
    <t>02.367.527/0001-84</t>
  </si>
  <si>
    <t>Banco Santander (Brasil) SA</t>
  </si>
  <si>
    <t>Santander Brasil Gestao de Recursos Ltda</t>
  </si>
  <si>
    <t>Santander Master DI</t>
  </si>
  <si>
    <t>BB Prev RF Tit Publ VII FI</t>
  </si>
  <si>
    <t>19.523.305/0001-06</t>
  </si>
  <si>
    <t>BB VII TP</t>
  </si>
  <si>
    <t>CAIXA PRÁTICO FIC CURTO PRAZO</t>
  </si>
  <si>
    <t>00.834.074/0001-23</t>
  </si>
  <si>
    <t>Caixa Prático</t>
  </si>
  <si>
    <t>Desenquadrado</t>
  </si>
  <si>
    <t>FI Caixa Brasil 2016 I Tp RF</t>
  </si>
  <si>
    <t>20.139.299/0001-77</t>
  </si>
  <si>
    <t>Itau Instituc Mult Juros e Moedas FI</t>
  </si>
  <si>
    <t>Caixa FIC Beta DI LP</t>
  </si>
  <si>
    <t>00.834.072/0001-34</t>
  </si>
  <si>
    <t>Caixa Economica Federal</t>
  </si>
  <si>
    <t>Caixa Beta DI LP</t>
  </si>
  <si>
    <t>Caixa FI Brasil IPCA Xvi RF Cred Priv</t>
  </si>
  <si>
    <t>21.918.896/0001-62</t>
  </si>
  <si>
    <t>Caixa IPCA XVI CP</t>
  </si>
  <si>
    <t>FI Caixa Brasil 2018 IV Tp RF</t>
  </si>
  <si>
    <t>21.918.953/0001-03</t>
  </si>
  <si>
    <t>Caixa 2018 IV</t>
  </si>
  <si>
    <t>Caixa 2016 I TP RF</t>
  </si>
  <si>
    <t>21.918.988/0001-42</t>
  </si>
  <si>
    <t>Caixa 2016 II TP</t>
  </si>
  <si>
    <t>Caixa FI Brasil 2016 II Tp RF</t>
  </si>
  <si>
    <t>20.139.595/0001-78</t>
  </si>
  <si>
    <t>Caixa 2024 IV</t>
  </si>
  <si>
    <t>Caixa FI Brasil 2024 IV Tp RF</t>
  </si>
  <si>
    <t>BB Prev RF Tit Publ IX FI</t>
  </si>
  <si>
    <t>20.734.937/0001-06</t>
  </si>
  <si>
    <t>BB Gestao de Recursos Dtvm S.A.</t>
  </si>
  <si>
    <t>BB IX TP</t>
  </si>
  <si>
    <t>Caixa FI Brasil 2016 III Tp RF</t>
  </si>
  <si>
    <t>21.919.240/0001-64</t>
  </si>
  <si>
    <t>Caixa 2016 III TP</t>
  </si>
  <si>
    <t>Tower Bridge IMA-B5</t>
  </si>
  <si>
    <t>TOWER BRIDGE RENDA FIXA FUNDO DE INVESTIMENTO IMA-B 5</t>
  </si>
  <si>
    <t>GBX TIETÊ II FUNDO DE INVESTIMENTO EM PARTICIPAÇÕES</t>
  </si>
  <si>
    <t>13.000.836/0001-38</t>
  </si>
  <si>
    <t>SANTANDER SECURITIES SERVICES BRASIL DTVM S.A.,</t>
  </si>
  <si>
    <t>GBX ADMINISTRAÇÃO DE RECURSOS LTDA</t>
  </si>
  <si>
    <t>62.318.407/0001-19</t>
  </si>
  <si>
    <t xml:space="preserve">GBX Tietê II </t>
  </si>
  <si>
    <t>BB Publico</t>
  </si>
  <si>
    <t>BB CP Supremo Setor Publico Fc</t>
  </si>
  <si>
    <t>04.288.966/0001-27</t>
  </si>
  <si>
    <t>BB Dtvm S.A</t>
  </si>
  <si>
    <t>FIDC Italia Senior Sen</t>
  </si>
  <si>
    <t>FIDC Multisetorial Master III Sem</t>
  </si>
  <si>
    <t>Grau Savana FI Mult</t>
  </si>
  <si>
    <t>22.283.040/0001-20</t>
  </si>
  <si>
    <t>Intrader DTVM LTDA.</t>
  </si>
  <si>
    <t>Kansai Gestão de Recursos de Terceiros LTDA.</t>
  </si>
  <si>
    <t>Caixa FI Brasil 2016 V Tp RF</t>
  </si>
  <si>
    <t>21.922.168/0001-24</t>
  </si>
  <si>
    <t>Caixa FI Brasil 2016 IV Tp RF</t>
  </si>
  <si>
    <t>21.919.396/0001-45</t>
  </si>
  <si>
    <t>Caixa 2016 IV TP</t>
  </si>
  <si>
    <t>Caixa 2016 V TP</t>
  </si>
  <si>
    <t>FIDC FIDC Premium Sen I</t>
  </si>
  <si>
    <t>Kansai IMA-B</t>
  </si>
  <si>
    <t>BNB Rpps Previdencia FI RF</t>
  </si>
  <si>
    <t>Infinity Ima B5 Tiger FI RF</t>
  </si>
  <si>
    <t>Banestes FIC FIA</t>
  </si>
  <si>
    <t>Caixa FIC Beta RF Ref DI LP</t>
  </si>
  <si>
    <t>Gbx Tiete II FIP</t>
  </si>
  <si>
    <t>Fundo 29</t>
  </si>
  <si>
    <t>Fundo 30</t>
  </si>
  <si>
    <t>Fundo 31</t>
  </si>
  <si>
    <t>Fundo 32</t>
  </si>
  <si>
    <t>36.113.876/0001-91</t>
  </si>
  <si>
    <t>FII Rb Capital Renda II</t>
  </si>
  <si>
    <t>Santander FI Irf M 1 Tit Pub RF</t>
  </si>
  <si>
    <t>10.979.025/0001-32</t>
  </si>
  <si>
    <t>IRF-M1</t>
  </si>
  <si>
    <t>Santander FI Irf-M1</t>
  </si>
  <si>
    <t>Santander FIC Irf-M1</t>
  </si>
  <si>
    <t>Janeiro/2016</t>
  </si>
  <si>
    <t>Fevereiro/2016</t>
  </si>
  <si>
    <t>Março/2016</t>
  </si>
  <si>
    <t>Abril/2016</t>
  </si>
  <si>
    <t>Maio/2016</t>
  </si>
  <si>
    <t>Junho/2016</t>
  </si>
  <si>
    <t>Julho/2016</t>
  </si>
  <si>
    <t>Agosto/2016</t>
  </si>
  <si>
    <t>Setembro/2016</t>
  </si>
  <si>
    <t>Outubro/2016</t>
  </si>
  <si>
    <t>Novembro/2016</t>
  </si>
  <si>
    <t>Dezembro/2016</t>
  </si>
  <si>
    <t>Osasco/SP</t>
  </si>
  <si>
    <t>Informações gerais do fundo</t>
  </si>
  <si>
    <t>Planilha 1</t>
  </si>
  <si>
    <t>Planilha 2</t>
  </si>
  <si>
    <t>Kansai Renda Fixa IMA-B - 100% Títulos Públicos - RPPS</t>
  </si>
  <si>
    <t>Volatilidade</t>
  </si>
  <si>
    <t>Qtd de cotista</t>
  </si>
  <si>
    <t>Santander Securities DTVM S.A.</t>
  </si>
  <si>
    <t>BNB Plus FICFI RF LP</t>
  </si>
  <si>
    <t>Bradesco FI RF Ref DI Federal Extra</t>
  </si>
  <si>
    <t>Caixa FIC Pratico RF CP</t>
  </si>
  <si>
    <t>Itau Soberano RF Refer DI LP FICFI</t>
  </si>
  <si>
    <t>Leme Mult IPCA FIDC Sen</t>
  </si>
  <si>
    <t>Santander Fc Corporate Ref DI</t>
  </si>
  <si>
    <t>Santander Fc Imab Titulo Publico RF LP</t>
  </si>
  <si>
    <t>Codigo</t>
  </si>
  <si>
    <t>Percentual Investido</t>
  </si>
  <si>
    <t>Reivestimento</t>
  </si>
  <si>
    <t>Rendimento no Periodo</t>
  </si>
  <si>
    <t>Rendimento no Total (01.10.2015 á 31.12.2015)</t>
  </si>
  <si>
    <t>Saldo</t>
  </si>
  <si>
    <t>Numero documento APR</t>
  </si>
  <si>
    <t>ValueatRisk</t>
  </si>
  <si>
    <t>Quantidade de Cotas 31.12.2015</t>
  </si>
  <si>
    <t>Valor Unitario da Cota 31.12.2015</t>
  </si>
  <si>
    <t>Patrimônio Liquido 31.12.2015</t>
  </si>
  <si>
    <t>Quantidade de cotistas 31.12.2015</t>
  </si>
  <si>
    <t>Qtd Cotistas</t>
  </si>
  <si>
    <t>VaR (%) de 1 ano</t>
  </si>
  <si>
    <t>VaR (R$) de 1 ano</t>
  </si>
  <si>
    <t>Itau Institucional RF Ref DI FI</t>
  </si>
  <si>
    <t>Ipiguá/SP</t>
  </si>
  <si>
    <t>Urania/SP</t>
  </si>
  <si>
    <t>INSTITUTO DE PREVIDENCIA DO MUNICIPIO DE OSASCO</t>
  </si>
  <si>
    <t xml:space="preserve">INSTITUTO DE PREVIDENCIA MUNICIPAL DE URANIA </t>
  </si>
  <si>
    <t>Atico FIC de FIP Atico Florestal</t>
  </si>
  <si>
    <t>15.190.417/0001-31</t>
  </si>
  <si>
    <t>Atico Renda FI Imobiliario FII</t>
  </si>
  <si>
    <t>14.631.148/0001-39</t>
  </si>
  <si>
    <t>Bra1 FI RF</t>
  </si>
  <si>
    <t>10.883.252/0001-60</t>
  </si>
  <si>
    <t>Brad Inst FI RF B Vertice 2019</t>
  </si>
  <si>
    <t>21.347.528/0001-01</t>
  </si>
  <si>
    <t>Caixa FI Brasil 2016 VI Tp RF</t>
  </si>
  <si>
    <t>22.791.300/0001-79</t>
  </si>
  <si>
    <t>Caixa FI Brasil 2018 III Tp RF</t>
  </si>
  <si>
    <t>20.136.762/0001-27</t>
  </si>
  <si>
    <t>FI Banestes Referencial Irf M1 T. Pub RF</t>
  </si>
  <si>
    <t>21.005.667/0001-57</t>
  </si>
  <si>
    <t>14.051.028/0001-62</t>
  </si>
  <si>
    <t>Incentivo FIDC Mult II Sub Sub</t>
  </si>
  <si>
    <t>13.344.834/0001-66</t>
  </si>
  <si>
    <t>Incentivo Mult I FIDC Sub Sub</t>
  </si>
  <si>
    <t>10.896.292/0001-46</t>
  </si>
  <si>
    <t>Perfin LS 15 FIC Mult</t>
  </si>
  <si>
    <t>12.430.167/0001-71</t>
  </si>
  <si>
    <t>Perfin LS FI Cotas Mult</t>
  </si>
  <si>
    <t>09.068.336/0001-60</t>
  </si>
  <si>
    <t>Piata FI RF LP Prev Cred Priv</t>
  </si>
  <si>
    <t>09.613.226/0001-32</t>
  </si>
  <si>
    <t>Total Mix FIC de FIA</t>
  </si>
  <si>
    <t>15.182.416/0001-45</t>
  </si>
  <si>
    <t>W7 FIP</t>
  </si>
  <si>
    <t>15.711.367/0001-90</t>
  </si>
  <si>
    <t>20.468.531/0001-10</t>
  </si>
  <si>
    <t>Atico Imobiliario FII</t>
  </si>
  <si>
    <t>Gradual Cctvm S A</t>
  </si>
  <si>
    <t>Ático Administração de Recursos LTDA</t>
  </si>
  <si>
    <t>Não se Aplica</t>
  </si>
  <si>
    <t>BNY Mellon Servicos Financeiros Dtvm SA</t>
  </si>
  <si>
    <t>Interativa Investimentos Ltda.</t>
  </si>
  <si>
    <t>FIDC Exodus Institucional 1</t>
  </si>
  <si>
    <t>FIDC Exodus Institucional 1 Senior</t>
  </si>
  <si>
    <t>Nova S.R.M Administração de Recursos e Finanças S.A.</t>
  </si>
  <si>
    <t>11.504.852/0001-32</t>
  </si>
  <si>
    <t>Franklin Templeton Ibx FIA</t>
  </si>
  <si>
    <t>08.156.530/0001-35</t>
  </si>
  <si>
    <t>Franklin Templeton Investimentos (Brasil) Ltda</t>
  </si>
  <si>
    <t>IBRX-100</t>
  </si>
  <si>
    <t>Franklin Valor e Liquidez</t>
  </si>
  <si>
    <t>Franklin Valor e Liquidez Fvl FIA</t>
  </si>
  <si>
    <t>02.895.694/0001-06</t>
  </si>
  <si>
    <t>IBOVESPA FECHAMENTO</t>
  </si>
  <si>
    <t>Guepardo Institucional</t>
  </si>
  <si>
    <t>Guepardo Institucional FIC FIA</t>
  </si>
  <si>
    <t>08.830.947/0001-31</t>
  </si>
  <si>
    <t>Guepardo Investimentos Ltda</t>
  </si>
  <si>
    <t>Humaita Absolute FIA</t>
  </si>
  <si>
    <t>13.651.964/0001-41</t>
  </si>
  <si>
    <t>Humaitá Investimentos Ltda</t>
  </si>
  <si>
    <t>Humaita Equity Hedge</t>
  </si>
  <si>
    <t>Humaita Equity Hedge FICFI Mult</t>
  </si>
  <si>
    <t>09.601.197/0001-99</t>
  </si>
  <si>
    <t>Humaita Value FIA</t>
  </si>
  <si>
    <t>07.292.267/0001-49</t>
  </si>
  <si>
    <t>Incentivo FIDC Mult II</t>
  </si>
  <si>
    <t>Incentivo S.A. DTVM</t>
  </si>
  <si>
    <t>61.757.423/0001-45</t>
  </si>
  <si>
    <t>Incentivo Mult I FIDC</t>
  </si>
  <si>
    <t>Infratec FIP</t>
  </si>
  <si>
    <t>Santander Securities Services Brasil</t>
  </si>
  <si>
    <t>Infra Asset Management LTDA</t>
  </si>
  <si>
    <t>05.599.583/0001-32</t>
  </si>
  <si>
    <t>Piata FI RF LP CP</t>
  </si>
  <si>
    <t>Incentivo Investimentos Ltda</t>
  </si>
  <si>
    <t>Santander Securities Services Brasil DTVM S.A.</t>
  </si>
  <si>
    <t>Crpc Administração de Recursos Financeiros Ltda.</t>
  </si>
  <si>
    <t>Caixa 2018 III</t>
  </si>
  <si>
    <t>Caixa</t>
  </si>
  <si>
    <t>Perfin Instituicional FIC FIA</t>
  </si>
  <si>
    <t>10.608.762/0001-29</t>
  </si>
  <si>
    <t>BTG Pactual Servicos Financeiros SA Dtvm</t>
  </si>
  <si>
    <t>Perfin Administração de Recursos Ltda</t>
  </si>
  <si>
    <t>Itau Unibanco S/A</t>
  </si>
  <si>
    <t>Atico Florestal</t>
  </si>
  <si>
    <t>GBX IMA-B 5</t>
  </si>
  <si>
    <t>GBX Institucional Fundo de Investimento Renda Fixa IMA-B 5</t>
  </si>
  <si>
    <t>GBX Administração de Recursos LTDA</t>
  </si>
  <si>
    <t>Caixa 2016 VI</t>
  </si>
  <si>
    <t>Bradesco B Vertice</t>
  </si>
  <si>
    <t>Bradesco IMA-B Vertice</t>
  </si>
  <si>
    <t>NTN-B - 2045</t>
  </si>
  <si>
    <t>Títulos Públicos NTN-B vencimento em 2045</t>
  </si>
  <si>
    <t>Brasrealty FIP</t>
  </si>
  <si>
    <t>FIDC Ind Exodus Instit Mez</t>
  </si>
  <si>
    <t>13.000.836/0001-69</t>
  </si>
  <si>
    <t xml:space="preserve">INSTITUTO DE PREVIDÊNCIA MUNICIPAL DE IPIGUÁ </t>
  </si>
  <si>
    <t>Fundão/ES</t>
  </si>
  <si>
    <t>IPRESF - INSTITUTO DE PREVIDENCIA DOS SERVIDORES DO MUNICIPIO DE FUNDÃO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</si>
</sst>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&quot;R$&quot;\ #,##0.00;[Red]\-&quot;R$&quot;\ #,##0.00"/>
    <numFmt numFmtId="164" formatCode="_([$€-2]* #,##0.00_);_([$€-2]* \(#,##0.00\);_([$€-2]* &quot;-&quot;??_)"/>
    <numFmt numFmtId="165" formatCode="#,##0.00000000"/>
    <numFmt numFmtId="166" formatCode="00&quot;.&quot;000&quot;.&quot;000&quot;/&quot;0000&quot;-&quot;00"/>
    <numFmt numFmtId="167" formatCode="&quot;R$&quot;\ #,##0.00"/>
    <numFmt numFmtId="168" formatCode="mmmm/yy"/>
    <numFmt numFmtId="169" formatCode="00000000000000"/>
  </numFmts>
  <fonts count="63" x14ac:knownFonts="1">
    <font>
      <sz val="10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Trebuchet MS"/>
      <family val="2"/>
    </font>
    <font>
      <sz val="10"/>
      <color theme="1"/>
      <name val="Trebuchet MS"/>
      <family val="2"/>
    </font>
    <font>
      <b/>
      <sz val="10"/>
      <color theme="0"/>
      <name val="Trebuchet MS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Trebuchet MS"/>
      <family val="2"/>
    </font>
    <font>
      <b/>
      <sz val="10"/>
      <name val="Trebuchet MS"/>
      <family val="2"/>
    </font>
    <font>
      <b/>
      <sz val="12"/>
      <name val="Trebuchet MS"/>
      <family val="2"/>
    </font>
    <font>
      <i/>
      <sz val="10"/>
      <name val="Trebuchet MS"/>
      <family val="2"/>
    </font>
    <font>
      <b/>
      <sz val="12"/>
      <color theme="0"/>
      <name val="Trebuchet MS"/>
      <family val="2"/>
    </font>
    <font>
      <sz val="6"/>
      <color theme="1"/>
      <name val="Trebuchet MS"/>
      <family val="2"/>
    </font>
    <font>
      <b/>
      <sz val="28"/>
      <color theme="1"/>
      <name val="Trebuchet MS"/>
      <family val="2"/>
    </font>
    <font>
      <sz val="14"/>
      <color theme="1"/>
      <name val="Trebuchet MS"/>
      <family val="2"/>
    </font>
    <font>
      <b/>
      <sz val="8"/>
      <color theme="1"/>
      <name val="Trebuchet MS"/>
      <family val="2"/>
    </font>
    <font>
      <b/>
      <sz val="8"/>
      <color theme="0"/>
      <name val="Verdana"/>
      <family val="2"/>
    </font>
    <font>
      <sz val="10"/>
      <color theme="1"/>
      <name val="Verdana"/>
      <family val="2"/>
    </font>
    <font>
      <sz val="8"/>
      <color theme="1"/>
      <name val="Verdana"/>
      <family val="2"/>
    </font>
    <font>
      <b/>
      <sz val="6"/>
      <color theme="1"/>
      <name val="Verdana"/>
      <family val="2"/>
    </font>
    <font>
      <sz val="6"/>
      <color theme="1"/>
      <name val="Verdana"/>
      <family val="2"/>
    </font>
    <font>
      <sz val="8"/>
      <color theme="1"/>
      <name val="Arial"/>
      <family val="2"/>
    </font>
    <font>
      <sz val="11"/>
      <color theme="1"/>
      <name val="Trebuchet MS"/>
      <family val="2"/>
    </font>
    <font>
      <b/>
      <sz val="11"/>
      <color theme="1"/>
      <name val="Trebuchet MS"/>
      <family val="2"/>
    </font>
    <font>
      <sz val="10"/>
      <color theme="0"/>
      <name val="Trebuchet MS"/>
      <family val="2"/>
    </font>
    <font>
      <sz val="20"/>
      <color theme="1"/>
      <name val="Trebuchet MS"/>
      <family val="2"/>
    </font>
    <font>
      <b/>
      <sz val="16"/>
      <color theme="1"/>
      <name val="Trebuchet MS"/>
      <family val="2"/>
    </font>
    <font>
      <b/>
      <sz val="14"/>
      <color theme="1"/>
      <name val="Trebuchet MS"/>
      <family val="2"/>
    </font>
    <font>
      <sz val="10"/>
      <color theme="0" tint="-0.14999847407452621"/>
      <name val="Trebuchet MS"/>
      <family val="2"/>
    </font>
    <font>
      <sz val="20"/>
      <color theme="0"/>
      <name val="Trebuchet MS"/>
      <family val="2"/>
    </font>
    <font>
      <b/>
      <sz val="15"/>
      <color theme="1"/>
      <name val="Trebuchet MS"/>
      <family val="2"/>
    </font>
    <font>
      <sz val="15"/>
      <color theme="1"/>
      <name val="Trebuchet MS"/>
      <family val="2"/>
    </font>
    <font>
      <b/>
      <sz val="11"/>
      <name val="Trebuchet MS"/>
      <family val="2"/>
    </font>
    <font>
      <sz val="10"/>
      <color theme="1"/>
      <name val="Arial"/>
      <family val="2"/>
    </font>
    <font>
      <b/>
      <sz val="9"/>
      <name val="Trebuchet MS"/>
      <family val="2"/>
    </font>
  </fonts>
  <fills count="4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8836">
    <xf numFmtId="0" fontId="0" fillId="0" borderId="0"/>
    <xf numFmtId="9" fontId="14" fillId="0" borderId="0" applyFont="0" applyFill="0" applyBorder="0" applyAlignment="0" applyProtection="0"/>
    <xf numFmtId="0" fontId="18" fillId="7" borderId="0" applyNumberFormat="0" applyBorder="0" applyAlignment="0" applyProtection="0"/>
    <xf numFmtId="0" fontId="16" fillId="0" borderId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1" fillId="21" borderId="2" applyNumberFormat="0" applyAlignment="0" applyProtection="0"/>
    <xf numFmtId="0" fontId="21" fillId="21" borderId="2" applyNumberFormat="0" applyAlignment="0" applyProtection="0"/>
    <xf numFmtId="0" fontId="21" fillId="21" borderId="2" applyNumberFormat="0" applyAlignment="0" applyProtection="0"/>
    <xf numFmtId="0" fontId="21" fillId="21" borderId="2" applyNumberFormat="0" applyAlignment="0" applyProtection="0"/>
    <xf numFmtId="0" fontId="21" fillId="21" borderId="2" applyNumberFormat="0" applyAlignment="0" applyProtection="0"/>
    <xf numFmtId="0" fontId="21" fillId="21" borderId="2" applyNumberFormat="0" applyAlignment="0" applyProtection="0"/>
    <xf numFmtId="0" fontId="21" fillId="21" borderId="2" applyNumberFormat="0" applyAlignment="0" applyProtection="0"/>
    <xf numFmtId="0" fontId="21" fillId="21" borderId="2" applyNumberFormat="0" applyAlignment="0" applyProtection="0"/>
    <xf numFmtId="0" fontId="21" fillId="21" borderId="2" applyNumberFormat="0" applyAlignment="0" applyProtection="0"/>
    <xf numFmtId="0" fontId="22" fillId="22" borderId="3" applyNumberFormat="0" applyAlignment="0" applyProtection="0"/>
    <xf numFmtId="0" fontId="22" fillId="22" borderId="3" applyNumberFormat="0" applyAlignment="0" applyProtection="0"/>
    <xf numFmtId="0" fontId="22" fillId="22" borderId="3" applyNumberFormat="0" applyAlignment="0" applyProtection="0"/>
    <xf numFmtId="0" fontId="22" fillId="22" borderId="3" applyNumberFormat="0" applyAlignment="0" applyProtection="0"/>
    <xf numFmtId="0" fontId="22" fillId="22" borderId="3" applyNumberFormat="0" applyAlignment="0" applyProtection="0"/>
    <xf numFmtId="0" fontId="22" fillId="22" borderId="3" applyNumberFormat="0" applyAlignment="0" applyProtection="0"/>
    <xf numFmtId="0" fontId="22" fillId="22" borderId="3" applyNumberFormat="0" applyAlignment="0" applyProtection="0"/>
    <xf numFmtId="0" fontId="22" fillId="22" borderId="3" applyNumberFormat="0" applyAlignment="0" applyProtection="0"/>
    <xf numFmtId="0" fontId="22" fillId="22" borderId="3" applyNumberFormat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24" fillId="12" borderId="2" applyNumberFormat="0" applyAlignment="0" applyProtection="0"/>
    <xf numFmtId="0" fontId="24" fillId="12" borderId="2" applyNumberFormat="0" applyAlignment="0" applyProtection="0"/>
    <xf numFmtId="0" fontId="24" fillId="12" borderId="2" applyNumberFormat="0" applyAlignment="0" applyProtection="0"/>
    <xf numFmtId="0" fontId="24" fillId="12" borderId="2" applyNumberFormat="0" applyAlignment="0" applyProtection="0"/>
    <xf numFmtId="0" fontId="24" fillId="12" borderId="2" applyNumberFormat="0" applyAlignment="0" applyProtection="0"/>
    <xf numFmtId="0" fontId="24" fillId="12" borderId="2" applyNumberFormat="0" applyAlignment="0" applyProtection="0"/>
    <xf numFmtId="0" fontId="24" fillId="12" borderId="2" applyNumberFormat="0" applyAlignment="0" applyProtection="0"/>
    <xf numFmtId="0" fontId="24" fillId="12" borderId="2" applyNumberFormat="0" applyAlignment="0" applyProtection="0"/>
    <xf numFmtId="0" fontId="24" fillId="12" borderId="2" applyNumberFormat="0" applyAlignment="0" applyProtection="0"/>
    <xf numFmtId="164" fontId="17" fillId="0" borderId="0" applyFont="0" applyFill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17" fillId="0" borderId="0"/>
    <xf numFmtId="0" fontId="17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28" borderId="5" applyNumberFormat="0" applyFont="0" applyAlignment="0" applyProtection="0"/>
    <xf numFmtId="0" fontId="17" fillId="28" borderId="5" applyNumberFormat="0" applyFont="0" applyAlignment="0" applyProtection="0"/>
    <xf numFmtId="0" fontId="17" fillId="28" borderId="5" applyNumberFormat="0" applyFont="0" applyAlignment="0" applyProtection="0"/>
    <xf numFmtId="0" fontId="17" fillId="28" borderId="5" applyNumberFormat="0" applyFont="0" applyAlignment="0" applyProtection="0"/>
    <xf numFmtId="0" fontId="17" fillId="28" borderId="5" applyNumberFormat="0" applyFont="0" applyAlignment="0" applyProtection="0"/>
    <xf numFmtId="0" fontId="17" fillId="28" borderId="5" applyNumberFormat="0" applyFont="0" applyAlignment="0" applyProtection="0"/>
    <xf numFmtId="0" fontId="17" fillId="28" borderId="5" applyNumberFormat="0" applyFont="0" applyAlignment="0" applyProtection="0"/>
    <xf numFmtId="0" fontId="17" fillId="28" borderId="5" applyNumberFormat="0" applyFont="0" applyAlignment="0" applyProtection="0"/>
    <xf numFmtId="0" fontId="17" fillId="28" borderId="5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7" fillId="21" borderId="6" applyNumberFormat="0" applyAlignment="0" applyProtection="0"/>
    <xf numFmtId="0" fontId="27" fillId="21" borderId="6" applyNumberFormat="0" applyAlignment="0" applyProtection="0"/>
    <xf numFmtId="0" fontId="27" fillId="21" borderId="6" applyNumberFormat="0" applyAlignment="0" applyProtection="0"/>
    <xf numFmtId="0" fontId="27" fillId="21" borderId="6" applyNumberFormat="0" applyAlignment="0" applyProtection="0"/>
    <xf numFmtId="0" fontId="27" fillId="21" borderId="6" applyNumberFormat="0" applyAlignment="0" applyProtection="0"/>
    <xf numFmtId="0" fontId="27" fillId="21" borderId="6" applyNumberFormat="0" applyAlignment="0" applyProtection="0"/>
    <xf numFmtId="0" fontId="27" fillId="21" borderId="6" applyNumberFormat="0" applyAlignment="0" applyProtection="0"/>
    <xf numFmtId="0" fontId="27" fillId="21" borderId="6" applyNumberFormat="0" applyAlignment="0" applyProtection="0"/>
    <xf numFmtId="0" fontId="27" fillId="21" borderId="6" applyNumberFormat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1" fillId="0" borderId="7" applyNumberFormat="0" applyFill="0" applyAlignment="0" applyProtection="0"/>
    <xf numFmtId="0" fontId="31" fillId="0" borderId="7" applyNumberFormat="0" applyFill="0" applyAlignment="0" applyProtection="0"/>
    <xf numFmtId="0" fontId="31" fillId="0" borderId="7" applyNumberFormat="0" applyFill="0" applyAlignment="0" applyProtection="0"/>
    <xf numFmtId="0" fontId="31" fillId="0" borderId="7" applyNumberFormat="0" applyFill="0" applyAlignment="0" applyProtection="0"/>
    <xf numFmtId="0" fontId="31" fillId="0" borderId="7" applyNumberFormat="0" applyFill="0" applyAlignment="0" applyProtection="0"/>
    <xf numFmtId="0" fontId="31" fillId="0" borderId="7" applyNumberFormat="0" applyFill="0" applyAlignment="0" applyProtection="0"/>
    <xf numFmtId="0" fontId="31" fillId="0" borderId="7" applyNumberFormat="0" applyFill="0" applyAlignment="0" applyProtection="0"/>
    <xf numFmtId="0" fontId="31" fillId="0" borderId="7" applyNumberFormat="0" applyFill="0" applyAlignment="0" applyProtection="0"/>
    <xf numFmtId="0" fontId="31" fillId="0" borderId="7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8" applyNumberFormat="0" applyFill="0" applyAlignment="0" applyProtection="0"/>
    <xf numFmtId="0" fontId="32" fillId="0" borderId="8" applyNumberFormat="0" applyFill="0" applyAlignment="0" applyProtection="0"/>
    <xf numFmtId="0" fontId="32" fillId="0" borderId="8" applyNumberFormat="0" applyFill="0" applyAlignment="0" applyProtection="0"/>
    <xf numFmtId="0" fontId="32" fillId="0" borderId="8" applyNumberFormat="0" applyFill="0" applyAlignment="0" applyProtection="0"/>
    <xf numFmtId="0" fontId="32" fillId="0" borderId="8" applyNumberFormat="0" applyFill="0" applyAlignment="0" applyProtection="0"/>
    <xf numFmtId="0" fontId="32" fillId="0" borderId="8" applyNumberFormat="0" applyFill="0" applyAlignment="0" applyProtection="0"/>
    <xf numFmtId="0" fontId="32" fillId="0" borderId="8" applyNumberFormat="0" applyFill="0" applyAlignment="0" applyProtection="0"/>
    <xf numFmtId="0" fontId="32" fillId="0" borderId="8" applyNumberFormat="0" applyFill="0" applyAlignment="0" applyProtection="0"/>
    <xf numFmtId="0" fontId="32" fillId="0" borderId="8" applyNumberFormat="0" applyFill="0" applyAlignment="0" applyProtection="0"/>
    <xf numFmtId="0" fontId="33" fillId="0" borderId="9" applyNumberFormat="0" applyFill="0" applyAlignment="0" applyProtection="0"/>
    <xf numFmtId="0" fontId="33" fillId="0" borderId="9" applyNumberFormat="0" applyFill="0" applyAlignment="0" applyProtection="0"/>
    <xf numFmtId="0" fontId="33" fillId="0" borderId="9" applyNumberFormat="0" applyFill="0" applyAlignment="0" applyProtection="0"/>
    <xf numFmtId="0" fontId="33" fillId="0" borderId="9" applyNumberFormat="0" applyFill="0" applyAlignment="0" applyProtection="0"/>
    <xf numFmtId="0" fontId="33" fillId="0" borderId="9" applyNumberFormat="0" applyFill="0" applyAlignment="0" applyProtection="0"/>
    <xf numFmtId="0" fontId="33" fillId="0" borderId="9" applyNumberFormat="0" applyFill="0" applyAlignment="0" applyProtection="0"/>
    <xf numFmtId="0" fontId="33" fillId="0" borderId="9" applyNumberFormat="0" applyFill="0" applyAlignment="0" applyProtection="0"/>
    <xf numFmtId="0" fontId="33" fillId="0" borderId="9" applyNumberFormat="0" applyFill="0" applyAlignment="0" applyProtection="0"/>
    <xf numFmtId="0" fontId="33" fillId="0" borderId="9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21" fillId="21" borderId="25" applyNumberFormat="0" applyAlignment="0" applyProtection="0"/>
    <xf numFmtId="0" fontId="21" fillId="21" borderId="25" applyNumberFormat="0" applyAlignment="0" applyProtection="0"/>
    <xf numFmtId="0" fontId="21" fillId="21" borderId="25" applyNumberFormat="0" applyAlignment="0" applyProtection="0"/>
    <xf numFmtId="0" fontId="21" fillId="21" borderId="25" applyNumberFormat="0" applyAlignment="0" applyProtection="0"/>
    <xf numFmtId="0" fontId="21" fillId="21" borderId="25" applyNumberFormat="0" applyAlignment="0" applyProtection="0"/>
    <xf numFmtId="0" fontId="21" fillId="21" borderId="25" applyNumberFormat="0" applyAlignment="0" applyProtection="0"/>
    <xf numFmtId="0" fontId="21" fillId="21" borderId="25" applyNumberFormat="0" applyAlignment="0" applyProtection="0"/>
    <xf numFmtId="0" fontId="21" fillId="21" borderId="25" applyNumberFormat="0" applyAlignment="0" applyProtection="0"/>
    <xf numFmtId="0" fontId="21" fillId="21" borderId="25" applyNumberFormat="0" applyAlignment="0" applyProtection="0"/>
    <xf numFmtId="0" fontId="24" fillId="12" borderId="25" applyNumberFormat="0" applyAlignment="0" applyProtection="0"/>
    <xf numFmtId="0" fontId="24" fillId="12" borderId="25" applyNumberFormat="0" applyAlignment="0" applyProtection="0"/>
    <xf numFmtId="0" fontId="24" fillId="12" borderId="25" applyNumberFormat="0" applyAlignment="0" applyProtection="0"/>
    <xf numFmtId="0" fontId="24" fillId="12" borderId="25" applyNumberFormat="0" applyAlignment="0" applyProtection="0"/>
    <xf numFmtId="0" fontId="24" fillId="12" borderId="25" applyNumberFormat="0" applyAlignment="0" applyProtection="0"/>
    <xf numFmtId="0" fontId="24" fillId="12" borderId="25" applyNumberFormat="0" applyAlignment="0" applyProtection="0"/>
    <xf numFmtId="0" fontId="24" fillId="12" borderId="25" applyNumberFormat="0" applyAlignment="0" applyProtection="0"/>
    <xf numFmtId="0" fontId="24" fillId="12" borderId="25" applyNumberFormat="0" applyAlignment="0" applyProtection="0"/>
    <xf numFmtId="0" fontId="24" fillId="12" borderId="25" applyNumberForma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27" fillId="21" borderId="27" applyNumberFormat="0" applyAlignment="0" applyProtection="0"/>
    <xf numFmtId="0" fontId="27" fillId="21" borderId="27" applyNumberFormat="0" applyAlignment="0" applyProtection="0"/>
    <xf numFmtId="0" fontId="27" fillId="21" borderId="27" applyNumberFormat="0" applyAlignment="0" applyProtection="0"/>
    <xf numFmtId="0" fontId="27" fillId="21" borderId="27" applyNumberFormat="0" applyAlignment="0" applyProtection="0"/>
    <xf numFmtId="0" fontId="27" fillId="21" borderId="27" applyNumberFormat="0" applyAlignment="0" applyProtection="0"/>
    <xf numFmtId="0" fontId="27" fillId="21" borderId="27" applyNumberFormat="0" applyAlignment="0" applyProtection="0"/>
    <xf numFmtId="0" fontId="27" fillId="21" borderId="27" applyNumberFormat="0" applyAlignment="0" applyProtection="0"/>
    <xf numFmtId="0" fontId="27" fillId="21" borderId="27" applyNumberFormat="0" applyAlignment="0" applyProtection="0"/>
    <xf numFmtId="0" fontId="27" fillId="21" borderId="27" applyNumberFormat="0" applyAlignment="0" applyProtection="0"/>
    <xf numFmtId="0" fontId="34" fillId="0" borderId="28" applyNumberFormat="0" applyFill="0" applyAlignment="0" applyProtection="0"/>
    <xf numFmtId="0" fontId="34" fillId="0" borderId="28" applyNumberFormat="0" applyFill="0" applyAlignment="0" applyProtection="0"/>
    <xf numFmtId="0" fontId="34" fillId="0" borderId="28" applyNumberFormat="0" applyFill="0" applyAlignment="0" applyProtection="0"/>
    <xf numFmtId="0" fontId="34" fillId="0" borderId="28" applyNumberFormat="0" applyFill="0" applyAlignment="0" applyProtection="0"/>
    <xf numFmtId="0" fontId="34" fillId="0" borderId="28" applyNumberFormat="0" applyFill="0" applyAlignment="0" applyProtection="0"/>
    <xf numFmtId="0" fontId="34" fillId="0" borderId="28" applyNumberFormat="0" applyFill="0" applyAlignment="0" applyProtection="0"/>
    <xf numFmtId="0" fontId="34" fillId="0" borderId="28" applyNumberFormat="0" applyFill="0" applyAlignment="0" applyProtection="0"/>
    <xf numFmtId="0" fontId="34" fillId="0" borderId="28" applyNumberFormat="0" applyFill="0" applyAlignment="0" applyProtection="0"/>
    <xf numFmtId="0" fontId="34" fillId="0" borderId="28" applyNumberFormat="0" applyFill="0" applyAlignment="0" applyProtection="0"/>
    <xf numFmtId="0" fontId="21" fillId="21" borderId="43" applyNumberFormat="0" applyAlignment="0" applyProtection="0"/>
    <xf numFmtId="0" fontId="21" fillId="21" borderId="43" applyNumberFormat="0" applyAlignment="0" applyProtection="0"/>
    <xf numFmtId="0" fontId="21" fillId="21" borderId="43" applyNumberFormat="0" applyAlignment="0" applyProtection="0"/>
    <xf numFmtId="0" fontId="21" fillId="21" borderId="43" applyNumberFormat="0" applyAlignment="0" applyProtection="0"/>
    <xf numFmtId="0" fontId="21" fillId="21" borderId="43" applyNumberFormat="0" applyAlignment="0" applyProtection="0"/>
    <xf numFmtId="0" fontId="21" fillId="21" borderId="43" applyNumberFormat="0" applyAlignment="0" applyProtection="0"/>
    <xf numFmtId="0" fontId="21" fillId="21" borderId="43" applyNumberFormat="0" applyAlignment="0" applyProtection="0"/>
    <xf numFmtId="0" fontId="21" fillId="21" borderId="43" applyNumberFormat="0" applyAlignment="0" applyProtection="0"/>
    <xf numFmtId="0" fontId="21" fillId="21" borderId="43" applyNumberFormat="0" applyAlignment="0" applyProtection="0"/>
    <xf numFmtId="0" fontId="24" fillId="12" borderId="43" applyNumberFormat="0" applyAlignment="0" applyProtection="0"/>
    <xf numFmtId="0" fontId="24" fillId="12" borderId="43" applyNumberFormat="0" applyAlignment="0" applyProtection="0"/>
    <xf numFmtId="0" fontId="24" fillId="12" borderId="43" applyNumberFormat="0" applyAlignment="0" applyProtection="0"/>
    <xf numFmtId="0" fontId="24" fillId="12" borderId="43" applyNumberFormat="0" applyAlignment="0" applyProtection="0"/>
    <xf numFmtId="0" fontId="24" fillId="12" borderId="43" applyNumberFormat="0" applyAlignment="0" applyProtection="0"/>
    <xf numFmtId="0" fontId="24" fillId="12" borderId="43" applyNumberFormat="0" applyAlignment="0" applyProtection="0"/>
    <xf numFmtId="0" fontId="24" fillId="12" borderId="43" applyNumberFormat="0" applyAlignment="0" applyProtection="0"/>
    <xf numFmtId="0" fontId="24" fillId="12" borderId="43" applyNumberFormat="0" applyAlignment="0" applyProtection="0"/>
    <xf numFmtId="0" fontId="24" fillId="12" borderId="43" applyNumberFormat="0" applyAlignment="0" applyProtection="0"/>
    <xf numFmtId="0" fontId="17" fillId="28" borderId="44" applyNumberFormat="0" applyFont="0" applyAlignment="0" applyProtection="0"/>
    <xf numFmtId="0" fontId="17" fillId="28" borderId="44" applyNumberFormat="0" applyFont="0" applyAlignment="0" applyProtection="0"/>
    <xf numFmtId="0" fontId="17" fillId="28" borderId="44" applyNumberFormat="0" applyFont="0" applyAlignment="0" applyProtection="0"/>
    <xf numFmtId="0" fontId="17" fillId="28" borderId="44" applyNumberFormat="0" applyFont="0" applyAlignment="0" applyProtection="0"/>
    <xf numFmtId="0" fontId="17" fillId="28" borderId="44" applyNumberFormat="0" applyFont="0" applyAlignment="0" applyProtection="0"/>
    <xf numFmtId="0" fontId="17" fillId="28" borderId="44" applyNumberFormat="0" applyFont="0" applyAlignment="0" applyProtection="0"/>
    <xf numFmtId="0" fontId="17" fillId="28" borderId="44" applyNumberFormat="0" applyFont="0" applyAlignment="0" applyProtection="0"/>
    <xf numFmtId="0" fontId="17" fillId="28" borderId="44" applyNumberFormat="0" applyFont="0" applyAlignment="0" applyProtection="0"/>
    <xf numFmtId="0" fontId="17" fillId="28" borderId="44" applyNumberFormat="0" applyFont="0" applyAlignment="0" applyProtection="0"/>
    <xf numFmtId="0" fontId="27" fillId="21" borderId="45" applyNumberFormat="0" applyAlignment="0" applyProtection="0"/>
    <xf numFmtId="0" fontId="27" fillId="21" borderId="45" applyNumberFormat="0" applyAlignment="0" applyProtection="0"/>
    <xf numFmtId="0" fontId="27" fillId="21" borderId="45" applyNumberFormat="0" applyAlignment="0" applyProtection="0"/>
    <xf numFmtId="0" fontId="27" fillId="21" borderId="45" applyNumberFormat="0" applyAlignment="0" applyProtection="0"/>
    <xf numFmtId="0" fontId="27" fillId="21" borderId="45" applyNumberFormat="0" applyAlignment="0" applyProtection="0"/>
    <xf numFmtId="0" fontId="27" fillId="21" borderId="45" applyNumberFormat="0" applyAlignment="0" applyProtection="0"/>
    <xf numFmtId="0" fontId="27" fillId="21" borderId="45" applyNumberFormat="0" applyAlignment="0" applyProtection="0"/>
    <xf numFmtId="0" fontId="27" fillId="21" borderId="45" applyNumberFormat="0" applyAlignment="0" applyProtection="0"/>
    <xf numFmtId="0" fontId="27" fillId="21" borderId="45" applyNumberFormat="0" applyAlignment="0" applyProtection="0"/>
    <xf numFmtId="0" fontId="34" fillId="0" borderId="46" applyNumberFormat="0" applyFill="0" applyAlignment="0" applyProtection="0"/>
    <xf numFmtId="0" fontId="34" fillId="0" borderId="46" applyNumberFormat="0" applyFill="0" applyAlignment="0" applyProtection="0"/>
    <xf numFmtId="0" fontId="34" fillId="0" borderId="46" applyNumberFormat="0" applyFill="0" applyAlignment="0" applyProtection="0"/>
    <xf numFmtId="0" fontId="34" fillId="0" borderId="46" applyNumberFormat="0" applyFill="0" applyAlignment="0" applyProtection="0"/>
    <xf numFmtId="0" fontId="34" fillId="0" borderId="46" applyNumberFormat="0" applyFill="0" applyAlignment="0" applyProtection="0"/>
    <xf numFmtId="0" fontId="34" fillId="0" borderId="46" applyNumberFormat="0" applyFill="0" applyAlignment="0" applyProtection="0"/>
    <xf numFmtId="0" fontId="34" fillId="0" borderId="46" applyNumberFormat="0" applyFill="0" applyAlignment="0" applyProtection="0"/>
    <xf numFmtId="0" fontId="34" fillId="0" borderId="46" applyNumberFormat="0" applyFill="0" applyAlignment="0" applyProtection="0"/>
    <xf numFmtId="0" fontId="34" fillId="0" borderId="46" applyNumberFormat="0" applyFill="0" applyAlignment="0" applyProtection="0"/>
    <xf numFmtId="0" fontId="21" fillId="21" borderId="43" applyNumberFormat="0" applyAlignment="0" applyProtection="0"/>
    <xf numFmtId="0" fontId="21" fillId="21" borderId="43" applyNumberFormat="0" applyAlignment="0" applyProtection="0"/>
    <xf numFmtId="0" fontId="21" fillId="21" borderId="43" applyNumberFormat="0" applyAlignment="0" applyProtection="0"/>
    <xf numFmtId="0" fontId="21" fillId="21" borderId="43" applyNumberFormat="0" applyAlignment="0" applyProtection="0"/>
    <xf numFmtId="0" fontId="21" fillId="21" borderId="43" applyNumberFormat="0" applyAlignment="0" applyProtection="0"/>
    <xf numFmtId="0" fontId="21" fillId="21" borderId="43" applyNumberFormat="0" applyAlignment="0" applyProtection="0"/>
    <xf numFmtId="0" fontId="21" fillId="21" borderId="43" applyNumberFormat="0" applyAlignment="0" applyProtection="0"/>
    <xf numFmtId="0" fontId="21" fillId="21" borderId="43" applyNumberFormat="0" applyAlignment="0" applyProtection="0"/>
    <xf numFmtId="0" fontId="21" fillId="21" borderId="43" applyNumberFormat="0" applyAlignment="0" applyProtection="0"/>
    <xf numFmtId="0" fontId="24" fillId="12" borderId="43" applyNumberFormat="0" applyAlignment="0" applyProtection="0"/>
    <xf numFmtId="0" fontId="24" fillId="12" borderId="43" applyNumberFormat="0" applyAlignment="0" applyProtection="0"/>
    <xf numFmtId="0" fontId="24" fillId="12" borderId="43" applyNumberFormat="0" applyAlignment="0" applyProtection="0"/>
    <xf numFmtId="0" fontId="24" fillId="12" borderId="43" applyNumberFormat="0" applyAlignment="0" applyProtection="0"/>
    <xf numFmtId="0" fontId="24" fillId="12" borderId="43" applyNumberFormat="0" applyAlignment="0" applyProtection="0"/>
    <xf numFmtId="0" fontId="24" fillId="12" borderId="43" applyNumberFormat="0" applyAlignment="0" applyProtection="0"/>
    <xf numFmtId="0" fontId="24" fillId="12" borderId="43" applyNumberFormat="0" applyAlignment="0" applyProtection="0"/>
    <xf numFmtId="0" fontId="24" fillId="12" borderId="43" applyNumberFormat="0" applyAlignment="0" applyProtection="0"/>
    <xf numFmtId="0" fontId="24" fillId="12" borderId="43" applyNumberFormat="0" applyAlignment="0" applyProtection="0"/>
    <xf numFmtId="0" fontId="17" fillId="28" borderId="44" applyNumberFormat="0" applyFont="0" applyAlignment="0" applyProtection="0"/>
    <xf numFmtId="0" fontId="17" fillId="28" borderId="44" applyNumberFormat="0" applyFont="0" applyAlignment="0" applyProtection="0"/>
    <xf numFmtId="0" fontId="17" fillId="28" borderId="44" applyNumberFormat="0" applyFont="0" applyAlignment="0" applyProtection="0"/>
    <xf numFmtId="0" fontId="17" fillId="28" borderId="44" applyNumberFormat="0" applyFont="0" applyAlignment="0" applyProtection="0"/>
    <xf numFmtId="0" fontId="17" fillId="28" borderId="44" applyNumberFormat="0" applyFont="0" applyAlignment="0" applyProtection="0"/>
    <xf numFmtId="0" fontId="17" fillId="28" borderId="44" applyNumberFormat="0" applyFont="0" applyAlignment="0" applyProtection="0"/>
    <xf numFmtId="0" fontId="17" fillId="28" borderId="44" applyNumberFormat="0" applyFont="0" applyAlignment="0" applyProtection="0"/>
    <xf numFmtId="0" fontId="17" fillId="28" borderId="44" applyNumberFormat="0" applyFont="0" applyAlignment="0" applyProtection="0"/>
    <xf numFmtId="0" fontId="17" fillId="28" borderId="44" applyNumberFormat="0" applyFont="0" applyAlignment="0" applyProtection="0"/>
    <xf numFmtId="0" fontId="27" fillId="21" borderId="45" applyNumberFormat="0" applyAlignment="0" applyProtection="0"/>
    <xf numFmtId="0" fontId="27" fillId="21" borderId="45" applyNumberFormat="0" applyAlignment="0" applyProtection="0"/>
    <xf numFmtId="0" fontId="27" fillId="21" borderId="45" applyNumberFormat="0" applyAlignment="0" applyProtection="0"/>
    <xf numFmtId="0" fontId="27" fillId="21" borderId="45" applyNumberFormat="0" applyAlignment="0" applyProtection="0"/>
    <xf numFmtId="0" fontId="27" fillId="21" borderId="45" applyNumberFormat="0" applyAlignment="0" applyProtection="0"/>
    <xf numFmtId="0" fontId="27" fillId="21" borderId="45" applyNumberFormat="0" applyAlignment="0" applyProtection="0"/>
    <xf numFmtId="0" fontId="27" fillId="21" borderId="45" applyNumberFormat="0" applyAlignment="0" applyProtection="0"/>
    <xf numFmtId="0" fontId="27" fillId="21" borderId="45" applyNumberFormat="0" applyAlignment="0" applyProtection="0"/>
    <xf numFmtId="0" fontId="27" fillId="21" borderId="45" applyNumberFormat="0" applyAlignment="0" applyProtection="0"/>
    <xf numFmtId="0" fontId="34" fillId="0" borderId="46" applyNumberFormat="0" applyFill="0" applyAlignment="0" applyProtection="0"/>
    <xf numFmtId="0" fontId="34" fillId="0" borderId="46" applyNumberFormat="0" applyFill="0" applyAlignment="0" applyProtection="0"/>
    <xf numFmtId="0" fontId="34" fillId="0" borderId="46" applyNumberFormat="0" applyFill="0" applyAlignment="0" applyProtection="0"/>
    <xf numFmtId="0" fontId="34" fillId="0" borderId="46" applyNumberFormat="0" applyFill="0" applyAlignment="0" applyProtection="0"/>
    <xf numFmtId="0" fontId="34" fillId="0" borderId="46" applyNumberFormat="0" applyFill="0" applyAlignment="0" applyProtection="0"/>
    <xf numFmtId="0" fontId="34" fillId="0" borderId="46" applyNumberFormat="0" applyFill="0" applyAlignment="0" applyProtection="0"/>
    <xf numFmtId="0" fontId="34" fillId="0" borderId="46" applyNumberFormat="0" applyFill="0" applyAlignment="0" applyProtection="0"/>
    <xf numFmtId="0" fontId="34" fillId="0" borderId="46" applyNumberFormat="0" applyFill="0" applyAlignment="0" applyProtection="0"/>
    <xf numFmtId="0" fontId="34" fillId="0" borderId="46" applyNumberFormat="0" applyFill="0" applyAlignment="0" applyProtection="0"/>
    <xf numFmtId="0" fontId="12" fillId="0" borderId="0"/>
    <xf numFmtId="0" fontId="14" fillId="0" borderId="0"/>
    <xf numFmtId="0" fontId="27" fillId="21" borderId="49" applyNumberFormat="0" applyAlignment="0" applyProtection="0"/>
    <xf numFmtId="0" fontId="12" fillId="0" borderId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9" fontId="17" fillId="0" borderId="0" applyFont="0" applyFill="0" applyBorder="0" applyAlignment="0" applyProtection="0"/>
    <xf numFmtId="0" fontId="12" fillId="0" borderId="0"/>
    <xf numFmtId="0" fontId="12" fillId="0" borderId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9" fontId="12" fillId="0" borderId="0" applyFont="0" applyFill="0" applyBorder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12" fillId="0" borderId="0"/>
    <xf numFmtId="0" fontId="14" fillId="0" borderId="0"/>
    <xf numFmtId="0" fontId="12" fillId="0" borderId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14" fillId="0" borderId="0"/>
    <xf numFmtId="0" fontId="17" fillId="0" borderId="0">
      <alignment vertical="center"/>
    </xf>
    <xf numFmtId="0" fontId="17" fillId="0" borderId="0"/>
    <xf numFmtId="9" fontId="17" fillId="0" borderId="0" applyFont="0" applyFill="0" applyBorder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9" fontId="12" fillId="0" borderId="0" applyFont="0" applyFill="0" applyBorder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12" fillId="0" borderId="0"/>
    <xf numFmtId="0" fontId="14" fillId="0" borderId="0"/>
    <xf numFmtId="0" fontId="12" fillId="0" borderId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14" fillId="0" borderId="0"/>
    <xf numFmtId="0" fontId="17" fillId="0" borderId="0">
      <alignment vertical="center"/>
    </xf>
    <xf numFmtId="0" fontId="12" fillId="0" borderId="0"/>
    <xf numFmtId="0" fontId="12" fillId="0" borderId="0"/>
    <xf numFmtId="0" fontId="14" fillId="0" borderId="0"/>
    <xf numFmtId="0" fontId="12" fillId="0" borderId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14" fillId="0" borderId="0"/>
    <xf numFmtId="0" fontId="17" fillId="0" borderId="0">
      <alignment vertical="center"/>
    </xf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1" fillId="21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24" fillId="12" borderId="47" applyNumberForma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17" fillId="28" borderId="48" applyNumberFormat="0" applyFon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27" fillId="21" borderId="49" applyNumberFormat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34" fillId="0" borderId="50" applyNumberFormat="0" applyFill="0" applyAlignment="0" applyProtection="0"/>
    <xf numFmtId="0" fontId="14" fillId="0" borderId="0"/>
    <xf numFmtId="0" fontId="17" fillId="0" borderId="0">
      <alignment vertical="center"/>
    </xf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1" fillId="21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24" fillId="12" borderId="51" applyNumberForma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17" fillId="28" borderId="52" applyNumberFormat="0" applyFon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27" fillId="21" borderId="53" applyNumberFormat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34" fillId="0" borderId="54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1" fillId="21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24" fillId="12" borderId="55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27" fillId="21" borderId="57" applyNumberFormat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27" fillId="21" borderId="60" applyNumberForma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17" fillId="28" borderId="56" applyNumberFormat="0" applyFont="0" applyAlignment="0" applyProtection="0"/>
    <xf numFmtId="0" fontId="24" fillId="12" borderId="59" applyNumberFormat="0" applyAlignment="0" applyProtection="0"/>
    <xf numFmtId="0" fontId="34" fillId="0" borderId="61" applyNumberFormat="0" applyFill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17" fillId="28" borderId="56" applyNumberFormat="0" applyFont="0" applyAlignment="0" applyProtection="0"/>
    <xf numFmtId="0" fontId="34" fillId="0" borderId="61" applyNumberFormat="0" applyFill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7" fillId="28" borderId="56" applyNumberFormat="0" applyFont="0" applyAlignment="0" applyProtection="0"/>
    <xf numFmtId="0" fontId="17" fillId="28" borderId="56" applyNumberFormat="0" applyFont="0" applyAlignment="0" applyProtection="0"/>
    <xf numFmtId="0" fontId="21" fillId="21" borderId="59" applyNumberFormat="0" applyAlignment="0" applyProtection="0"/>
    <xf numFmtId="0" fontId="27" fillId="21" borderId="60" applyNumberFormat="0" applyAlignment="0" applyProtection="0"/>
    <xf numFmtId="0" fontId="34" fillId="0" borderId="61" applyNumberFormat="0" applyFill="0" applyAlignment="0" applyProtection="0"/>
    <xf numFmtId="0" fontId="11" fillId="0" borderId="0"/>
    <xf numFmtId="0" fontId="10" fillId="0" borderId="0"/>
    <xf numFmtId="0" fontId="14" fillId="0" borderId="0"/>
    <xf numFmtId="9" fontId="14" fillId="0" borderId="0" applyFont="0" applyFill="0" applyBorder="0" applyAlignment="0" applyProtection="0"/>
    <xf numFmtId="0" fontId="10" fillId="0" borderId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" fillId="12" borderId="65" applyNumberFormat="0" applyAlignment="0" applyProtection="0"/>
    <xf numFmtId="0" fontId="10" fillId="0" borderId="0"/>
    <xf numFmtId="0" fontId="10" fillId="0" borderId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0" fillId="0" borderId="0"/>
    <xf numFmtId="0" fontId="10" fillId="0" borderId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9" fontId="10" fillId="0" borderId="0" applyFont="0" applyFill="0" applyBorder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10" fillId="0" borderId="0"/>
    <xf numFmtId="0" fontId="27" fillId="21" borderId="63" applyNumberFormat="0" applyAlignment="0" applyProtection="0"/>
    <xf numFmtId="0" fontId="10" fillId="0" borderId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28" borderId="66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28" borderId="66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9" fontId="10" fillId="0" borderId="0" applyFont="0" applyFill="0" applyBorder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0" fillId="0" borderId="0"/>
    <xf numFmtId="0" fontId="10" fillId="0" borderId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28" borderId="66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9" fontId="10" fillId="0" borderId="0" applyFont="0" applyFill="0" applyBorder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0" fillId="0" borderId="0"/>
    <xf numFmtId="0" fontId="10" fillId="0" borderId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10" fillId="0" borderId="0"/>
    <xf numFmtId="0" fontId="10" fillId="0" borderId="0"/>
    <xf numFmtId="0" fontId="10" fillId="0" borderId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27" fillId="21" borderId="63" applyNumberFormat="0" applyAlignment="0" applyProtection="0"/>
    <xf numFmtId="0" fontId="17" fillId="28" borderId="66" applyNumberFormat="0" applyFon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34" fillId="0" borderId="64" applyNumberFormat="0" applyFill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34" fillId="0" borderId="64" applyNumberFormat="0" applyFill="0" applyAlignment="0" applyProtection="0"/>
    <xf numFmtId="0" fontId="24" fillId="12" borderId="65" applyNumberFormat="0" applyAlignment="0" applyProtection="0"/>
    <xf numFmtId="0" fontId="34" fillId="0" borderId="64" applyNumberFormat="0" applyFill="0" applyAlignment="0" applyProtection="0"/>
    <xf numFmtId="0" fontId="21" fillId="21" borderId="65" applyNumberForma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7" fillId="28" borderId="66" applyNumberFormat="0" applyFont="0" applyAlignment="0" applyProtection="0"/>
    <xf numFmtId="0" fontId="27" fillId="21" borderId="63" applyNumberFormat="0" applyAlignment="0" applyProtection="0"/>
    <xf numFmtId="0" fontId="34" fillId="0" borderId="64" applyNumberFormat="0" applyFill="0" applyAlignment="0" applyProtection="0"/>
    <xf numFmtId="0" fontId="10" fillId="0" borderId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17" fillId="28" borderId="66" applyNumberFormat="0" applyFont="0" applyAlignment="0" applyProtection="0"/>
    <xf numFmtId="0" fontId="24" fillId="12" borderId="65" applyNumberForma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17" fillId="28" borderId="66" applyNumberFormat="0" applyFont="0" applyAlignment="0" applyProtection="0"/>
    <xf numFmtId="0" fontId="17" fillId="28" borderId="66" applyNumberFormat="0" applyFont="0" applyAlignment="0" applyProtection="0"/>
    <xf numFmtId="0" fontId="21" fillId="21" borderId="65" applyNumberFormat="0" applyAlignment="0" applyProtection="0"/>
    <xf numFmtId="0" fontId="9" fillId="0" borderId="0"/>
    <xf numFmtId="0" fontId="8" fillId="0" borderId="0"/>
    <xf numFmtId="0" fontId="14" fillId="0" borderId="0"/>
    <xf numFmtId="9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8" fillId="0" borderId="0"/>
    <xf numFmtId="0" fontId="27" fillId="21" borderId="67" applyNumberFormat="0" applyAlignment="0" applyProtection="0"/>
    <xf numFmtId="0" fontId="8" fillId="0" borderId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8" fillId="0" borderId="0"/>
    <xf numFmtId="0" fontId="8" fillId="0" borderId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8" fillId="0" borderId="0"/>
    <xf numFmtId="0" fontId="8" fillId="0" borderId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8" fillId="0" borderId="0"/>
    <xf numFmtId="0" fontId="27" fillId="21" borderId="67" applyNumberFormat="0" applyAlignment="0" applyProtection="0"/>
    <xf numFmtId="0" fontId="8" fillId="0" borderId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8" fillId="0" borderId="0"/>
    <xf numFmtId="0" fontId="8" fillId="0" borderId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8" fillId="0" borderId="0"/>
    <xf numFmtId="0" fontId="8" fillId="0" borderId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27" fillId="21" borderId="67" applyNumberFormat="0" applyAlignment="0" applyProtection="0"/>
    <xf numFmtId="0" fontId="34" fillId="0" borderId="68" applyNumberFormat="0" applyFill="0" applyAlignment="0" applyProtection="0"/>
    <xf numFmtId="0" fontId="8" fillId="0" borderId="0"/>
    <xf numFmtId="0" fontId="8" fillId="0" borderId="0"/>
    <xf numFmtId="0" fontId="7" fillId="0" borderId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9" fontId="7" fillId="0" borderId="0" applyFont="0" applyFill="0" applyBorder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7" fillId="0" borderId="0"/>
    <xf numFmtId="0" fontId="27" fillId="21" borderId="73" applyNumberFormat="0" applyAlignment="0" applyProtection="0"/>
    <xf numFmtId="0" fontId="7" fillId="0" borderId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9" fontId="7" fillId="0" borderId="0" applyFont="0" applyFill="0" applyBorder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7" fillId="0" borderId="0"/>
    <xf numFmtId="0" fontId="7" fillId="0" borderId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9" fontId="7" fillId="0" borderId="0" applyFont="0" applyFill="0" applyBorder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7" fillId="0" borderId="0"/>
    <xf numFmtId="0" fontId="7" fillId="0" borderId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12" borderId="71" applyNumberFormat="0" applyAlignment="0" applyProtection="0"/>
    <xf numFmtId="0" fontId="7" fillId="0" borderId="0"/>
    <xf numFmtId="0" fontId="7" fillId="0" borderId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7" fillId="0" borderId="0"/>
    <xf numFmtId="0" fontId="7" fillId="0" borderId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9" fontId="7" fillId="0" borderId="0" applyFont="0" applyFill="0" applyBorder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7" fillId="0" borderId="0"/>
    <xf numFmtId="0" fontId="27" fillId="21" borderId="73" applyNumberFormat="0" applyAlignment="0" applyProtection="0"/>
    <xf numFmtId="0" fontId="7" fillId="0" borderId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28" borderId="7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28" borderId="7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9" fontId="7" fillId="0" borderId="0" applyFont="0" applyFill="0" applyBorder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7" fillId="0" borderId="0"/>
    <xf numFmtId="0" fontId="7" fillId="0" borderId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28" borderId="7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9" fontId="7" fillId="0" borderId="0" applyFont="0" applyFill="0" applyBorder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7" fillId="0" borderId="0"/>
    <xf numFmtId="0" fontId="7" fillId="0" borderId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7" fillId="0" borderId="0"/>
    <xf numFmtId="0" fontId="7" fillId="0" borderId="0"/>
    <xf numFmtId="0" fontId="7" fillId="0" borderId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17" fillId="28" borderId="72" applyNumberFormat="0" applyFon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4" fillId="12" borderId="71" applyNumberFormat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7" fillId="0" borderId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24" fillId="12" borderId="71" applyNumberForma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1" fillId="21" borderId="71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7" fillId="0" borderId="0"/>
    <xf numFmtId="0" fontId="27" fillId="21" borderId="73" applyNumberFormat="0" applyAlignment="0" applyProtection="0"/>
    <xf numFmtId="0" fontId="7" fillId="0" borderId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7" fillId="0" borderId="0"/>
    <xf numFmtId="0" fontId="7" fillId="0" borderId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7" fillId="0" borderId="0"/>
    <xf numFmtId="0" fontId="7" fillId="0" borderId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7" fillId="0" borderId="0"/>
    <xf numFmtId="0" fontId="27" fillId="21" borderId="73" applyNumberFormat="0" applyAlignment="0" applyProtection="0"/>
    <xf numFmtId="0" fontId="7" fillId="0" borderId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7" fillId="0" borderId="0"/>
    <xf numFmtId="0" fontId="7" fillId="0" borderId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7" fillId="0" borderId="0"/>
    <xf numFmtId="0" fontId="7" fillId="0" borderId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7" fillId="0" borderId="0"/>
    <xf numFmtId="0" fontId="7" fillId="0" borderId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1" fillId="21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24" fillId="12" borderId="71" applyNumberForma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17" fillId="28" borderId="72" applyNumberFormat="0" applyFon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27" fillId="21" borderId="73" applyNumberFormat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14" fillId="0" borderId="0"/>
    <xf numFmtId="0" fontId="4" fillId="0" borderId="0"/>
    <xf numFmtId="0" fontId="14" fillId="0" borderId="0"/>
  </cellStyleXfs>
  <cellXfs count="387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 applyFill="1" applyAlignment="1">
      <alignment horizontal="center"/>
    </xf>
    <xf numFmtId="0" fontId="13" fillId="2" borderId="0" xfId="0" applyFont="1" applyFill="1" applyAlignment="1">
      <alignment horizontal="center"/>
    </xf>
    <xf numFmtId="0" fontId="15" fillId="3" borderId="0" xfId="0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0" fontId="0" fillId="2" borderId="0" xfId="0" applyFill="1"/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4" fontId="0" fillId="5" borderId="1" xfId="0" applyNumberFormat="1" applyFill="1" applyBorder="1" applyAlignment="1">
      <alignment horizontal="center" vertical="center"/>
    </xf>
    <xf numFmtId="0" fontId="0" fillId="0" borderId="0" xfId="0"/>
    <xf numFmtId="0" fontId="0" fillId="6" borderId="18" xfId="0" applyFill="1" applyBorder="1" applyAlignment="1">
      <alignment horizontal="center"/>
    </xf>
    <xf numFmtId="9" fontId="0" fillId="6" borderId="17" xfId="1" applyFont="1" applyFill="1" applyBorder="1" applyAlignment="1">
      <alignment horizontal="center"/>
    </xf>
    <xf numFmtId="0" fontId="0" fillId="6" borderId="16" xfId="286" applyFont="1" applyFill="1" applyBorder="1" applyAlignment="1">
      <alignment horizontal="left"/>
    </xf>
    <xf numFmtId="0" fontId="14" fillId="6" borderId="14" xfId="286" applyFont="1" applyFill="1" applyBorder="1" applyAlignment="1">
      <alignment horizontal="left"/>
    </xf>
    <xf numFmtId="9" fontId="0" fillId="6" borderId="0" xfId="1" applyFont="1" applyFill="1" applyBorder="1" applyAlignment="1">
      <alignment horizontal="center"/>
    </xf>
    <xf numFmtId="0" fontId="0" fillId="6" borderId="15" xfId="0" applyFill="1" applyBorder="1" applyAlignment="1">
      <alignment horizontal="center"/>
    </xf>
    <xf numFmtId="9" fontId="0" fillId="6" borderId="0" xfId="0" applyNumberFormat="1" applyFill="1" applyBorder="1" applyAlignment="1">
      <alignment horizontal="center"/>
    </xf>
    <xf numFmtId="0" fontId="0" fillId="6" borderId="14" xfId="286" applyFont="1" applyFill="1" applyBorder="1" applyAlignment="1">
      <alignment horizontal="left"/>
    </xf>
    <xf numFmtId="0" fontId="13" fillId="6" borderId="13" xfId="0" applyFont="1" applyFill="1" applyBorder="1" applyAlignment="1">
      <alignment horizontal="center"/>
    </xf>
    <xf numFmtId="0" fontId="13" fillId="6" borderId="12" xfId="0" applyFont="1" applyFill="1" applyBorder="1" applyAlignment="1">
      <alignment horizontal="center"/>
    </xf>
    <xf numFmtId="0" fontId="13" fillId="6" borderId="11" xfId="0" applyFont="1" applyFill="1" applyBorder="1" applyAlignment="1">
      <alignment horizontal="center"/>
    </xf>
    <xf numFmtId="10" fontId="0" fillId="0" borderId="1" xfId="1" applyNumberFormat="1" applyFont="1" applyBorder="1" applyAlignment="1">
      <alignment horizontal="center"/>
    </xf>
    <xf numFmtId="17" fontId="0" fillId="0" borderId="1" xfId="0" applyNumberFormat="1" applyBorder="1" applyAlignment="1">
      <alignment horizontal="center"/>
    </xf>
    <xf numFmtId="0" fontId="0" fillId="0" borderId="0" xfId="0"/>
    <xf numFmtId="0" fontId="0" fillId="30" borderId="0" xfId="0" applyFill="1"/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4" fontId="0" fillId="0" borderId="1" xfId="0" applyNumberFormat="1" applyBorder="1"/>
    <xf numFmtId="4" fontId="0" fillId="0" borderId="0" xfId="0" applyNumberFormat="1"/>
    <xf numFmtId="9" fontId="0" fillId="0" borderId="1" xfId="1" applyFont="1" applyBorder="1" applyAlignment="1">
      <alignment horizontal="center"/>
    </xf>
    <xf numFmtId="10" fontId="0" fillId="0" borderId="0" xfId="1" applyNumberFormat="1" applyFont="1" applyAlignment="1">
      <alignment horizontal="center"/>
    </xf>
    <xf numFmtId="4" fontId="0" fillId="0" borderId="0" xfId="0" applyNumberFormat="1" applyAlignment="1">
      <alignment horizontal="center"/>
    </xf>
    <xf numFmtId="0" fontId="15" fillId="3" borderId="1" xfId="0" applyFont="1" applyFill="1" applyBorder="1" applyAlignment="1">
      <alignment horizontal="center" vertical="center" wrapText="1"/>
    </xf>
    <xf numFmtId="0" fontId="0" fillId="6" borderId="11" xfId="0" applyFill="1" applyBorder="1"/>
    <xf numFmtId="0" fontId="0" fillId="6" borderId="13" xfId="0" applyFill="1" applyBorder="1"/>
    <xf numFmtId="0" fontId="0" fillId="6" borderId="14" xfId="0" applyFill="1" applyBorder="1"/>
    <xf numFmtId="0" fontId="0" fillId="6" borderId="15" xfId="0" applyFill="1" applyBorder="1"/>
    <xf numFmtId="0" fontId="0" fillId="6" borderId="16" xfId="0" applyFill="1" applyBorder="1"/>
    <xf numFmtId="0" fontId="0" fillId="6" borderId="18" xfId="0" applyFill="1" applyBorder="1"/>
    <xf numFmtId="0" fontId="0" fillId="32" borderId="0" xfId="0" applyFill="1"/>
    <xf numFmtId="49" fontId="0" fillId="32" borderId="0" xfId="0" applyNumberFormat="1" applyFill="1" applyAlignment="1">
      <alignment horizontal="center"/>
    </xf>
    <xf numFmtId="0" fontId="35" fillId="33" borderId="0" xfId="319" applyFont="1" applyFill="1"/>
    <xf numFmtId="0" fontId="36" fillId="33" borderId="0" xfId="319" applyFont="1" applyFill="1" applyAlignment="1"/>
    <xf numFmtId="0" fontId="35" fillId="33" borderId="0" xfId="319" applyFont="1" applyFill="1" applyAlignment="1">
      <alignment vertical="top" wrapText="1"/>
    </xf>
    <xf numFmtId="0" fontId="17" fillId="0" borderId="0" xfId="319" applyAlignment="1"/>
    <xf numFmtId="0" fontId="38" fillId="33" borderId="0" xfId="319" applyFont="1" applyFill="1" applyAlignment="1">
      <alignment vertical="top" wrapText="1"/>
    </xf>
    <xf numFmtId="0" fontId="13" fillId="0" borderId="0" xfId="0" applyFont="1"/>
    <xf numFmtId="0" fontId="0" fillId="0" borderId="0" xfId="0" applyAlignment="1">
      <alignment vertical="top" wrapText="1"/>
    </xf>
    <xf numFmtId="0" fontId="0" fillId="0" borderId="0" xfId="0" applyAlignment="1">
      <alignment wrapText="1"/>
    </xf>
    <xf numFmtId="0" fontId="15" fillId="3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5" borderId="1" xfId="0" applyFill="1" applyBorder="1" applyAlignment="1">
      <alignment horizontal="center"/>
    </xf>
    <xf numFmtId="10" fontId="0" fillId="5" borderId="1" xfId="1" applyNumberFormat="1" applyFont="1" applyFill="1" applyBorder="1" applyAlignment="1">
      <alignment horizontal="center"/>
    </xf>
    <xf numFmtId="0" fontId="0" fillId="0" borderId="0" xfId="0" applyBorder="1"/>
    <xf numFmtId="0" fontId="0" fillId="0" borderId="19" xfId="0" applyBorder="1"/>
    <xf numFmtId="0" fontId="13" fillId="0" borderId="0" xfId="0" applyFont="1" applyAlignment="1">
      <alignment vertical="top"/>
    </xf>
    <xf numFmtId="0" fontId="15" fillId="3" borderId="1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/>
    </xf>
    <xf numFmtId="10" fontId="0" fillId="0" borderId="0" xfId="1" applyNumberFormat="1" applyFont="1"/>
    <xf numFmtId="0" fontId="0" fillId="35" borderId="0" xfId="0" applyFill="1" applyAlignment="1">
      <alignment horizontal="center"/>
    </xf>
    <xf numFmtId="0" fontId="0" fillId="35" borderId="0" xfId="0" applyFill="1"/>
    <xf numFmtId="0" fontId="0" fillId="29" borderId="0" xfId="0" applyFill="1" applyAlignment="1">
      <alignment horizontal="center"/>
    </xf>
    <xf numFmtId="0" fontId="0" fillId="29" borderId="0" xfId="0" applyFill="1"/>
    <xf numFmtId="0" fontId="0" fillId="36" borderId="0" xfId="0" applyFill="1" applyAlignment="1">
      <alignment horizontal="center"/>
    </xf>
    <xf numFmtId="0" fontId="0" fillId="36" borderId="0" xfId="0" applyFill="1"/>
    <xf numFmtId="4" fontId="0" fillId="36" borderId="0" xfId="0" applyNumberFormat="1" applyFill="1"/>
    <xf numFmtId="9" fontId="0" fillId="0" borderId="0" xfId="1" applyFont="1" applyAlignment="1">
      <alignment horizontal="center"/>
    </xf>
    <xf numFmtId="0" fontId="0" fillId="0" borderId="0" xfId="0" applyAlignment="1"/>
    <xf numFmtId="0" fontId="0" fillId="0" borderId="0" xfId="0" applyAlignment="1">
      <alignment horizontal="left"/>
    </xf>
    <xf numFmtId="2" fontId="0" fillId="0" borderId="0" xfId="0" applyNumberFormat="1" applyAlignment="1">
      <alignment horizontal="center"/>
    </xf>
    <xf numFmtId="0" fontId="0" fillId="0" borderId="20" xfId="0" applyBorder="1"/>
    <xf numFmtId="9" fontId="0" fillId="0" borderId="20" xfId="1" applyFont="1" applyBorder="1" applyAlignment="1">
      <alignment horizontal="center"/>
    </xf>
    <xf numFmtId="10" fontId="0" fillId="0" borderId="20" xfId="1" applyNumberFormat="1" applyFont="1" applyBorder="1" applyAlignment="1">
      <alignment horizontal="center"/>
    </xf>
    <xf numFmtId="9" fontId="0" fillId="0" borderId="0" xfId="1" applyFont="1" applyBorder="1" applyAlignment="1">
      <alignment horizontal="center"/>
    </xf>
    <xf numFmtId="10" fontId="0" fillId="0" borderId="0" xfId="1" applyNumberFormat="1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41" fillId="0" borderId="0" xfId="0" applyFont="1" applyAlignment="1">
      <alignment vertical="center"/>
    </xf>
    <xf numFmtId="0" fontId="15" fillId="37" borderId="1" xfId="0" applyFont="1" applyFill="1" applyBorder="1" applyAlignment="1">
      <alignment horizontal="center"/>
    </xf>
    <xf numFmtId="0" fontId="14" fillId="0" borderId="0" xfId="286" applyFont="1" applyAlignment="1">
      <alignment vertical="center"/>
    </xf>
    <xf numFmtId="0" fontId="13" fillId="0" borderId="0" xfId="286" applyFont="1" applyAlignment="1">
      <alignment vertical="center"/>
    </xf>
    <xf numFmtId="0" fontId="13" fillId="0" borderId="0" xfId="286" applyFont="1" applyAlignment="1">
      <alignment vertical="center" wrapText="1"/>
    </xf>
    <xf numFmtId="0" fontId="45" fillId="0" borderId="0" xfId="286" applyFont="1" applyAlignment="1">
      <alignment vertical="center"/>
    </xf>
    <xf numFmtId="0" fontId="44" fillId="0" borderId="0" xfId="286" applyFont="1" applyFill="1" applyAlignment="1">
      <alignment horizontal="left" vertical="center"/>
    </xf>
    <xf numFmtId="0" fontId="46" fillId="0" borderId="0" xfId="286" applyFont="1" applyAlignment="1">
      <alignment horizontal="left" vertical="center"/>
    </xf>
    <xf numFmtId="0" fontId="48" fillId="0" borderId="0" xfId="286" applyFont="1" applyAlignment="1">
      <alignment horizontal="left" vertical="center"/>
    </xf>
    <xf numFmtId="4" fontId="48" fillId="0" borderId="0" xfId="286" applyNumberFormat="1" applyFont="1" applyAlignment="1">
      <alignment horizontal="center" vertical="center"/>
    </xf>
    <xf numFmtId="10" fontId="48" fillId="0" borderId="0" xfId="335" applyNumberFormat="1" applyFont="1" applyAlignment="1">
      <alignment horizontal="center" vertical="center"/>
    </xf>
    <xf numFmtId="0" fontId="44" fillId="5" borderId="0" xfId="286" applyFont="1" applyFill="1" applyAlignment="1">
      <alignment horizontal="left" vertical="top"/>
    </xf>
    <xf numFmtId="10" fontId="14" fillId="0" borderId="0" xfId="335" applyNumberFormat="1" applyFont="1" applyAlignment="1">
      <alignment vertical="center"/>
    </xf>
    <xf numFmtId="0" fontId="48" fillId="30" borderId="20" xfId="286" applyFont="1" applyFill="1" applyBorder="1" applyAlignment="1">
      <alignment horizontal="center" vertical="center"/>
    </xf>
    <xf numFmtId="0" fontId="48" fillId="0" borderId="0" xfId="286" applyFont="1" applyAlignment="1">
      <alignment vertical="center"/>
    </xf>
    <xf numFmtId="0" fontId="40" fillId="0" borderId="0" xfId="286" applyFont="1" applyAlignment="1">
      <alignment vertical="center"/>
    </xf>
    <xf numFmtId="0" fontId="46" fillId="0" borderId="0" xfId="286" applyFont="1" applyAlignment="1">
      <alignment vertical="center"/>
    </xf>
    <xf numFmtId="10" fontId="48" fillId="0" borderId="20" xfId="335" applyNumberFormat="1" applyFont="1" applyBorder="1" applyAlignment="1">
      <alignment horizontal="center" vertical="center"/>
    </xf>
    <xf numFmtId="0" fontId="49" fillId="0" borderId="0" xfId="286" applyFont="1" applyAlignment="1">
      <alignment vertical="center" wrapText="1"/>
    </xf>
    <xf numFmtId="0" fontId="15" fillId="3" borderId="0" xfId="0" applyFont="1" applyFill="1" applyBorder="1" applyAlignment="1">
      <alignment horizontal="center" vertical="center" wrapText="1"/>
    </xf>
    <xf numFmtId="4" fontId="0" fillId="29" borderId="0" xfId="0" applyNumberFormat="1" applyFill="1" applyAlignment="1">
      <alignment horizontal="center"/>
    </xf>
    <xf numFmtId="10" fontId="48" fillId="0" borderId="0" xfId="1" applyNumberFormat="1" applyFont="1" applyAlignment="1">
      <alignment horizontal="center" vertical="center"/>
    </xf>
    <xf numFmtId="0" fontId="48" fillId="5" borderId="0" xfId="286" applyFont="1" applyFill="1" applyBorder="1" applyAlignment="1">
      <alignment horizontal="center" vertical="center"/>
    </xf>
    <xf numFmtId="10" fontId="48" fillId="5" borderId="0" xfId="335" applyNumberFormat="1" applyFont="1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/>
    </xf>
    <xf numFmtId="4" fontId="0" fillId="0" borderId="0" xfId="0" applyNumberFormat="1" applyAlignment="1">
      <alignment horizontal="center" vertical="center"/>
    </xf>
    <xf numFmtId="4" fontId="0" fillId="0" borderId="1" xfId="0" applyNumberFormat="1" applyBorder="1" applyAlignment="1">
      <alignment horizontal="center"/>
    </xf>
    <xf numFmtId="0" fontId="15" fillId="39" borderId="0" xfId="0" applyFont="1" applyFill="1"/>
    <xf numFmtId="0" fontId="48" fillId="0" borderId="0" xfId="286" applyFont="1" applyBorder="1" applyAlignment="1">
      <alignment vertical="center"/>
    </xf>
    <xf numFmtId="0" fontId="49" fillId="0" borderId="0" xfId="286" applyFont="1" applyBorder="1" applyAlignment="1">
      <alignment vertical="center"/>
    </xf>
    <xf numFmtId="10" fontId="0" fillId="0" borderId="0" xfId="0" applyNumberFormat="1"/>
    <xf numFmtId="2" fontId="48" fillId="0" borderId="20" xfId="286" applyNumberFormat="1" applyFont="1" applyBorder="1" applyAlignment="1">
      <alignment horizontal="center" vertical="center"/>
    </xf>
    <xf numFmtId="4" fontId="0" fillId="0" borderId="1" xfId="0" applyNumberFormat="1" applyFill="1" applyBorder="1" applyAlignment="1">
      <alignment horizontal="center" vertical="center"/>
    </xf>
    <xf numFmtId="0" fontId="0" fillId="0" borderId="0" xfId="0" applyAlignment="1">
      <alignment horizontal="justify" vertical="top" wrapText="1"/>
    </xf>
    <xf numFmtId="0" fontId="0" fillId="0" borderId="0" xfId="0" applyAlignment="1">
      <alignment horizontal="justify" wrapText="1"/>
    </xf>
    <xf numFmtId="0" fontId="48" fillId="0" borderId="20" xfId="286" applyFont="1" applyBorder="1" applyAlignment="1">
      <alignment horizontal="left" vertical="center"/>
    </xf>
    <xf numFmtId="4" fontId="0" fillId="5" borderId="20" xfId="0" applyNumberFormat="1" applyFill="1" applyBorder="1" applyAlignment="1">
      <alignment horizontal="center"/>
    </xf>
    <xf numFmtId="9" fontId="48" fillId="0" borderId="20" xfId="335" applyNumberFormat="1" applyFont="1" applyBorder="1" applyAlignment="1">
      <alignment horizontal="center" vertical="center"/>
    </xf>
    <xf numFmtId="0" fontId="48" fillId="0" borderId="0" xfId="286" applyFont="1" applyBorder="1" applyAlignment="1">
      <alignment horizontal="left" vertical="center"/>
    </xf>
    <xf numFmtId="0" fontId="51" fillId="0" borderId="0" xfId="0" applyFont="1" applyAlignment="1">
      <alignment horizontal="left"/>
    </xf>
    <xf numFmtId="0" fontId="50" fillId="0" borderId="0" xfId="0" applyFont="1"/>
    <xf numFmtId="0" fontId="51" fillId="0" borderId="0" xfId="0" applyFont="1" applyAlignment="1">
      <alignment horizontal="right"/>
    </xf>
    <xf numFmtId="10" fontId="51" fillId="0" borderId="0" xfId="0" applyNumberFormat="1" applyFont="1" applyAlignment="1">
      <alignment horizontal="left"/>
    </xf>
    <xf numFmtId="0" fontId="15" fillId="37" borderId="21" xfId="0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49" fontId="0" fillId="0" borderId="1" xfId="0" applyNumberFormat="1" applyBorder="1"/>
    <xf numFmtId="4" fontId="0" fillId="0" borderId="0" xfId="0" applyNumberFormat="1" applyBorder="1" applyAlignment="1">
      <alignment horizontal="center"/>
    </xf>
    <xf numFmtId="4" fontId="0" fillId="0" borderId="22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53" fillId="0" borderId="0" xfId="0" applyFont="1" applyAlignment="1">
      <alignment vertical="center"/>
    </xf>
    <xf numFmtId="10" fontId="0" fillId="0" borderId="1" xfId="0" applyNumberFormat="1" applyBorder="1" applyAlignment="1">
      <alignment horizontal="center"/>
    </xf>
    <xf numFmtId="9" fontId="0" fillId="0" borderId="0" xfId="0" applyNumberFormat="1" applyAlignment="1">
      <alignment horizontal="center"/>
    </xf>
    <xf numFmtId="9" fontId="0" fillId="0" borderId="1" xfId="0" applyNumberFormat="1" applyBorder="1" applyAlignment="1">
      <alignment horizontal="center"/>
    </xf>
    <xf numFmtId="9" fontId="0" fillId="0" borderId="0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0" fontId="13" fillId="0" borderId="0" xfId="0" applyFont="1" applyAlignment="1"/>
    <xf numFmtId="0" fontId="48" fillId="0" borderId="1" xfId="286" applyFont="1" applyBorder="1" applyAlignment="1">
      <alignment horizontal="left" vertical="center"/>
    </xf>
    <xf numFmtId="10" fontId="48" fillId="0" borderId="1" xfId="335" applyNumberFormat="1" applyFont="1" applyBorder="1" applyAlignment="1">
      <alignment horizontal="center" vertical="center"/>
    </xf>
    <xf numFmtId="9" fontId="48" fillId="0" borderId="1" xfId="335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0" fillId="42" borderId="0" xfId="0" applyFill="1"/>
    <xf numFmtId="4" fontId="35" fillId="5" borderId="1" xfId="0" applyNumberFormat="1" applyFont="1" applyFill="1" applyBorder="1" applyAlignment="1">
      <alignment horizontal="center" vertical="center"/>
    </xf>
    <xf numFmtId="0" fontId="13" fillId="42" borderId="1" xfId="0" applyFont="1" applyFill="1" applyBorder="1" applyAlignment="1">
      <alignment horizontal="center"/>
    </xf>
    <xf numFmtId="0" fontId="0" fillId="44" borderId="0" xfId="0" applyFill="1" applyAlignment="1">
      <alignment horizontal="center"/>
    </xf>
    <xf numFmtId="49" fontId="0" fillId="0" borderId="1" xfId="0" applyNumberFormat="1" applyFill="1" applyBorder="1" applyAlignment="1">
      <alignment horizontal="center"/>
    </xf>
    <xf numFmtId="4" fontId="0" fillId="0" borderId="1" xfId="0" applyNumberFormat="1" applyFill="1" applyBorder="1" applyAlignment="1">
      <alignment horizontal="center"/>
    </xf>
    <xf numFmtId="10" fontId="0" fillId="0" borderId="1" xfId="1" applyNumberFormat="1" applyFont="1" applyFill="1" applyBorder="1" applyAlignment="1">
      <alignment horizontal="center"/>
    </xf>
    <xf numFmtId="10" fontId="56" fillId="44" borderId="0" xfId="1" applyNumberFormat="1" applyFont="1" applyFill="1" applyAlignment="1">
      <alignment horizontal="center"/>
    </xf>
    <xf numFmtId="0" fontId="0" fillId="42" borderId="1" xfId="0" applyFill="1" applyBorder="1" applyAlignment="1">
      <alignment horizontal="center"/>
    </xf>
    <xf numFmtId="0" fontId="15" fillId="43" borderId="1" xfId="0" applyFont="1" applyFill="1" applyBorder="1" applyAlignment="1">
      <alignment horizontal="center"/>
    </xf>
    <xf numFmtId="0" fontId="52" fillId="43" borderId="1" xfId="0" applyFont="1" applyFill="1" applyBorder="1" applyAlignment="1">
      <alignment horizontal="center"/>
    </xf>
    <xf numFmtId="0" fontId="56" fillId="44" borderId="0" xfId="0" applyFont="1" applyFill="1" applyAlignment="1">
      <alignment horizontal="center"/>
    </xf>
    <xf numFmtId="0" fontId="15" fillId="4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1" xfId="0" applyFont="1" applyBorder="1"/>
    <xf numFmtId="10" fontId="0" fillId="0" borderId="0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9" xfId="0" applyBorder="1" applyAlignment="1">
      <alignment horizontal="center"/>
    </xf>
    <xf numFmtId="0" fontId="15" fillId="37" borderId="15" xfId="0" applyFont="1" applyFill="1" applyBorder="1" applyAlignment="1">
      <alignment horizontal="center"/>
    </xf>
    <xf numFmtId="166" fontId="0" fillId="0" borderId="0" xfId="0" applyNumberFormat="1"/>
    <xf numFmtId="0" fontId="0" fillId="0" borderId="0" xfId="0"/>
    <xf numFmtId="0" fontId="0" fillId="0" borderId="0" xfId="0"/>
    <xf numFmtId="10" fontId="0" fillId="0" borderId="0" xfId="1" applyNumberFormat="1" applyFont="1" applyAlignment="1">
      <alignment horizontal="center"/>
    </xf>
    <xf numFmtId="0" fontId="0" fillId="38" borderId="0" xfId="0" applyFill="1"/>
    <xf numFmtId="0" fontId="60" fillId="0" borderId="0" xfId="0" applyFont="1" applyBorder="1" applyAlignment="1">
      <alignment horizontal="center"/>
    </xf>
    <xf numFmtId="0" fontId="60" fillId="0" borderId="35" xfId="0" applyFont="1" applyBorder="1" applyAlignment="1">
      <alignment horizontal="center"/>
    </xf>
    <xf numFmtId="0" fontId="0" fillId="0" borderId="34" xfId="0" applyBorder="1"/>
    <xf numFmtId="0" fontId="0" fillId="0" borderId="33" xfId="0" applyBorder="1"/>
    <xf numFmtId="8" fontId="13" fillId="39" borderId="32" xfId="0" applyNumberFormat="1" applyFont="1" applyFill="1" applyBorder="1" applyAlignment="1">
      <alignment horizontal="center"/>
    </xf>
    <xf numFmtId="0" fontId="13" fillId="0" borderId="31" xfId="0" applyFont="1" applyBorder="1"/>
    <xf numFmtId="0" fontId="13" fillId="0" borderId="32" xfId="0" applyFont="1" applyBorder="1" applyAlignment="1">
      <alignment horizontal="center"/>
    </xf>
    <xf numFmtId="0" fontId="13" fillId="0" borderId="31" xfId="0" applyFont="1" applyBorder="1" applyAlignment="1">
      <alignment horizontal="right"/>
    </xf>
    <xf numFmtId="0" fontId="13" fillId="0" borderId="29" xfId="0" applyFont="1" applyBorder="1" applyAlignment="1">
      <alignment horizontal="center"/>
    </xf>
    <xf numFmtId="14" fontId="0" fillId="39" borderId="0" xfId="0" applyNumberFormat="1" applyFill="1"/>
    <xf numFmtId="0" fontId="0" fillId="0" borderId="30" xfId="0" applyBorder="1" applyAlignment="1">
      <alignment horizontal="center"/>
    </xf>
    <xf numFmtId="4" fontId="0" fillId="39" borderId="0" xfId="0" applyNumberFormat="1" applyFill="1"/>
    <xf numFmtId="0" fontId="0" fillId="39" borderId="0" xfId="0" applyFill="1"/>
    <xf numFmtId="0" fontId="0" fillId="0" borderId="0" xfId="0"/>
    <xf numFmtId="0" fontId="0" fillId="0" borderId="0" xfId="0" applyAlignment="1">
      <alignment horizontal="left"/>
    </xf>
    <xf numFmtId="0" fontId="15" fillId="43" borderId="1" xfId="0" applyFont="1" applyFill="1" applyBorder="1" applyAlignment="1">
      <alignment horizontal="center"/>
    </xf>
    <xf numFmtId="0" fontId="0" fillId="0" borderId="36" xfId="0" applyBorder="1"/>
    <xf numFmtId="0" fontId="0" fillId="0" borderId="37" xfId="0" applyBorder="1"/>
    <xf numFmtId="0" fontId="60" fillId="0" borderId="38" xfId="0" applyFont="1" applyBorder="1" applyAlignment="1">
      <alignment horizontal="center"/>
    </xf>
    <xf numFmtId="0" fontId="0" fillId="0" borderId="0" xfId="0" applyFill="1" applyAlignment="1">
      <alignment horizontal="center"/>
    </xf>
    <xf numFmtId="0" fontId="15" fillId="43" borderId="39" xfId="0" applyFont="1" applyFill="1" applyBorder="1" applyAlignment="1">
      <alignment horizontal="center"/>
    </xf>
    <xf numFmtId="8" fontId="0" fillId="0" borderId="0" xfId="1" applyNumberFormat="1" applyFont="1" applyAlignment="1">
      <alignment horizontal="center"/>
    </xf>
    <xf numFmtId="0" fontId="60" fillId="0" borderId="37" xfId="0" applyFont="1" applyBorder="1" applyAlignment="1">
      <alignment horizontal="center"/>
    </xf>
    <xf numFmtId="0" fontId="60" fillId="0" borderId="40" xfId="0" applyFont="1" applyBorder="1" applyAlignment="1">
      <alignment horizontal="center"/>
    </xf>
    <xf numFmtId="10" fontId="0" fillId="0" borderId="41" xfId="1" applyNumberFormat="1" applyFont="1" applyBorder="1" applyAlignment="1">
      <alignment horizontal="center"/>
    </xf>
    <xf numFmtId="8" fontId="0" fillId="0" borderId="41" xfId="1" applyNumberFormat="1" applyFont="1" applyBorder="1" applyAlignment="1">
      <alignment horizontal="center"/>
    </xf>
    <xf numFmtId="167" fontId="0" fillId="0" borderId="41" xfId="0" applyNumberFormat="1" applyBorder="1" applyAlignment="1">
      <alignment horizontal="center"/>
    </xf>
    <xf numFmtId="0" fontId="49" fillId="0" borderId="0" xfId="286" applyFont="1" applyAlignment="1">
      <alignment horizontal="justify" vertical="center" wrapText="1"/>
    </xf>
    <xf numFmtId="0" fontId="48" fillId="0" borderId="20" xfId="286" applyFont="1" applyBorder="1" applyAlignment="1">
      <alignment horizontal="center" vertical="center"/>
    </xf>
    <xf numFmtId="0" fontId="60" fillId="0" borderId="42" xfId="0" applyFont="1" applyBorder="1" applyAlignment="1">
      <alignment horizontal="center"/>
    </xf>
    <xf numFmtId="0" fontId="0" fillId="0" borderId="0" xfId="0"/>
    <xf numFmtId="0" fontId="0" fillId="0" borderId="0" xfId="0" applyFill="1"/>
    <xf numFmtId="4" fontId="0" fillId="0" borderId="0" xfId="0" applyNumberFormat="1" applyAlignment="1">
      <alignment horizontal="center"/>
    </xf>
    <xf numFmtId="0" fontId="0" fillId="0" borderId="0" xfId="0" applyFill="1"/>
    <xf numFmtId="0" fontId="0" fillId="0" borderId="0" xfId="0"/>
    <xf numFmtId="0" fontId="0" fillId="0" borderId="41" xfId="0" applyBorder="1" applyAlignment="1">
      <alignment horizontal="center"/>
    </xf>
    <xf numFmtId="0" fontId="0" fillId="0" borderId="0" xfId="0"/>
    <xf numFmtId="0" fontId="0" fillId="0" borderId="0" xfId="0" applyFill="1"/>
    <xf numFmtId="0" fontId="0" fillId="0" borderId="0" xfId="0"/>
    <xf numFmtId="14" fontId="0" fillId="0" borderId="0" xfId="0" applyNumberFormat="1" applyFill="1"/>
    <xf numFmtId="0" fontId="0" fillId="0" borderId="0" xfId="0"/>
    <xf numFmtId="0" fontId="0" fillId="0" borderId="0" xfId="0"/>
    <xf numFmtId="10" fontId="0" fillId="0" borderId="62" xfId="1" applyNumberFormat="1" applyFont="1" applyFill="1" applyBorder="1" applyAlignment="1">
      <alignment horizontal="center"/>
    </xf>
    <xf numFmtId="0" fontId="0" fillId="0" borderId="0" xfId="0"/>
    <xf numFmtId="10" fontId="0" fillId="0" borderId="62" xfId="1" applyNumberFormat="1" applyFont="1" applyBorder="1" applyAlignment="1">
      <alignment horizontal="center"/>
    </xf>
    <xf numFmtId="10" fontId="61" fillId="0" borderId="62" xfId="1" applyNumberFormat="1" applyFont="1" applyFill="1" applyBorder="1" applyAlignment="1">
      <alignment horizontal="center"/>
    </xf>
    <xf numFmtId="0" fontId="15" fillId="3" borderId="69" xfId="0" applyFont="1" applyFill="1" applyBorder="1" applyAlignment="1">
      <alignment horizontal="center"/>
    </xf>
    <xf numFmtId="0" fontId="15" fillId="3" borderId="70" xfId="0" applyFont="1" applyFill="1" applyBorder="1" applyAlignment="1">
      <alignment horizontal="center"/>
    </xf>
    <xf numFmtId="10" fontId="17" fillId="0" borderId="62" xfId="1" applyNumberFormat="1" applyFont="1" applyBorder="1" applyAlignment="1">
      <alignment horizontal="center"/>
    </xf>
    <xf numFmtId="17" fontId="0" fillId="0" borderId="62" xfId="0" applyNumberFormat="1" applyBorder="1" applyAlignment="1">
      <alignment horizontal="center"/>
    </xf>
    <xf numFmtId="10" fontId="61" fillId="0" borderId="62" xfId="0" applyNumberFormat="1" applyFont="1" applyBorder="1" applyAlignment="1">
      <alignment horizontal="center"/>
    </xf>
    <xf numFmtId="10" fontId="61" fillId="0" borderId="62" xfId="1" applyNumberFormat="1" applyFont="1" applyBorder="1" applyAlignment="1">
      <alignment horizontal="center"/>
    </xf>
    <xf numFmtId="0" fontId="0" fillId="0" borderId="0" xfId="0"/>
    <xf numFmtId="4" fontId="0" fillId="5" borderId="62" xfId="0" applyNumberFormat="1" applyFill="1" applyBorder="1" applyAlignment="1">
      <alignment horizontal="center" vertical="center"/>
    </xf>
    <xf numFmtId="0" fontId="0" fillId="0" borderId="0" xfId="0"/>
    <xf numFmtId="0" fontId="0" fillId="0" borderId="0" xfId="0" applyAlignment="1">
      <alignment horizontal="center"/>
    </xf>
    <xf numFmtId="0" fontId="49" fillId="0" borderId="0" xfId="286" applyFont="1" applyAlignment="1">
      <alignment horizontal="justify" vertical="center" wrapText="1"/>
    </xf>
    <xf numFmtId="10" fontId="0" fillId="0" borderId="62" xfId="0" applyNumberForma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0" fontId="60" fillId="0" borderId="35" xfId="0" applyFont="1" applyFill="1" applyBorder="1" applyAlignment="1">
      <alignment horizontal="center"/>
    </xf>
    <xf numFmtId="0" fontId="0" fillId="0" borderId="0" xfId="0" applyFill="1" applyBorder="1"/>
    <xf numFmtId="0" fontId="0" fillId="0" borderId="36" xfId="0" applyFill="1" applyBorder="1"/>
    <xf numFmtId="0" fontId="60" fillId="0" borderId="42" xfId="0" applyFont="1" applyFill="1" applyBorder="1" applyAlignment="1">
      <alignment horizontal="center"/>
    </xf>
    <xf numFmtId="0" fontId="60" fillId="0" borderId="38" xfId="0" applyFont="1" applyFill="1" applyBorder="1" applyAlignment="1">
      <alignment horizontal="center"/>
    </xf>
    <xf numFmtId="167" fontId="0" fillId="0" borderId="0" xfId="1" applyNumberFormat="1" applyFont="1" applyAlignment="1">
      <alignment horizontal="center"/>
    </xf>
    <xf numFmtId="10" fontId="0" fillId="0" borderId="0" xfId="1" applyNumberFormat="1" applyFont="1" applyFill="1" applyAlignment="1">
      <alignment horizontal="center"/>
    </xf>
    <xf numFmtId="167" fontId="0" fillId="0" borderId="0" xfId="1" applyNumberFormat="1" applyFont="1" applyFill="1" applyAlignment="1">
      <alignment horizontal="center"/>
    </xf>
    <xf numFmtId="167" fontId="0" fillId="0" borderId="62" xfId="0" applyNumberFormat="1" applyBorder="1" applyAlignment="1">
      <alignment horizontal="center"/>
    </xf>
    <xf numFmtId="2" fontId="14" fillId="0" borderId="0" xfId="286" applyNumberFormat="1" applyFont="1" applyAlignment="1">
      <alignment vertical="center"/>
    </xf>
    <xf numFmtId="10" fontId="61" fillId="0" borderId="76" xfId="1" applyNumberFormat="1" applyFont="1" applyFill="1" applyBorder="1" applyAlignment="1">
      <alignment horizontal="center"/>
    </xf>
    <xf numFmtId="10" fontId="61" fillId="0" borderId="76" xfId="0" applyNumberFormat="1" applyFont="1" applyFill="1" applyBorder="1" applyAlignment="1">
      <alignment horizontal="center"/>
    </xf>
    <xf numFmtId="10" fontId="48" fillId="0" borderId="0" xfId="335" applyNumberFormat="1" applyFont="1" applyBorder="1" applyAlignment="1">
      <alignment horizontal="center" vertical="center"/>
    </xf>
    <xf numFmtId="9" fontId="48" fillId="0" borderId="0" xfId="335" applyNumberFormat="1" applyFont="1" applyBorder="1" applyAlignment="1">
      <alignment horizontal="center" vertical="center"/>
    </xf>
    <xf numFmtId="0" fontId="48" fillId="0" borderId="0" xfId="286" applyFont="1" applyBorder="1" applyAlignment="1">
      <alignment horizontal="center" vertical="center"/>
    </xf>
    <xf numFmtId="0" fontId="36" fillId="0" borderId="1" xfId="0" applyFont="1" applyFill="1" applyBorder="1" applyAlignment="1">
      <alignment horizontal="center"/>
    </xf>
    <xf numFmtId="0" fontId="35" fillId="0" borderId="0" xfId="0" applyFont="1" applyFill="1" applyAlignment="1">
      <alignment horizontal="center"/>
    </xf>
    <xf numFmtId="4" fontId="35" fillId="0" borderId="0" xfId="0" applyNumberFormat="1" applyFont="1" applyFill="1" applyAlignment="1">
      <alignment horizontal="center"/>
    </xf>
    <xf numFmtId="0" fontId="0" fillId="0" borderId="78" xfId="0" applyBorder="1"/>
    <xf numFmtId="9" fontId="0" fillId="0" borderId="77" xfId="1" applyFont="1" applyBorder="1" applyAlignment="1">
      <alignment horizontal="center"/>
    </xf>
    <xf numFmtId="9" fontId="0" fillId="0" borderId="77" xfId="1" applyNumberFormat="1" applyFont="1" applyBorder="1" applyAlignment="1">
      <alignment horizontal="center"/>
    </xf>
    <xf numFmtId="10" fontId="0" fillId="0" borderId="77" xfId="1" applyNumberFormat="1" applyFont="1" applyBorder="1" applyAlignment="1">
      <alignment horizontal="center"/>
    </xf>
    <xf numFmtId="0" fontId="0" fillId="0" borderId="77" xfId="0" applyFill="1" applyBorder="1"/>
    <xf numFmtId="9" fontId="0" fillId="0" borderId="77" xfId="0" applyNumberFormat="1" applyBorder="1" applyAlignment="1">
      <alignment horizontal="center"/>
    </xf>
    <xf numFmtId="0" fontId="13" fillId="31" borderId="77" xfId="0" applyFont="1" applyFill="1" applyBorder="1" applyAlignment="1">
      <alignment horizontal="center" vertical="center"/>
    </xf>
    <xf numFmtId="0" fontId="13" fillId="31" borderId="77" xfId="0" applyFont="1" applyFill="1" applyBorder="1" applyAlignment="1">
      <alignment horizontal="center" vertical="center" wrapText="1"/>
    </xf>
    <xf numFmtId="17" fontId="0" fillId="0" borderId="0" xfId="0" applyNumberFormat="1" applyBorder="1" applyAlignment="1">
      <alignment horizontal="center"/>
    </xf>
    <xf numFmtId="10" fontId="61" fillId="0" borderId="77" xfId="1" applyNumberFormat="1" applyFont="1" applyFill="1" applyBorder="1" applyAlignment="1">
      <alignment horizontal="center"/>
    </xf>
    <xf numFmtId="0" fontId="15" fillId="3" borderId="78" xfId="0" applyFont="1" applyFill="1" applyBorder="1" applyAlignment="1">
      <alignment horizontal="center"/>
    </xf>
    <xf numFmtId="0" fontId="52" fillId="43" borderId="0" xfId="0" applyFont="1" applyFill="1" applyAlignment="1">
      <alignment horizontal="center"/>
    </xf>
    <xf numFmtId="0" fontId="52" fillId="0" borderId="0" xfId="0" applyFont="1" applyFill="1"/>
    <xf numFmtId="4" fontId="0" fillId="0" borderId="0" xfId="0" applyNumberFormat="1" applyFill="1"/>
    <xf numFmtId="0" fontId="0" fillId="0" borderId="82" xfId="0" applyBorder="1"/>
    <xf numFmtId="0" fontId="0" fillId="0" borderId="82" xfId="0" applyBorder="1" applyAlignment="1">
      <alignment horizontal="center"/>
    </xf>
    <xf numFmtId="10" fontId="0" fillId="0" borderId="0" xfId="1" applyNumberFormat="1" applyFont="1" applyFill="1"/>
    <xf numFmtId="0" fontId="0" fillId="2" borderId="0" xfId="0" applyFill="1" applyAlignment="1">
      <alignment horizontal="center"/>
    </xf>
    <xf numFmtId="10" fontId="0" fillId="2" borderId="0" xfId="1" applyNumberFormat="1" applyFont="1" applyFill="1" applyAlignment="1">
      <alignment horizontal="center"/>
    </xf>
    <xf numFmtId="0" fontId="0" fillId="0" borderId="0" xfId="0" applyBorder="1" applyAlignment="1">
      <alignment horizontal="center"/>
    </xf>
    <xf numFmtId="0" fontId="0" fillId="0" borderId="77" xfId="0" applyBorder="1" applyAlignment="1">
      <alignment horizontal="center" vertical="center"/>
    </xf>
    <xf numFmtId="0" fontId="13" fillId="0" borderId="80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79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0" xfId="20699" applyAlignment="1">
      <alignment horizontal="center" vertical="center"/>
    </xf>
    <xf numFmtId="0" fontId="15" fillId="3" borderId="82" xfId="0" applyFont="1" applyFill="1" applyBorder="1" applyAlignment="1">
      <alignment horizontal="center" vertical="center" wrapText="1"/>
    </xf>
    <xf numFmtId="14" fontId="62" fillId="5" borderId="82" xfId="58833" applyNumberFormat="1" applyFont="1" applyFill="1" applyBorder="1" applyAlignment="1">
      <alignment horizontal="center" vertical="center" wrapText="1"/>
    </xf>
    <xf numFmtId="0" fontId="62" fillId="5" borderId="82" xfId="58833" applyFont="1" applyFill="1" applyBorder="1" applyAlignment="1">
      <alignment horizontal="center" vertical="center" wrapText="1"/>
    </xf>
    <xf numFmtId="0" fontId="62" fillId="5" borderId="82" xfId="58833" applyFont="1" applyFill="1" applyBorder="1" applyAlignment="1">
      <alignment horizontal="center" vertical="center"/>
    </xf>
    <xf numFmtId="10" fontId="62" fillId="5" borderId="82" xfId="1" applyNumberFormat="1" applyFont="1" applyFill="1" applyBorder="1" applyAlignment="1">
      <alignment horizontal="center" vertical="center"/>
    </xf>
    <xf numFmtId="10" fontId="0" fillId="0" borderId="82" xfId="0" applyNumberFormat="1" applyBorder="1"/>
    <xf numFmtId="4" fontId="0" fillId="0" borderId="82" xfId="0" applyNumberFormat="1" applyBorder="1"/>
    <xf numFmtId="0" fontId="0" fillId="38" borderId="82" xfId="0" applyFill="1" applyBorder="1" applyAlignment="1">
      <alignment horizontal="center"/>
    </xf>
    <xf numFmtId="0" fontId="0" fillId="38" borderId="82" xfId="0" applyFill="1" applyBorder="1"/>
    <xf numFmtId="4" fontId="0" fillId="0" borderId="82" xfId="0" applyNumberFormat="1" applyBorder="1" applyAlignment="1">
      <alignment horizontal="center"/>
    </xf>
    <xf numFmtId="1" fontId="0" fillId="0" borderId="0" xfId="1" applyNumberFormat="1" applyFont="1" applyFill="1" applyAlignment="1">
      <alignment horizontal="center"/>
    </xf>
    <xf numFmtId="1" fontId="0" fillId="0" borderId="82" xfId="0" applyNumberFormat="1" applyBorder="1" applyAlignment="1">
      <alignment horizontal="center"/>
    </xf>
    <xf numFmtId="10" fontId="0" fillId="0" borderId="82" xfId="0" applyNumberFormat="1" applyFill="1" applyBorder="1" applyAlignment="1">
      <alignment horizontal="center"/>
    </xf>
    <xf numFmtId="0" fontId="0" fillId="0" borderId="83" xfId="0" applyBorder="1" applyAlignment="1">
      <alignment horizontal="center"/>
    </xf>
    <xf numFmtId="8" fontId="0" fillId="0" borderId="0" xfId="1" applyNumberFormat="1" applyFont="1" applyFill="1" applyAlignment="1">
      <alignment horizontal="center"/>
    </xf>
    <xf numFmtId="0" fontId="15" fillId="43" borderId="21" xfId="0" applyFont="1" applyFill="1" applyBorder="1" applyAlignment="1">
      <alignment horizontal="center" vertical="center"/>
    </xf>
    <xf numFmtId="0" fontId="15" fillId="43" borderId="21" xfId="0" applyFont="1" applyFill="1" applyBorder="1" applyAlignment="1">
      <alignment horizontal="center" vertical="center" wrapText="1"/>
    </xf>
    <xf numFmtId="0" fontId="13" fillId="42" borderId="1" xfId="0" applyFont="1" applyFill="1" applyBorder="1" applyAlignment="1">
      <alignment horizontal="center" vertical="center"/>
    </xf>
    <xf numFmtId="0" fontId="13" fillId="42" borderId="1" xfId="0" applyFont="1" applyFill="1" applyBorder="1" applyAlignment="1">
      <alignment horizontal="center" vertical="center" wrapText="1"/>
    </xf>
    <xf numFmtId="168" fontId="13" fillId="40" borderId="84" xfId="0" applyNumberFormat="1" applyFont="1" applyFill="1" applyBorder="1" applyAlignment="1">
      <alignment horizontal="center"/>
    </xf>
    <xf numFmtId="0" fontId="15" fillId="3" borderId="84" xfId="0" applyFont="1" applyFill="1" applyBorder="1" applyAlignment="1">
      <alignment horizontal="center"/>
    </xf>
    <xf numFmtId="0" fontId="0" fillId="41" borderId="84" xfId="0" applyFill="1" applyBorder="1" applyAlignment="1">
      <alignment horizontal="center"/>
    </xf>
    <xf numFmtId="0" fontId="15" fillId="34" borderId="84" xfId="0" applyFont="1" applyFill="1" applyBorder="1" applyAlignment="1">
      <alignment horizontal="center"/>
    </xf>
    <xf numFmtId="4" fontId="0" fillId="0" borderId="84" xfId="0" applyNumberFormat="1" applyBorder="1" applyAlignment="1">
      <alignment horizontal="center"/>
    </xf>
    <xf numFmtId="10" fontId="0" fillId="0" borderId="84" xfId="1" applyNumberFormat="1" applyFont="1" applyBorder="1" applyAlignment="1">
      <alignment horizontal="center"/>
    </xf>
    <xf numFmtId="0" fontId="0" fillId="0" borderId="0" xfId="0" applyFill="1" applyBorder="1" applyAlignment="1">
      <alignment horizontal="left"/>
    </xf>
    <xf numFmtId="169" fontId="0" fillId="0" borderId="0" xfId="0" applyNumberFormat="1" applyBorder="1" applyAlignment="1">
      <alignment horizontal="center" vertical="center"/>
    </xf>
    <xf numFmtId="169" fontId="0" fillId="0" borderId="0" xfId="0" applyNumberFormat="1" applyFill="1" applyAlignment="1">
      <alignment horizontal="center"/>
    </xf>
    <xf numFmtId="169" fontId="0" fillId="0" borderId="0" xfId="0" applyNumberFormat="1" applyAlignment="1">
      <alignment horizontal="center"/>
    </xf>
    <xf numFmtId="0" fontId="0" fillId="0" borderId="1" xfId="1" applyNumberFormat="1" applyFont="1" applyBorder="1" applyAlignment="1">
      <alignment horizontal="center"/>
    </xf>
    <xf numFmtId="0" fontId="3" fillId="0" borderId="0" xfId="20699" applyFont="1" applyAlignment="1">
      <alignment horizontal="center" vertical="center"/>
    </xf>
    <xf numFmtId="0" fontId="8" fillId="0" borderId="0" xfId="20699" applyFill="1" applyAlignment="1">
      <alignment horizontal="center" vertical="center"/>
    </xf>
    <xf numFmtId="4" fontId="13" fillId="0" borderId="75" xfId="0" applyNumberFormat="1" applyFont="1" applyBorder="1" applyAlignment="1">
      <alignment horizontal="center" vertical="center"/>
    </xf>
    <xf numFmtId="10" fontId="13" fillId="0" borderId="75" xfId="0" applyNumberFormat="1" applyFont="1" applyBorder="1" applyAlignment="1">
      <alignment horizontal="center" vertical="center"/>
    </xf>
    <xf numFmtId="0" fontId="13" fillId="0" borderId="75" xfId="0" applyFont="1" applyBorder="1" applyAlignment="1">
      <alignment horizontal="center" vertical="center"/>
    </xf>
    <xf numFmtId="10" fontId="8" fillId="0" borderId="86" xfId="20699" applyNumberFormat="1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69" xfId="0" applyBorder="1" applyAlignment="1">
      <alignment horizontal="center"/>
    </xf>
    <xf numFmtId="169" fontId="0" fillId="0" borderId="69" xfId="0" applyNumberFormat="1" applyBorder="1" applyAlignment="1">
      <alignment horizontal="center" vertical="center"/>
    </xf>
    <xf numFmtId="0" fontId="14" fillId="0" borderId="87" xfId="58835" applyBorder="1" applyAlignment="1">
      <alignment horizontal="center" vertical="center"/>
    </xf>
    <xf numFmtId="0" fontId="2" fillId="0" borderId="87" xfId="20699" applyFont="1" applyBorder="1" applyAlignment="1">
      <alignment horizontal="center" vertical="center"/>
    </xf>
    <xf numFmtId="0" fontId="0" fillId="0" borderId="87" xfId="20699" applyFont="1" applyFill="1" applyBorder="1" applyAlignment="1">
      <alignment horizontal="center" vertical="center"/>
    </xf>
    <xf numFmtId="10" fontId="0" fillId="0" borderId="86" xfId="0" applyNumberFormat="1" applyBorder="1" applyAlignment="1">
      <alignment horizontal="center" vertical="center"/>
    </xf>
    <xf numFmtId="14" fontId="0" fillId="0" borderId="0" xfId="0" applyNumberFormat="1"/>
    <xf numFmtId="0" fontId="13" fillId="31" borderId="88" xfId="0" applyFont="1" applyFill="1" applyBorder="1" applyAlignment="1">
      <alignment horizontal="center" vertical="center"/>
    </xf>
    <xf numFmtId="9" fontId="0" fillId="0" borderId="88" xfId="1" applyFont="1" applyBorder="1" applyAlignment="1">
      <alignment horizontal="center"/>
    </xf>
    <xf numFmtId="9" fontId="0" fillId="0" borderId="88" xfId="0" applyNumberFormat="1" applyBorder="1" applyAlignment="1">
      <alignment horizontal="center"/>
    </xf>
    <xf numFmtId="0" fontId="13" fillId="31" borderId="88" xfId="0" applyFont="1" applyFill="1" applyBorder="1" applyAlignment="1">
      <alignment horizontal="center" vertical="center" wrapText="1"/>
    </xf>
    <xf numFmtId="0" fontId="0" fillId="0" borderId="7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" fontId="8" fillId="0" borderId="90" xfId="20699" applyNumberFormat="1" applyBorder="1" applyAlignment="1">
      <alignment horizontal="center" vertical="center"/>
    </xf>
    <xf numFmtId="4" fontId="8" fillId="0" borderId="90" xfId="20699" applyNumberFormat="1" applyFill="1" applyBorder="1" applyAlignment="1">
      <alignment horizontal="center" vertical="center"/>
    </xf>
    <xf numFmtId="4" fontId="5" fillId="0" borderId="90" xfId="20699" applyNumberFormat="1" applyFont="1" applyBorder="1" applyAlignment="1">
      <alignment horizontal="center" vertical="center"/>
    </xf>
    <xf numFmtId="4" fontId="0" fillId="0" borderId="90" xfId="0" applyNumberFormat="1" applyBorder="1" applyAlignment="1">
      <alignment horizontal="center"/>
    </xf>
    <xf numFmtId="0" fontId="14" fillId="0" borderId="69" xfId="58835" applyBorder="1" applyAlignment="1">
      <alignment horizontal="center" vertical="center"/>
    </xf>
    <xf numFmtId="0" fontId="2" fillId="0" borderId="69" xfId="20699" applyFont="1" applyBorder="1" applyAlignment="1">
      <alignment horizontal="center" vertical="center"/>
    </xf>
    <xf numFmtId="0" fontId="2" fillId="0" borderId="69" xfId="20699" applyFont="1" applyFill="1" applyBorder="1" applyAlignment="1">
      <alignment horizontal="center" vertical="center"/>
    </xf>
    <xf numFmtId="0" fontId="0" fillId="0" borderId="69" xfId="20699" applyFont="1" applyFill="1" applyBorder="1" applyAlignment="1">
      <alignment horizontal="center" vertical="center"/>
    </xf>
    <xf numFmtId="10" fontId="8" fillId="0" borderId="80" xfId="20699" applyNumberFormat="1" applyBorder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0" fontId="1" fillId="0" borderId="80" xfId="20699" applyNumberFormat="1" applyFont="1" applyBorder="1" applyAlignment="1">
      <alignment horizontal="center" vertical="center"/>
    </xf>
    <xf numFmtId="0" fontId="48" fillId="0" borderId="91" xfId="286" applyFont="1" applyBorder="1" applyAlignment="1">
      <alignment horizontal="left" vertical="center"/>
    </xf>
    <xf numFmtId="4" fontId="48" fillId="0" borderId="91" xfId="286" applyNumberFormat="1" applyFont="1" applyBorder="1" applyAlignment="1">
      <alignment horizontal="center" vertical="center"/>
    </xf>
    <xf numFmtId="10" fontId="48" fillId="0" borderId="91" xfId="1" applyNumberFormat="1" applyFont="1" applyBorder="1" applyAlignment="1">
      <alignment horizontal="center" vertical="center"/>
    </xf>
    <xf numFmtId="0" fontId="13" fillId="31" borderId="92" xfId="0" applyFont="1" applyFill="1" applyBorder="1" applyAlignment="1">
      <alignment horizontal="center" vertical="center"/>
    </xf>
    <xf numFmtId="9" fontId="0" fillId="0" borderId="92" xfId="1" applyFont="1" applyBorder="1" applyAlignment="1">
      <alignment horizontal="center"/>
    </xf>
    <xf numFmtId="9" fontId="0" fillId="0" borderId="92" xfId="0" applyNumberFormat="1" applyBorder="1" applyAlignment="1">
      <alignment horizontal="center"/>
    </xf>
    <xf numFmtId="4" fontId="0" fillId="0" borderId="92" xfId="0" applyNumberFormat="1" applyBorder="1" applyAlignment="1">
      <alignment horizontal="center"/>
    </xf>
    <xf numFmtId="4" fontId="48" fillId="0" borderId="92" xfId="286" applyNumberFormat="1" applyFont="1" applyBorder="1" applyAlignment="1">
      <alignment horizontal="center" vertical="center"/>
    </xf>
    <xf numFmtId="10" fontId="48" fillId="0" borderId="92" xfId="1" applyNumberFormat="1" applyFont="1" applyBorder="1" applyAlignment="1">
      <alignment horizontal="center" vertical="center"/>
    </xf>
    <xf numFmtId="0" fontId="0" fillId="5" borderId="23" xfId="0" applyFill="1" applyBorder="1" applyAlignment="1">
      <alignment horizontal="center"/>
    </xf>
    <xf numFmtId="0" fontId="0" fillId="5" borderId="24" xfId="0" applyFill="1" applyBorder="1" applyAlignment="1">
      <alignment horizontal="center"/>
    </xf>
    <xf numFmtId="0" fontId="0" fillId="5" borderId="22" xfId="0" applyFill="1" applyBorder="1" applyAlignment="1">
      <alignment horizontal="center"/>
    </xf>
    <xf numFmtId="0" fontId="0" fillId="0" borderId="85" xfId="0" applyFill="1" applyBorder="1" applyAlignment="1">
      <alignment horizontal="left"/>
    </xf>
    <xf numFmtId="0" fontId="0" fillId="0" borderId="77" xfId="0" applyFill="1" applyBorder="1" applyAlignment="1">
      <alignment horizontal="left"/>
    </xf>
    <xf numFmtId="0" fontId="0" fillId="0" borderId="89" xfId="0" applyFill="1" applyBorder="1" applyAlignment="1">
      <alignment horizontal="left"/>
    </xf>
    <xf numFmtId="0" fontId="15" fillId="3" borderId="78" xfId="0" applyFont="1" applyFill="1" applyBorder="1" applyAlignment="1">
      <alignment horizontal="center"/>
    </xf>
    <xf numFmtId="0" fontId="15" fillId="3" borderId="81" xfId="0" applyFont="1" applyFill="1" applyBorder="1" applyAlignment="1">
      <alignment horizontal="center"/>
    </xf>
    <xf numFmtId="0" fontId="15" fillId="43" borderId="0" xfId="0" applyFont="1" applyFill="1" applyAlignment="1">
      <alignment horizontal="center"/>
    </xf>
    <xf numFmtId="0" fontId="15" fillId="3" borderId="17" xfId="0" applyFont="1" applyFill="1" applyBorder="1" applyAlignment="1">
      <alignment horizontal="center"/>
    </xf>
    <xf numFmtId="0" fontId="49" fillId="0" borderId="0" xfId="286" applyFont="1" applyAlignment="1">
      <alignment horizontal="justify" vertical="center" wrapText="1"/>
    </xf>
    <xf numFmtId="0" fontId="44" fillId="37" borderId="0" xfId="286" applyFont="1" applyFill="1" applyAlignment="1">
      <alignment horizontal="left" vertical="top"/>
    </xf>
    <xf numFmtId="0" fontId="47" fillId="30" borderId="20" xfId="286" applyFont="1" applyFill="1" applyBorder="1" applyAlignment="1">
      <alignment horizontal="center" vertical="center"/>
    </xf>
    <xf numFmtId="0" fontId="13" fillId="0" borderId="0" xfId="286" applyFont="1" applyAlignment="1">
      <alignment horizontal="center" vertical="center"/>
    </xf>
    <xf numFmtId="0" fontId="13" fillId="0" borderId="0" xfId="286" applyFont="1" applyAlignment="1">
      <alignment horizontal="center" vertical="center" wrapText="1"/>
    </xf>
    <xf numFmtId="0" fontId="43" fillId="0" borderId="0" xfId="286" applyFont="1" applyAlignment="1">
      <alignment horizontal="right" vertical="top"/>
    </xf>
    <xf numFmtId="0" fontId="48" fillId="0" borderId="1" xfId="286" applyFont="1" applyBorder="1" applyAlignment="1">
      <alignment horizontal="center" vertical="center"/>
    </xf>
    <xf numFmtId="0" fontId="48" fillId="0" borderId="20" xfId="286" applyFont="1" applyBorder="1" applyAlignment="1">
      <alignment horizontal="center" vertical="center"/>
    </xf>
    <xf numFmtId="0" fontId="49" fillId="0" borderId="0" xfId="286" applyFont="1" applyBorder="1" applyAlignment="1">
      <alignment horizontal="justify" vertical="center" wrapText="1"/>
    </xf>
    <xf numFmtId="0" fontId="37" fillId="33" borderId="0" xfId="319" applyFont="1" applyFill="1" applyAlignment="1">
      <alignment horizontal="right" vertical="center" wrapText="1"/>
    </xf>
    <xf numFmtId="0" fontId="37" fillId="33" borderId="0" xfId="319" applyFont="1" applyFill="1" applyAlignment="1">
      <alignment horizontal="right"/>
    </xf>
    <xf numFmtId="0" fontId="15" fillId="37" borderId="1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0" fillId="0" borderId="0" xfId="0" applyAlignment="1">
      <alignment horizontal="justify" vertical="top" wrapText="1"/>
    </xf>
    <xf numFmtId="0" fontId="0" fillId="0" borderId="0" xfId="0" applyAlignment="1">
      <alignment horizontal="center" vertical="top" wrapText="1"/>
    </xf>
    <xf numFmtId="0" fontId="51" fillId="0" borderId="0" xfId="0" applyFont="1" applyAlignment="1">
      <alignment horizontal="right"/>
    </xf>
    <xf numFmtId="0" fontId="42" fillId="0" borderId="0" xfId="0" applyFont="1" applyAlignment="1">
      <alignment horizontal="center" vertical="center"/>
    </xf>
    <xf numFmtId="0" fontId="0" fillId="0" borderId="0" xfId="0" applyAlignment="1">
      <alignment horizontal="left" vertical="top" wrapText="1"/>
    </xf>
    <xf numFmtId="10" fontId="42" fillId="0" borderId="0" xfId="0" applyNumberFormat="1" applyFont="1" applyAlignment="1">
      <alignment horizontal="center" vertical="center"/>
    </xf>
    <xf numFmtId="0" fontId="15" fillId="37" borderId="1" xfId="0" applyFont="1" applyFill="1" applyBorder="1" applyAlignment="1">
      <alignment horizontal="center" vertical="center"/>
    </xf>
    <xf numFmtId="0" fontId="0" fillId="0" borderId="0" xfId="0" applyAlignment="1">
      <alignment horizontal="justify" wrapText="1"/>
    </xf>
    <xf numFmtId="4" fontId="13" fillId="0" borderId="0" xfId="0" applyNumberFormat="1" applyFont="1" applyAlignment="1">
      <alignment horizontal="left"/>
    </xf>
    <xf numFmtId="10" fontId="39" fillId="34" borderId="0" xfId="0" applyNumberFormat="1" applyFont="1" applyFill="1" applyAlignment="1">
      <alignment horizontal="center" vertical="center"/>
    </xf>
    <xf numFmtId="2" fontId="0" fillId="0" borderId="0" xfId="0" applyNumberFormat="1" applyAlignment="1">
      <alignment horizontal="justify" vertical="top" wrapText="1"/>
    </xf>
    <xf numFmtId="0" fontId="13" fillId="0" borderId="0" xfId="0" applyFont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2" xfId="0" applyBorder="1" applyAlignment="1">
      <alignment horizontal="center"/>
    </xf>
    <xf numFmtId="0" fontId="54" fillId="42" borderId="0" xfId="0" applyFont="1" applyFill="1" applyBorder="1" applyAlignment="1">
      <alignment horizontal="center" vertical="center" wrapText="1"/>
    </xf>
    <xf numFmtId="0" fontId="55" fillId="42" borderId="0" xfId="0" applyFont="1" applyFill="1" applyBorder="1" applyAlignment="1">
      <alignment horizontal="center" vertical="center" wrapText="1"/>
    </xf>
    <xf numFmtId="0" fontId="15" fillId="43" borderId="1" xfId="0" applyFont="1" applyFill="1" applyBorder="1" applyAlignment="1">
      <alignment horizontal="center"/>
    </xf>
    <xf numFmtId="0" fontId="57" fillId="43" borderId="1" xfId="0" applyFont="1" applyFill="1" applyBorder="1" applyAlignment="1">
      <alignment horizontal="center" vertical="center"/>
    </xf>
    <xf numFmtId="0" fontId="57" fillId="43" borderId="1" xfId="0" applyFont="1" applyFill="1" applyBorder="1" applyAlignment="1">
      <alignment horizontal="center"/>
    </xf>
    <xf numFmtId="0" fontId="59" fillId="44" borderId="0" xfId="0" applyFont="1" applyFill="1" applyAlignment="1">
      <alignment horizontal="center" vertical="center"/>
    </xf>
    <xf numFmtId="0" fontId="58" fillId="44" borderId="0" xfId="0" applyFont="1" applyFill="1" applyAlignment="1">
      <alignment horizontal="center"/>
    </xf>
  </cellXfs>
  <cellStyles count="58836">
    <cellStyle name="20% - Ênfase1 10" xfId="2"/>
    <cellStyle name="20% - Ênfase1 2" xfId="4"/>
    <cellStyle name="20% - Ênfase1 3" xfId="5"/>
    <cellStyle name="20% - Ênfase1 4" xfId="6"/>
    <cellStyle name="20% - Ênfase1 5" xfId="7"/>
    <cellStyle name="20% - Ênfase1 6" xfId="8"/>
    <cellStyle name="20% - Ênfase1 7" xfId="9"/>
    <cellStyle name="20% - Ênfase1 8" xfId="10"/>
    <cellStyle name="20% - Ênfase1 9" xfId="11"/>
    <cellStyle name="20% - Ênfase2 10" xfId="12"/>
    <cellStyle name="20% - Ênfase2 2" xfId="13"/>
    <cellStyle name="20% - Ênfase2 3" xfId="14"/>
    <cellStyle name="20% - Ênfase2 4" xfId="15"/>
    <cellStyle name="20% - Ênfase2 5" xfId="16"/>
    <cellStyle name="20% - Ênfase2 6" xfId="17"/>
    <cellStyle name="20% - Ênfase2 7" xfId="18"/>
    <cellStyle name="20% - Ênfase2 8" xfId="19"/>
    <cellStyle name="20% - Ênfase2 9" xfId="20"/>
    <cellStyle name="20% - Ênfase3 10" xfId="21"/>
    <cellStyle name="20% - Ênfase3 2" xfId="22"/>
    <cellStyle name="20% - Ênfase3 3" xfId="23"/>
    <cellStyle name="20% - Ênfase3 4" xfId="24"/>
    <cellStyle name="20% - Ênfase3 5" xfId="25"/>
    <cellStyle name="20% - Ênfase3 6" xfId="26"/>
    <cellStyle name="20% - Ênfase3 7" xfId="27"/>
    <cellStyle name="20% - Ênfase3 8" xfId="28"/>
    <cellStyle name="20% - Ênfase3 9" xfId="29"/>
    <cellStyle name="20% - Ênfase4 10" xfId="30"/>
    <cellStyle name="20% - Ênfase4 2" xfId="31"/>
    <cellStyle name="20% - Ênfase4 3" xfId="32"/>
    <cellStyle name="20% - Ênfase4 4" xfId="33"/>
    <cellStyle name="20% - Ênfase4 5" xfId="34"/>
    <cellStyle name="20% - Ênfase4 6" xfId="35"/>
    <cellStyle name="20% - Ênfase4 7" xfId="36"/>
    <cellStyle name="20% - Ênfase4 8" xfId="37"/>
    <cellStyle name="20% - Ênfase4 9" xfId="38"/>
    <cellStyle name="20% - Ênfase5 10" xfId="39"/>
    <cellStyle name="20% - Ênfase5 2" xfId="40"/>
    <cellStyle name="20% - Ênfase5 3" xfId="41"/>
    <cellStyle name="20% - Ênfase5 4" xfId="42"/>
    <cellStyle name="20% - Ênfase5 5" xfId="43"/>
    <cellStyle name="20% - Ênfase5 6" xfId="44"/>
    <cellStyle name="20% - Ênfase5 7" xfId="45"/>
    <cellStyle name="20% - Ênfase5 8" xfId="46"/>
    <cellStyle name="20% - Ênfase5 9" xfId="47"/>
    <cellStyle name="20% - Ênfase6 10" xfId="48"/>
    <cellStyle name="20% - Ênfase6 2" xfId="49"/>
    <cellStyle name="20% - Ênfase6 3" xfId="50"/>
    <cellStyle name="20% - Ênfase6 4" xfId="51"/>
    <cellStyle name="20% - Ênfase6 5" xfId="52"/>
    <cellStyle name="20% - Ênfase6 6" xfId="53"/>
    <cellStyle name="20% - Ênfase6 7" xfId="54"/>
    <cellStyle name="20% - Ênfase6 8" xfId="55"/>
    <cellStyle name="20% - Ênfase6 9" xfId="56"/>
    <cellStyle name="40% - Ênfase1 10" xfId="57"/>
    <cellStyle name="40% - Ênfase1 2" xfId="58"/>
    <cellStyle name="40% - Ênfase1 3" xfId="59"/>
    <cellStyle name="40% - Ênfase1 4" xfId="60"/>
    <cellStyle name="40% - Ênfase1 5" xfId="61"/>
    <cellStyle name="40% - Ênfase1 6" xfId="62"/>
    <cellStyle name="40% - Ênfase1 7" xfId="63"/>
    <cellStyle name="40% - Ênfase1 8" xfId="64"/>
    <cellStyle name="40% - Ênfase1 9" xfId="65"/>
    <cellStyle name="40% - Ênfase2 10" xfId="66"/>
    <cellStyle name="40% - Ênfase2 2" xfId="67"/>
    <cellStyle name="40% - Ênfase2 3" xfId="68"/>
    <cellStyle name="40% - Ênfase2 4" xfId="69"/>
    <cellStyle name="40% - Ênfase2 5" xfId="70"/>
    <cellStyle name="40% - Ênfase2 6" xfId="71"/>
    <cellStyle name="40% - Ênfase2 7" xfId="72"/>
    <cellStyle name="40% - Ênfase2 8" xfId="73"/>
    <cellStyle name="40% - Ênfase2 9" xfId="74"/>
    <cellStyle name="40% - Ênfase3 10" xfId="75"/>
    <cellStyle name="40% - Ênfase3 2" xfId="76"/>
    <cellStyle name="40% - Ênfase3 3" xfId="77"/>
    <cellStyle name="40% - Ênfase3 4" xfId="78"/>
    <cellStyle name="40% - Ênfase3 5" xfId="79"/>
    <cellStyle name="40% - Ênfase3 6" xfId="80"/>
    <cellStyle name="40% - Ênfase3 7" xfId="81"/>
    <cellStyle name="40% - Ênfase3 8" xfId="82"/>
    <cellStyle name="40% - Ênfase3 9" xfId="83"/>
    <cellStyle name="40% - Ênfase4 10" xfId="84"/>
    <cellStyle name="40% - Ênfase4 2" xfId="85"/>
    <cellStyle name="40% - Ênfase4 3" xfId="86"/>
    <cellStyle name="40% - Ênfase4 4" xfId="87"/>
    <cellStyle name="40% - Ênfase4 5" xfId="88"/>
    <cellStyle name="40% - Ênfase4 6" xfId="89"/>
    <cellStyle name="40% - Ênfase4 7" xfId="90"/>
    <cellStyle name="40% - Ênfase4 8" xfId="91"/>
    <cellStyle name="40% - Ênfase4 9" xfId="92"/>
    <cellStyle name="40% - Ênfase5 10" xfId="93"/>
    <cellStyle name="40% - Ênfase5 2" xfId="94"/>
    <cellStyle name="40% - Ênfase5 3" xfId="95"/>
    <cellStyle name="40% - Ênfase5 4" xfId="96"/>
    <cellStyle name="40% - Ênfase5 5" xfId="97"/>
    <cellStyle name="40% - Ênfase5 6" xfId="98"/>
    <cellStyle name="40% - Ênfase5 7" xfId="99"/>
    <cellStyle name="40% - Ênfase5 8" xfId="100"/>
    <cellStyle name="40% - Ênfase5 9" xfId="101"/>
    <cellStyle name="40% - Ênfase6 10" xfId="102"/>
    <cellStyle name="40% - Ênfase6 2" xfId="103"/>
    <cellStyle name="40% - Ênfase6 3" xfId="104"/>
    <cellStyle name="40% - Ênfase6 4" xfId="105"/>
    <cellStyle name="40% - Ênfase6 5" xfId="106"/>
    <cellStyle name="40% - Ênfase6 6" xfId="107"/>
    <cellStyle name="40% - Ênfase6 7" xfId="108"/>
    <cellStyle name="40% - Ênfase6 8" xfId="109"/>
    <cellStyle name="40% - Ênfase6 9" xfId="110"/>
    <cellStyle name="60% - Ênfase1 10" xfId="111"/>
    <cellStyle name="60% - Ênfase1 2" xfId="112"/>
    <cellStyle name="60% - Ênfase1 3" xfId="113"/>
    <cellStyle name="60% - Ênfase1 4" xfId="114"/>
    <cellStyle name="60% - Ênfase1 5" xfId="115"/>
    <cellStyle name="60% - Ênfase1 6" xfId="116"/>
    <cellStyle name="60% - Ênfase1 7" xfId="117"/>
    <cellStyle name="60% - Ênfase1 8" xfId="118"/>
    <cellStyle name="60% - Ênfase1 9" xfId="119"/>
    <cellStyle name="60% - Ênfase2 10" xfId="120"/>
    <cellStyle name="60% - Ênfase2 2" xfId="121"/>
    <cellStyle name="60% - Ênfase2 3" xfId="122"/>
    <cellStyle name="60% - Ênfase2 4" xfId="123"/>
    <cellStyle name="60% - Ênfase2 5" xfId="124"/>
    <cellStyle name="60% - Ênfase2 6" xfId="125"/>
    <cellStyle name="60% - Ênfase2 7" xfId="126"/>
    <cellStyle name="60% - Ênfase2 8" xfId="127"/>
    <cellStyle name="60% - Ênfase2 9" xfId="128"/>
    <cellStyle name="60% - Ênfase3 10" xfId="129"/>
    <cellStyle name="60% - Ênfase3 2" xfId="130"/>
    <cellStyle name="60% - Ênfase3 3" xfId="131"/>
    <cellStyle name="60% - Ênfase3 4" xfId="132"/>
    <cellStyle name="60% - Ênfase3 5" xfId="133"/>
    <cellStyle name="60% - Ênfase3 6" xfId="134"/>
    <cellStyle name="60% - Ênfase3 7" xfId="135"/>
    <cellStyle name="60% - Ênfase3 8" xfId="136"/>
    <cellStyle name="60% - Ênfase3 9" xfId="137"/>
    <cellStyle name="60% - Ênfase4 10" xfId="138"/>
    <cellStyle name="60% - Ênfase4 2" xfId="139"/>
    <cellStyle name="60% - Ênfase4 3" xfId="140"/>
    <cellStyle name="60% - Ênfase4 4" xfId="141"/>
    <cellStyle name="60% - Ênfase4 5" xfId="142"/>
    <cellStyle name="60% - Ênfase4 6" xfId="143"/>
    <cellStyle name="60% - Ênfase4 7" xfId="144"/>
    <cellStyle name="60% - Ênfase4 8" xfId="145"/>
    <cellStyle name="60% - Ênfase4 9" xfId="146"/>
    <cellStyle name="60% - Ênfase5 10" xfId="147"/>
    <cellStyle name="60% - Ênfase5 2" xfId="148"/>
    <cellStyle name="60% - Ênfase5 3" xfId="149"/>
    <cellStyle name="60% - Ênfase5 4" xfId="150"/>
    <cellStyle name="60% - Ênfase5 5" xfId="151"/>
    <cellStyle name="60% - Ênfase5 6" xfId="152"/>
    <cellStyle name="60% - Ênfase5 7" xfId="153"/>
    <cellStyle name="60% - Ênfase5 8" xfId="154"/>
    <cellStyle name="60% - Ênfase5 9" xfId="155"/>
    <cellStyle name="60% - Ênfase6 10" xfId="156"/>
    <cellStyle name="60% - Ênfase6 2" xfId="157"/>
    <cellStyle name="60% - Ênfase6 3" xfId="158"/>
    <cellStyle name="60% - Ênfase6 4" xfId="159"/>
    <cellStyle name="60% - Ênfase6 5" xfId="160"/>
    <cellStyle name="60% - Ênfase6 6" xfId="161"/>
    <cellStyle name="60% - Ênfase6 7" xfId="162"/>
    <cellStyle name="60% - Ênfase6 8" xfId="163"/>
    <cellStyle name="60% - Ênfase6 9" xfId="164"/>
    <cellStyle name="Bom 10" xfId="165"/>
    <cellStyle name="Bom 2" xfId="166"/>
    <cellStyle name="Bom 3" xfId="167"/>
    <cellStyle name="Bom 4" xfId="168"/>
    <cellStyle name="Bom 5" xfId="169"/>
    <cellStyle name="Bom 6" xfId="170"/>
    <cellStyle name="Bom 7" xfId="171"/>
    <cellStyle name="Bom 8" xfId="172"/>
    <cellStyle name="Bom 9" xfId="173"/>
    <cellStyle name="Cálculo 10" xfId="174"/>
    <cellStyle name="Cálculo 10 10" xfId="4099"/>
    <cellStyle name="Cálculo 10 10 2" xfId="13310"/>
    <cellStyle name="Cálculo 10 10 2 2" xfId="42491"/>
    <cellStyle name="Cálculo 10 10 3" xfId="33282"/>
    <cellStyle name="Cálculo 10 11" xfId="13086"/>
    <cellStyle name="Cálculo 10 11 2" xfId="42267"/>
    <cellStyle name="Cálculo 10 12" xfId="29559"/>
    <cellStyle name="Cálculo 10 2" xfId="421"/>
    <cellStyle name="Cálculo 10 2 10" xfId="8340"/>
    <cellStyle name="Cálculo 10 2 10 2" xfId="19370"/>
    <cellStyle name="Cálculo 10 2 10 2 2" xfId="48551"/>
    <cellStyle name="Cálculo 10 2 10 3" xfId="37523"/>
    <cellStyle name="Cálculo 10 2 11" xfId="12918"/>
    <cellStyle name="Cálculo 10 2 11 2" xfId="42099"/>
    <cellStyle name="Cálculo 10 2 12" xfId="58764"/>
    <cellStyle name="Cálculo 10 2 13" xfId="29627"/>
    <cellStyle name="Cálculo 10 2 2" xfId="511"/>
    <cellStyle name="Cálculo 10 2 2 10" xfId="15765"/>
    <cellStyle name="Cálculo 10 2 2 10 2" xfId="44946"/>
    <cellStyle name="Cálculo 10 2 2 11" xfId="29717"/>
    <cellStyle name="Cálculo 10 2 2 2" xfId="864"/>
    <cellStyle name="Cálculo 10 2 2 2 2" xfId="1802"/>
    <cellStyle name="Cálculo 10 2 2 2 2 2" xfId="3602"/>
    <cellStyle name="Cálculo 10 2 2 2 2 2 2" xfId="6581"/>
    <cellStyle name="Cálculo 10 2 2 2 2 2 2 2" xfId="18385"/>
    <cellStyle name="Cálculo 10 2 2 2 2 2 2 2 2" xfId="47566"/>
    <cellStyle name="Cálculo 10 2 2 2 2 2 2 3" xfId="35764"/>
    <cellStyle name="Cálculo 10 2 2 2 2 2 3" xfId="10121"/>
    <cellStyle name="Cálculo 10 2 2 2 2 2 3 2" xfId="20446"/>
    <cellStyle name="Cálculo 10 2 2 2 2 2 3 2 2" xfId="49627"/>
    <cellStyle name="Cálculo 10 2 2 2 2 2 3 3" xfId="39304"/>
    <cellStyle name="Cálculo 10 2 2 2 2 2 4" xfId="14977"/>
    <cellStyle name="Cálculo 10 2 2 2 2 2 4 2" xfId="44158"/>
    <cellStyle name="Cálculo 10 2 2 2 2 2 5" xfId="32785"/>
    <cellStyle name="Cálculo 10 2 2 2 2 3" xfId="5141"/>
    <cellStyle name="Cálculo 10 2 2 2 2 3 2" xfId="15861"/>
    <cellStyle name="Cálculo 10 2 2 2 2 3 2 2" xfId="45042"/>
    <cellStyle name="Cálculo 10 2 2 2 2 3 3" xfId="34324"/>
    <cellStyle name="Cálculo 10 2 2 2 2 4" xfId="10321"/>
    <cellStyle name="Cálculo 10 2 2 2 2 4 2" xfId="20564"/>
    <cellStyle name="Cálculo 10 2 2 2 2 4 2 2" xfId="49745"/>
    <cellStyle name="Cálculo 10 2 2 2 2 4 3" xfId="39504"/>
    <cellStyle name="Cálculo 10 2 2 2 2 5" xfId="16301"/>
    <cellStyle name="Cálculo 10 2 2 2 2 5 2" xfId="45482"/>
    <cellStyle name="Cálculo 10 2 2 2 2 6" xfId="30985"/>
    <cellStyle name="Cálculo 10 2 2 2 3" xfId="2702"/>
    <cellStyle name="Cálculo 10 2 2 2 3 2" xfId="5861"/>
    <cellStyle name="Cálculo 10 2 2 2 3 2 2" xfId="14684"/>
    <cellStyle name="Cálculo 10 2 2 2 3 2 2 2" xfId="43865"/>
    <cellStyle name="Cálculo 10 2 2 2 3 2 3" xfId="35044"/>
    <cellStyle name="Cálculo 10 2 2 2 3 3" xfId="9544"/>
    <cellStyle name="Cálculo 10 2 2 2 3 3 2" xfId="20094"/>
    <cellStyle name="Cálculo 10 2 2 2 3 3 2 2" xfId="49275"/>
    <cellStyle name="Cálculo 10 2 2 2 3 3 3" xfId="38727"/>
    <cellStyle name="Cálculo 10 2 2 2 3 4" xfId="17555"/>
    <cellStyle name="Cálculo 10 2 2 2 3 4 2" xfId="46736"/>
    <cellStyle name="Cálculo 10 2 2 2 3 5" xfId="31885"/>
    <cellStyle name="Cálculo 10 2 2 2 4" xfId="4421"/>
    <cellStyle name="Cálculo 10 2 2 2 4 2" xfId="13072"/>
    <cellStyle name="Cálculo 10 2 2 2 4 2 2" xfId="42253"/>
    <cellStyle name="Cálculo 10 2 2 2 4 3" xfId="33604"/>
    <cellStyle name="Cálculo 10 2 2 2 5" xfId="9797"/>
    <cellStyle name="Cálculo 10 2 2 2 5 2" xfId="20245"/>
    <cellStyle name="Cálculo 10 2 2 2 5 2 2" xfId="49426"/>
    <cellStyle name="Cálculo 10 2 2 2 5 3" xfId="38980"/>
    <cellStyle name="Cálculo 10 2 2 2 6" xfId="12104"/>
    <cellStyle name="Cálculo 10 2 2 2 6 2" xfId="41285"/>
    <cellStyle name="Cálculo 10 2 2 2 7" xfId="30061"/>
    <cellStyle name="Cálculo 10 2 2 3" xfId="1056"/>
    <cellStyle name="Cálculo 10 2 2 3 2" xfId="1966"/>
    <cellStyle name="Cálculo 10 2 2 3 2 2" xfId="3766"/>
    <cellStyle name="Cálculo 10 2 2 3 2 2 2" xfId="6709"/>
    <cellStyle name="Cálculo 10 2 2 3 2 2 2 2" xfId="18439"/>
    <cellStyle name="Cálculo 10 2 2 3 2 2 2 2 2" xfId="47620"/>
    <cellStyle name="Cálculo 10 2 2 3 2 2 2 3" xfId="35892"/>
    <cellStyle name="Cálculo 10 2 2 3 2 2 3" xfId="7371"/>
    <cellStyle name="Cálculo 10 2 2 3 2 2 3 2" xfId="18779"/>
    <cellStyle name="Cálculo 10 2 2 3 2 2 3 2 2" xfId="47960"/>
    <cellStyle name="Cálculo 10 2 2 3 2 2 3 3" xfId="36554"/>
    <cellStyle name="Cálculo 10 2 2 3 2 2 4" xfId="10633"/>
    <cellStyle name="Cálculo 10 2 2 3 2 2 4 2" xfId="39814"/>
    <cellStyle name="Cálculo 10 2 2 3 2 2 5" xfId="32949"/>
    <cellStyle name="Cálculo 10 2 2 3 2 3" xfId="5269"/>
    <cellStyle name="Cálculo 10 2 2 3 2 3 2" xfId="17025"/>
    <cellStyle name="Cálculo 10 2 2 3 2 3 2 2" xfId="46206"/>
    <cellStyle name="Cálculo 10 2 2 3 2 3 3" xfId="34452"/>
    <cellStyle name="Cálculo 10 2 2 3 2 4" xfId="10201"/>
    <cellStyle name="Cálculo 10 2 2 3 2 4 2" xfId="20492"/>
    <cellStyle name="Cálculo 10 2 2 3 2 4 2 2" xfId="49673"/>
    <cellStyle name="Cálculo 10 2 2 3 2 4 3" xfId="39384"/>
    <cellStyle name="Cálculo 10 2 2 3 2 5" xfId="12322"/>
    <cellStyle name="Cálculo 10 2 2 3 2 5 2" xfId="41503"/>
    <cellStyle name="Cálculo 10 2 2 3 2 6" xfId="31149"/>
    <cellStyle name="Cálculo 10 2 2 3 3" xfId="2866"/>
    <cellStyle name="Cálculo 10 2 2 3 3 2" xfId="5989"/>
    <cellStyle name="Cálculo 10 2 2 3 3 2 2" xfId="10592"/>
    <cellStyle name="Cálculo 10 2 2 3 3 2 2 2" xfId="39773"/>
    <cellStyle name="Cálculo 10 2 2 3 3 2 3" xfId="35172"/>
    <cellStyle name="Cálculo 10 2 2 3 3 3" xfId="9425"/>
    <cellStyle name="Cálculo 10 2 2 3 3 3 2" xfId="20025"/>
    <cellStyle name="Cálculo 10 2 2 3 3 3 2 2" xfId="49206"/>
    <cellStyle name="Cálculo 10 2 2 3 3 3 3" xfId="38608"/>
    <cellStyle name="Cálculo 10 2 2 3 3 4" xfId="16519"/>
    <cellStyle name="Cálculo 10 2 2 3 3 4 2" xfId="45700"/>
    <cellStyle name="Cálculo 10 2 2 3 3 5" xfId="32049"/>
    <cellStyle name="Cálculo 10 2 2 3 4" xfId="4549"/>
    <cellStyle name="Cálculo 10 2 2 3 4 2" xfId="12257"/>
    <cellStyle name="Cálculo 10 2 2 3 4 2 2" xfId="41438"/>
    <cellStyle name="Cálculo 10 2 2 3 4 3" xfId="33732"/>
    <cellStyle name="Cálculo 10 2 2 3 5" xfId="7933"/>
    <cellStyle name="Cálculo 10 2 2 3 5 2" xfId="19120"/>
    <cellStyle name="Cálculo 10 2 2 3 5 2 2" xfId="48301"/>
    <cellStyle name="Cálculo 10 2 2 3 5 3" xfId="37116"/>
    <cellStyle name="Cálculo 10 2 2 3 6" xfId="16545"/>
    <cellStyle name="Cálculo 10 2 2 3 6 2" xfId="45726"/>
    <cellStyle name="Cálculo 10 2 2 3 7" xfId="30246"/>
    <cellStyle name="Cálculo 10 2 2 4" xfId="1206"/>
    <cellStyle name="Cálculo 10 2 2 4 2" xfId="2110"/>
    <cellStyle name="Cálculo 10 2 2 4 2 2" xfId="3910"/>
    <cellStyle name="Cálculo 10 2 2 4 2 2 2" xfId="6826"/>
    <cellStyle name="Cálculo 10 2 2 4 2 2 2 2" xfId="18493"/>
    <cellStyle name="Cálculo 10 2 2 4 2 2 2 2 2" xfId="47674"/>
    <cellStyle name="Cálculo 10 2 2 4 2 2 2 3" xfId="36009"/>
    <cellStyle name="Cálculo 10 2 2 4 2 2 3" xfId="10495"/>
    <cellStyle name="Cálculo 10 2 2 4 2 2 3 2" xfId="20675"/>
    <cellStyle name="Cálculo 10 2 2 4 2 2 3 2 2" xfId="49856"/>
    <cellStyle name="Cálculo 10 2 2 4 2 2 3 3" xfId="39678"/>
    <cellStyle name="Cálculo 10 2 2 4 2 2 4" xfId="17242"/>
    <cellStyle name="Cálculo 10 2 2 4 2 2 4 2" xfId="46423"/>
    <cellStyle name="Cálculo 10 2 2 4 2 2 5" xfId="33093"/>
    <cellStyle name="Cálculo 10 2 2 4 2 3" xfId="5386"/>
    <cellStyle name="Cálculo 10 2 2 4 2 3 2" xfId="14121"/>
    <cellStyle name="Cálculo 10 2 2 4 2 3 2 2" xfId="43302"/>
    <cellStyle name="Cálculo 10 2 2 4 2 3 3" xfId="34569"/>
    <cellStyle name="Cálculo 10 2 2 4 2 4" xfId="10098"/>
    <cellStyle name="Cálculo 10 2 2 4 2 4 2" xfId="20431"/>
    <cellStyle name="Cálculo 10 2 2 4 2 4 2 2" xfId="49612"/>
    <cellStyle name="Cálculo 10 2 2 4 2 4 3" xfId="39281"/>
    <cellStyle name="Cálculo 10 2 2 4 2 5" xfId="12677"/>
    <cellStyle name="Cálculo 10 2 2 4 2 5 2" xfId="41858"/>
    <cellStyle name="Cálculo 10 2 2 4 2 6" xfId="31293"/>
    <cellStyle name="Cálculo 10 2 2 4 3" xfId="3010"/>
    <cellStyle name="Cálculo 10 2 2 4 3 2" xfId="6106"/>
    <cellStyle name="Cálculo 10 2 2 4 3 2 2" xfId="18133"/>
    <cellStyle name="Cálculo 10 2 2 4 3 2 2 2" xfId="47314"/>
    <cellStyle name="Cálculo 10 2 2 4 3 2 3" xfId="35289"/>
    <cellStyle name="Cálculo 10 2 2 4 3 3" xfId="9323"/>
    <cellStyle name="Cálculo 10 2 2 4 3 3 2" xfId="19965"/>
    <cellStyle name="Cálculo 10 2 2 4 3 3 2 2" xfId="49146"/>
    <cellStyle name="Cálculo 10 2 2 4 3 3 3" xfId="38506"/>
    <cellStyle name="Cálculo 10 2 2 4 3 4" xfId="16257"/>
    <cellStyle name="Cálculo 10 2 2 4 3 4 2" xfId="45438"/>
    <cellStyle name="Cálculo 10 2 2 4 3 5" xfId="32193"/>
    <cellStyle name="Cálculo 10 2 2 4 4" xfId="4666"/>
    <cellStyle name="Cálculo 10 2 2 4 4 2" xfId="14688"/>
    <cellStyle name="Cálculo 10 2 2 4 4 2 2" xfId="43869"/>
    <cellStyle name="Cálculo 10 2 2 4 4 3" xfId="33849"/>
    <cellStyle name="Cálculo 10 2 2 4 5" xfId="10486"/>
    <cellStyle name="Cálculo 10 2 2 4 5 2" xfId="20669"/>
    <cellStyle name="Cálculo 10 2 2 4 5 2 2" xfId="49850"/>
    <cellStyle name="Cálculo 10 2 2 4 5 3" xfId="39669"/>
    <cellStyle name="Cálculo 10 2 2 4 6" xfId="15908"/>
    <cellStyle name="Cálculo 10 2 2 4 6 2" xfId="45089"/>
    <cellStyle name="Cálculo 10 2 2 4 7" xfId="30393"/>
    <cellStyle name="Cálculo 10 2 2 5" xfId="1352"/>
    <cellStyle name="Cálculo 10 2 2 5 2" xfId="2254"/>
    <cellStyle name="Cálculo 10 2 2 5 2 2" xfId="4054"/>
    <cellStyle name="Cálculo 10 2 2 5 2 2 2" xfId="6943"/>
    <cellStyle name="Cálculo 10 2 2 5 2 2 2 2" xfId="18547"/>
    <cellStyle name="Cálculo 10 2 2 5 2 2 2 2 2" xfId="47728"/>
    <cellStyle name="Cálculo 10 2 2 5 2 2 2 3" xfId="36126"/>
    <cellStyle name="Cálculo 10 2 2 5 2 2 3" xfId="7026"/>
    <cellStyle name="Cálculo 10 2 2 5 2 2 3 2" xfId="18593"/>
    <cellStyle name="Cálculo 10 2 2 5 2 2 3 2 2" xfId="47774"/>
    <cellStyle name="Cálculo 10 2 2 5 2 2 3 3" xfId="36209"/>
    <cellStyle name="Cálculo 10 2 2 5 2 2 4" xfId="10915"/>
    <cellStyle name="Cálculo 10 2 2 5 2 2 4 2" xfId="40096"/>
    <cellStyle name="Cálculo 10 2 2 5 2 2 5" xfId="33237"/>
    <cellStyle name="Cálculo 10 2 2 5 2 3" xfId="5503"/>
    <cellStyle name="Cálculo 10 2 2 5 2 3 2" xfId="17287"/>
    <cellStyle name="Cálculo 10 2 2 5 2 3 2 2" xfId="46468"/>
    <cellStyle name="Cálculo 10 2 2 5 2 3 3" xfId="34686"/>
    <cellStyle name="Cálculo 10 2 2 5 2 4" xfId="7298"/>
    <cellStyle name="Cálculo 10 2 2 5 2 4 2" xfId="18740"/>
    <cellStyle name="Cálculo 10 2 2 5 2 4 2 2" xfId="47921"/>
    <cellStyle name="Cálculo 10 2 2 5 2 4 3" xfId="36481"/>
    <cellStyle name="Cálculo 10 2 2 5 2 5" xfId="14290"/>
    <cellStyle name="Cálculo 10 2 2 5 2 5 2" xfId="43471"/>
    <cellStyle name="Cálculo 10 2 2 5 2 6" xfId="31437"/>
    <cellStyle name="Cálculo 10 2 2 5 3" xfId="3154"/>
    <cellStyle name="Cálculo 10 2 2 5 3 2" xfId="6223"/>
    <cellStyle name="Cálculo 10 2 2 5 3 2 2" xfId="18187"/>
    <cellStyle name="Cálculo 10 2 2 5 3 2 2 2" xfId="47368"/>
    <cellStyle name="Cálculo 10 2 2 5 3 2 3" xfId="35406"/>
    <cellStyle name="Cálculo 10 2 2 5 3 3" xfId="7215"/>
    <cellStyle name="Cálculo 10 2 2 5 3 3 2" xfId="18698"/>
    <cellStyle name="Cálculo 10 2 2 5 3 3 2 2" xfId="47879"/>
    <cellStyle name="Cálculo 10 2 2 5 3 3 3" xfId="36398"/>
    <cellStyle name="Cálculo 10 2 2 5 3 4" xfId="13075"/>
    <cellStyle name="Cálculo 10 2 2 5 3 4 2" xfId="42256"/>
    <cellStyle name="Cálculo 10 2 2 5 3 5" xfId="32337"/>
    <cellStyle name="Cálculo 10 2 2 5 4" xfId="4783"/>
    <cellStyle name="Cálculo 10 2 2 5 4 2" xfId="10902"/>
    <cellStyle name="Cálculo 10 2 2 5 4 2 2" xfId="40083"/>
    <cellStyle name="Cálculo 10 2 2 5 4 3" xfId="33966"/>
    <cellStyle name="Cálculo 10 2 2 5 5" xfId="8495"/>
    <cellStyle name="Cálculo 10 2 2 5 5 2" xfId="19470"/>
    <cellStyle name="Cálculo 10 2 2 5 5 2 2" xfId="48651"/>
    <cellStyle name="Cálculo 10 2 2 5 5 3" xfId="37678"/>
    <cellStyle name="Cálculo 10 2 2 5 6" xfId="11774"/>
    <cellStyle name="Cálculo 10 2 2 5 6 2" xfId="40955"/>
    <cellStyle name="Cálculo 10 2 2 5 7" xfId="30537"/>
    <cellStyle name="Cálculo 10 2 2 6" xfId="1534"/>
    <cellStyle name="Cálculo 10 2 2 6 2" xfId="3334"/>
    <cellStyle name="Cálculo 10 2 2 6 2 2" xfId="6367"/>
    <cellStyle name="Cálculo 10 2 2 6 2 2 2" xfId="18259"/>
    <cellStyle name="Cálculo 10 2 2 6 2 2 2 2" xfId="47440"/>
    <cellStyle name="Cálculo 10 2 2 6 2 2 3" xfId="35550"/>
    <cellStyle name="Cálculo 10 2 2 6 2 3" xfId="9537"/>
    <cellStyle name="Cálculo 10 2 2 6 2 3 2" xfId="20089"/>
    <cellStyle name="Cálculo 10 2 2 6 2 3 2 2" xfId="49270"/>
    <cellStyle name="Cálculo 10 2 2 6 2 3 3" xfId="38720"/>
    <cellStyle name="Cálculo 10 2 2 6 2 4" xfId="13112"/>
    <cellStyle name="Cálculo 10 2 2 6 2 4 2" xfId="42293"/>
    <cellStyle name="Cálculo 10 2 2 6 2 5" xfId="32517"/>
    <cellStyle name="Cálculo 10 2 2 6 3" xfId="4927"/>
    <cellStyle name="Cálculo 10 2 2 6 3 2" xfId="15777"/>
    <cellStyle name="Cálculo 10 2 2 6 3 2 2" xfId="44958"/>
    <cellStyle name="Cálculo 10 2 2 6 3 3" xfId="34110"/>
    <cellStyle name="Cálculo 10 2 2 6 4" xfId="9100"/>
    <cellStyle name="Cálculo 10 2 2 6 4 2" xfId="19828"/>
    <cellStyle name="Cálculo 10 2 2 6 4 2 2" xfId="49009"/>
    <cellStyle name="Cálculo 10 2 2 6 4 3" xfId="38283"/>
    <cellStyle name="Cálculo 10 2 2 6 5" xfId="10687"/>
    <cellStyle name="Cálculo 10 2 2 6 5 2" xfId="39868"/>
    <cellStyle name="Cálculo 10 2 2 6 6" xfId="30717"/>
    <cellStyle name="Cálculo 10 2 2 7" xfId="2434"/>
    <cellStyle name="Cálculo 10 2 2 7 2" xfId="5647"/>
    <cellStyle name="Cálculo 10 2 2 7 2 2" xfId="16206"/>
    <cellStyle name="Cálculo 10 2 2 7 2 2 2" xfId="45387"/>
    <cellStyle name="Cálculo 10 2 2 7 2 3" xfId="34830"/>
    <cellStyle name="Cálculo 10 2 2 7 3" xfId="7594"/>
    <cellStyle name="Cálculo 10 2 2 7 3 2" xfId="18916"/>
    <cellStyle name="Cálculo 10 2 2 7 3 2 2" xfId="48097"/>
    <cellStyle name="Cálculo 10 2 2 7 3 3" xfId="36777"/>
    <cellStyle name="Cálculo 10 2 2 7 4" xfId="14232"/>
    <cellStyle name="Cálculo 10 2 2 7 4 2" xfId="43413"/>
    <cellStyle name="Cálculo 10 2 2 7 5" xfId="31617"/>
    <cellStyle name="Cálculo 10 2 2 8" xfId="4207"/>
    <cellStyle name="Cálculo 10 2 2 8 2" xfId="11554"/>
    <cellStyle name="Cálculo 10 2 2 8 2 2" xfId="40735"/>
    <cellStyle name="Cálculo 10 2 2 8 3" xfId="33390"/>
    <cellStyle name="Cálculo 10 2 2 9" xfId="10256"/>
    <cellStyle name="Cálculo 10 2 2 9 2" xfId="20521"/>
    <cellStyle name="Cálculo 10 2 2 9 2 2" xfId="49702"/>
    <cellStyle name="Cálculo 10 2 2 9 3" xfId="39439"/>
    <cellStyle name="Cálculo 10 2 3" xfId="774"/>
    <cellStyle name="Cálculo 10 2 3 2" xfId="1712"/>
    <cellStyle name="Cálculo 10 2 3 2 2" xfId="3512"/>
    <cellStyle name="Cálculo 10 2 3 2 2 2" xfId="6509"/>
    <cellStyle name="Cálculo 10 2 3 2 2 2 2" xfId="18349"/>
    <cellStyle name="Cálculo 10 2 3 2 2 2 2 2" xfId="47530"/>
    <cellStyle name="Cálculo 10 2 3 2 2 2 3" xfId="35692"/>
    <cellStyle name="Cálculo 10 2 3 2 2 3" xfId="8190"/>
    <cellStyle name="Cálculo 10 2 3 2 2 3 2" xfId="19280"/>
    <cellStyle name="Cálculo 10 2 3 2 2 3 2 2" xfId="48461"/>
    <cellStyle name="Cálculo 10 2 3 2 2 3 3" xfId="37373"/>
    <cellStyle name="Cálculo 10 2 3 2 2 4" xfId="16969"/>
    <cellStyle name="Cálculo 10 2 3 2 2 4 2" xfId="46150"/>
    <cellStyle name="Cálculo 10 2 3 2 2 5" xfId="32695"/>
    <cellStyle name="Cálculo 10 2 3 2 3" xfId="5069"/>
    <cellStyle name="Cálculo 10 2 3 2 3 2" xfId="11299"/>
    <cellStyle name="Cálculo 10 2 3 2 3 2 2" xfId="40480"/>
    <cellStyle name="Cálculo 10 2 3 2 3 3" xfId="34252"/>
    <cellStyle name="Cálculo 10 2 3 2 4" xfId="7759"/>
    <cellStyle name="Cálculo 10 2 3 2 4 2" xfId="19015"/>
    <cellStyle name="Cálculo 10 2 3 2 4 2 2" xfId="48196"/>
    <cellStyle name="Cálculo 10 2 3 2 4 3" xfId="36942"/>
    <cellStyle name="Cálculo 10 2 3 2 5" xfId="13676"/>
    <cellStyle name="Cálculo 10 2 3 2 5 2" xfId="42857"/>
    <cellStyle name="Cálculo 10 2 3 2 6" xfId="30895"/>
    <cellStyle name="Cálculo 10 2 3 3" xfId="2612"/>
    <cellStyle name="Cálculo 10 2 3 3 2" xfId="5789"/>
    <cellStyle name="Cálculo 10 2 3 3 2 2" xfId="16612"/>
    <cellStyle name="Cálculo 10 2 3 3 2 2 2" xfId="45793"/>
    <cellStyle name="Cálculo 10 2 3 3 2 3" xfId="34972"/>
    <cellStyle name="Cálculo 10 2 3 3 3" xfId="8559"/>
    <cellStyle name="Cálculo 10 2 3 3 3 2" xfId="19509"/>
    <cellStyle name="Cálculo 10 2 3 3 3 2 2" xfId="48690"/>
    <cellStyle name="Cálculo 10 2 3 3 3 3" xfId="37742"/>
    <cellStyle name="Cálculo 10 2 3 3 4" xfId="12475"/>
    <cellStyle name="Cálculo 10 2 3 3 4 2" xfId="41656"/>
    <cellStyle name="Cálculo 10 2 3 3 5" xfId="31795"/>
    <cellStyle name="Cálculo 10 2 3 4" xfId="4349"/>
    <cellStyle name="Cálculo 10 2 3 4 2" xfId="15468"/>
    <cellStyle name="Cálculo 10 2 3 4 2 2" xfId="44649"/>
    <cellStyle name="Cálculo 10 2 3 4 3" xfId="33532"/>
    <cellStyle name="Cálculo 10 2 3 5" xfId="7335"/>
    <cellStyle name="Cálculo 10 2 3 5 2" xfId="18765"/>
    <cellStyle name="Cálculo 10 2 3 5 2 2" xfId="47946"/>
    <cellStyle name="Cálculo 10 2 3 5 3" xfId="36518"/>
    <cellStyle name="Cálculo 10 2 3 6" xfId="18087"/>
    <cellStyle name="Cálculo 10 2 3 6 2" xfId="47268"/>
    <cellStyle name="Cálculo 10 2 3 7" xfId="29971"/>
    <cellStyle name="Cálculo 10 2 4" xfId="966"/>
    <cellStyle name="Cálculo 10 2 4 2" xfId="1876"/>
    <cellStyle name="Cálculo 10 2 4 2 2" xfId="3676"/>
    <cellStyle name="Cálculo 10 2 4 2 2 2" xfId="6637"/>
    <cellStyle name="Cálculo 10 2 4 2 2 2 2" xfId="18403"/>
    <cellStyle name="Cálculo 10 2 4 2 2 2 2 2" xfId="47584"/>
    <cellStyle name="Cálculo 10 2 4 2 2 2 3" xfId="35820"/>
    <cellStyle name="Cálculo 10 2 4 2 2 3" xfId="8068"/>
    <cellStyle name="Cálculo 10 2 4 2 2 3 2" xfId="19203"/>
    <cellStyle name="Cálculo 10 2 4 2 2 3 2 2" xfId="48384"/>
    <cellStyle name="Cálculo 10 2 4 2 2 3 3" xfId="37251"/>
    <cellStyle name="Cálculo 10 2 4 2 2 4" xfId="14377"/>
    <cellStyle name="Cálculo 10 2 4 2 2 4 2" xfId="43558"/>
    <cellStyle name="Cálculo 10 2 4 2 2 5" xfId="32859"/>
    <cellStyle name="Cálculo 10 2 4 2 3" xfId="5197"/>
    <cellStyle name="Cálculo 10 2 4 2 3 2" xfId="13137"/>
    <cellStyle name="Cálculo 10 2 4 2 3 2 2" xfId="42318"/>
    <cellStyle name="Cálculo 10 2 4 2 3 3" xfId="34380"/>
    <cellStyle name="Cálculo 10 2 4 2 4" xfId="8286"/>
    <cellStyle name="Cálculo 10 2 4 2 4 2" xfId="19336"/>
    <cellStyle name="Cálculo 10 2 4 2 4 2 2" xfId="48517"/>
    <cellStyle name="Cálculo 10 2 4 2 4 3" xfId="37469"/>
    <cellStyle name="Cálculo 10 2 4 2 5" xfId="13317"/>
    <cellStyle name="Cálculo 10 2 4 2 5 2" xfId="42498"/>
    <cellStyle name="Cálculo 10 2 4 2 6" xfId="31059"/>
    <cellStyle name="Cálculo 10 2 4 3" xfId="2776"/>
    <cellStyle name="Cálculo 10 2 4 3 2" xfId="5917"/>
    <cellStyle name="Cálculo 10 2 4 3 2 2" xfId="17620"/>
    <cellStyle name="Cálculo 10 2 4 3 2 2 2" xfId="46801"/>
    <cellStyle name="Cálculo 10 2 4 3 2 3" xfId="35100"/>
    <cellStyle name="Cálculo 10 2 4 3 3" xfId="9815"/>
    <cellStyle name="Cálculo 10 2 4 3 3 2" xfId="20257"/>
    <cellStyle name="Cálculo 10 2 4 3 3 2 2" xfId="49438"/>
    <cellStyle name="Cálculo 10 2 4 3 3 3" xfId="38998"/>
    <cellStyle name="Cálculo 10 2 4 3 4" xfId="16369"/>
    <cellStyle name="Cálculo 10 2 4 3 4 2" xfId="45550"/>
    <cellStyle name="Cálculo 10 2 4 3 5" xfId="31959"/>
    <cellStyle name="Cálculo 10 2 4 4" xfId="4477"/>
    <cellStyle name="Cálculo 10 2 4 4 2" xfId="14284"/>
    <cellStyle name="Cálculo 10 2 4 4 2 2" xfId="43465"/>
    <cellStyle name="Cálculo 10 2 4 4 3" xfId="33660"/>
    <cellStyle name="Cálculo 10 2 4 5" xfId="10489"/>
    <cellStyle name="Cálculo 10 2 4 5 2" xfId="20671"/>
    <cellStyle name="Cálculo 10 2 4 5 2 2" xfId="49852"/>
    <cellStyle name="Cálculo 10 2 4 5 3" xfId="39672"/>
    <cellStyle name="Cálculo 10 2 4 6" xfId="12444"/>
    <cellStyle name="Cálculo 10 2 4 6 2" xfId="41625"/>
    <cellStyle name="Cálculo 10 2 4 7" xfId="30156"/>
    <cellStyle name="Cálculo 10 2 5" xfId="1116"/>
    <cellStyle name="Cálculo 10 2 5 2" xfId="2020"/>
    <cellStyle name="Cálculo 10 2 5 2 2" xfId="3820"/>
    <cellStyle name="Cálculo 10 2 5 2 2 2" xfId="6754"/>
    <cellStyle name="Cálculo 10 2 5 2 2 2 2" xfId="18457"/>
    <cellStyle name="Cálculo 10 2 5 2 2 2 2 2" xfId="47638"/>
    <cellStyle name="Cálculo 10 2 5 2 2 2 3" xfId="35937"/>
    <cellStyle name="Cálculo 10 2 5 2 2 3" xfId="8646"/>
    <cellStyle name="Cálculo 10 2 5 2 2 3 2" xfId="19558"/>
    <cellStyle name="Cálculo 10 2 5 2 2 3 2 2" xfId="48739"/>
    <cellStyle name="Cálculo 10 2 5 2 2 3 3" xfId="37829"/>
    <cellStyle name="Cálculo 10 2 5 2 2 4" xfId="12249"/>
    <cellStyle name="Cálculo 10 2 5 2 2 4 2" xfId="41430"/>
    <cellStyle name="Cálculo 10 2 5 2 2 5" xfId="33003"/>
    <cellStyle name="Cálculo 10 2 5 2 3" xfId="5314"/>
    <cellStyle name="Cálculo 10 2 5 2 3 2" xfId="17778"/>
    <cellStyle name="Cálculo 10 2 5 2 3 2 2" xfId="46959"/>
    <cellStyle name="Cálculo 10 2 5 2 3 3" xfId="34497"/>
    <cellStyle name="Cálculo 10 2 5 2 4" xfId="8166"/>
    <cellStyle name="Cálculo 10 2 5 2 4 2" xfId="19264"/>
    <cellStyle name="Cálculo 10 2 5 2 4 2 2" xfId="48445"/>
    <cellStyle name="Cálculo 10 2 5 2 4 3" xfId="37349"/>
    <cellStyle name="Cálculo 10 2 5 2 5" xfId="11233"/>
    <cellStyle name="Cálculo 10 2 5 2 5 2" xfId="40414"/>
    <cellStyle name="Cálculo 10 2 5 2 6" xfId="31203"/>
    <cellStyle name="Cálculo 10 2 5 3" xfId="2920"/>
    <cellStyle name="Cálculo 10 2 5 3 2" xfId="6034"/>
    <cellStyle name="Cálculo 10 2 5 3 2 2" xfId="10574"/>
    <cellStyle name="Cálculo 10 2 5 3 2 2 2" xfId="39755"/>
    <cellStyle name="Cálculo 10 2 5 3 2 3" xfId="35217"/>
    <cellStyle name="Cálculo 10 2 5 3 3" xfId="8931"/>
    <cellStyle name="Cálculo 10 2 5 3 3 2" xfId="19728"/>
    <cellStyle name="Cálculo 10 2 5 3 3 2 2" xfId="48909"/>
    <cellStyle name="Cálculo 10 2 5 3 3 3" xfId="38114"/>
    <cellStyle name="Cálculo 10 2 5 3 4" xfId="16882"/>
    <cellStyle name="Cálculo 10 2 5 3 4 2" xfId="46063"/>
    <cellStyle name="Cálculo 10 2 5 3 5" xfId="32103"/>
    <cellStyle name="Cálculo 10 2 5 4" xfId="4594"/>
    <cellStyle name="Cálculo 10 2 5 4 2" xfId="16045"/>
    <cellStyle name="Cálculo 10 2 5 4 2 2" xfId="45226"/>
    <cellStyle name="Cálculo 10 2 5 4 3" xfId="33777"/>
    <cellStyle name="Cálculo 10 2 5 5" xfId="8381"/>
    <cellStyle name="Cálculo 10 2 5 5 2" xfId="19396"/>
    <cellStyle name="Cálculo 10 2 5 5 2 2" xfId="48577"/>
    <cellStyle name="Cálculo 10 2 5 5 3" xfId="37564"/>
    <cellStyle name="Cálculo 10 2 5 6" xfId="16973"/>
    <cellStyle name="Cálculo 10 2 5 6 2" xfId="46154"/>
    <cellStyle name="Cálculo 10 2 5 7" xfId="30303"/>
    <cellStyle name="Cálculo 10 2 6" xfId="1262"/>
    <cellStyle name="Cálculo 10 2 6 2" xfId="2164"/>
    <cellStyle name="Cálculo 10 2 6 2 2" xfId="3964"/>
    <cellStyle name="Cálculo 10 2 6 2 2 2" xfId="6871"/>
    <cellStyle name="Cálculo 10 2 6 2 2 2 2" xfId="18511"/>
    <cellStyle name="Cálculo 10 2 6 2 2 2 2 2" xfId="47692"/>
    <cellStyle name="Cálculo 10 2 6 2 2 2 3" xfId="36054"/>
    <cellStyle name="Cálculo 10 2 6 2 2 3" xfId="7116"/>
    <cellStyle name="Cálculo 10 2 6 2 2 3 2" xfId="18647"/>
    <cellStyle name="Cálculo 10 2 6 2 2 3 2 2" xfId="47828"/>
    <cellStyle name="Cálculo 10 2 6 2 2 3 3" xfId="36299"/>
    <cellStyle name="Cálculo 10 2 6 2 2 4" xfId="14011"/>
    <cellStyle name="Cálculo 10 2 6 2 2 4 2" xfId="43192"/>
    <cellStyle name="Cálculo 10 2 6 2 2 5" xfId="33147"/>
    <cellStyle name="Cálculo 10 2 6 2 3" xfId="5431"/>
    <cellStyle name="Cálculo 10 2 6 2 3 2" xfId="12499"/>
    <cellStyle name="Cálculo 10 2 6 2 3 2 2" xfId="41680"/>
    <cellStyle name="Cálculo 10 2 6 2 3 3" xfId="34614"/>
    <cellStyle name="Cálculo 10 2 6 2 4" xfId="8485"/>
    <cellStyle name="Cálculo 10 2 6 2 4 2" xfId="19465"/>
    <cellStyle name="Cálculo 10 2 6 2 4 2 2" xfId="48646"/>
    <cellStyle name="Cálculo 10 2 6 2 4 3" xfId="37668"/>
    <cellStyle name="Cálculo 10 2 6 2 5" xfId="11500"/>
    <cellStyle name="Cálculo 10 2 6 2 5 2" xfId="40681"/>
    <cellStyle name="Cálculo 10 2 6 2 6" xfId="31347"/>
    <cellStyle name="Cálculo 10 2 6 3" xfId="3064"/>
    <cellStyle name="Cálculo 10 2 6 3 2" xfId="6151"/>
    <cellStyle name="Cálculo 10 2 6 3 2 2" xfId="18151"/>
    <cellStyle name="Cálculo 10 2 6 3 2 2 2" xfId="47332"/>
    <cellStyle name="Cálculo 10 2 6 3 2 3" xfId="35334"/>
    <cellStyle name="Cálculo 10 2 6 3 3" xfId="9994"/>
    <cellStyle name="Cálculo 10 2 6 3 3 2" xfId="20370"/>
    <cellStyle name="Cálculo 10 2 6 3 3 2 2" xfId="49551"/>
    <cellStyle name="Cálculo 10 2 6 3 3 3" xfId="39177"/>
    <cellStyle name="Cálculo 10 2 6 3 4" xfId="16461"/>
    <cellStyle name="Cálculo 10 2 6 3 4 2" xfId="45642"/>
    <cellStyle name="Cálculo 10 2 6 3 5" xfId="32247"/>
    <cellStyle name="Cálculo 10 2 6 4" xfId="4711"/>
    <cellStyle name="Cálculo 10 2 6 4 2" xfId="13725"/>
    <cellStyle name="Cálculo 10 2 6 4 2 2" xfId="42906"/>
    <cellStyle name="Cálculo 10 2 6 4 3" xfId="33894"/>
    <cellStyle name="Cálculo 10 2 6 5" xfId="7322"/>
    <cellStyle name="Cálculo 10 2 6 5 2" xfId="18753"/>
    <cellStyle name="Cálculo 10 2 6 5 2 2" xfId="47934"/>
    <cellStyle name="Cálculo 10 2 6 5 3" xfId="36505"/>
    <cellStyle name="Cálculo 10 2 6 6" xfId="17645"/>
    <cellStyle name="Cálculo 10 2 6 6 2" xfId="46826"/>
    <cellStyle name="Cálculo 10 2 6 7" xfId="30447"/>
    <cellStyle name="Cálculo 10 2 7" xfId="1444"/>
    <cellStyle name="Cálculo 10 2 7 2" xfId="3244"/>
    <cellStyle name="Cálculo 10 2 7 2 2" xfId="6295"/>
    <cellStyle name="Cálculo 10 2 7 2 2 2" xfId="18223"/>
    <cellStyle name="Cálculo 10 2 7 2 2 2 2" xfId="47404"/>
    <cellStyle name="Cálculo 10 2 7 2 2 3" xfId="35478"/>
    <cellStyle name="Cálculo 10 2 7 2 3" xfId="8552"/>
    <cellStyle name="Cálculo 10 2 7 2 3 2" xfId="19506"/>
    <cellStyle name="Cálculo 10 2 7 2 3 2 2" xfId="48687"/>
    <cellStyle name="Cálculo 10 2 7 2 3 3" xfId="37735"/>
    <cellStyle name="Cálculo 10 2 7 2 4" xfId="15999"/>
    <cellStyle name="Cálculo 10 2 7 2 4 2" xfId="45180"/>
    <cellStyle name="Cálculo 10 2 7 2 5" xfId="32427"/>
    <cellStyle name="Cálculo 10 2 7 3" xfId="4855"/>
    <cellStyle name="Cálculo 10 2 7 3 2" xfId="10780"/>
    <cellStyle name="Cálculo 10 2 7 3 2 2" xfId="39961"/>
    <cellStyle name="Cálculo 10 2 7 3 3" xfId="34038"/>
    <cellStyle name="Cálculo 10 2 7 4" xfId="8329"/>
    <cellStyle name="Cálculo 10 2 7 4 2" xfId="19364"/>
    <cellStyle name="Cálculo 10 2 7 4 2 2" xfId="48545"/>
    <cellStyle name="Cálculo 10 2 7 4 3" xfId="37512"/>
    <cellStyle name="Cálculo 10 2 7 5" xfId="17691"/>
    <cellStyle name="Cálculo 10 2 7 5 2" xfId="46872"/>
    <cellStyle name="Cálculo 10 2 7 6" xfId="30627"/>
    <cellStyle name="Cálculo 10 2 8" xfId="2344"/>
    <cellStyle name="Cálculo 10 2 8 2" xfId="5575"/>
    <cellStyle name="Cálculo 10 2 8 2 2" xfId="14520"/>
    <cellStyle name="Cálculo 10 2 8 2 2 2" xfId="43701"/>
    <cellStyle name="Cálculo 10 2 8 2 3" xfId="34758"/>
    <cellStyle name="Cálculo 10 2 8 3" xfId="7821"/>
    <cellStyle name="Cálculo 10 2 8 3 2" xfId="19058"/>
    <cellStyle name="Cálculo 10 2 8 3 2 2" xfId="48239"/>
    <cellStyle name="Cálculo 10 2 8 3 3" xfId="37004"/>
    <cellStyle name="Cálculo 10 2 8 4" xfId="11529"/>
    <cellStyle name="Cálculo 10 2 8 4 2" xfId="40710"/>
    <cellStyle name="Cálculo 10 2 8 5" xfId="31527"/>
    <cellStyle name="Cálculo 10 2 9" xfId="4135"/>
    <cellStyle name="Cálculo 10 2 9 2" xfId="12986"/>
    <cellStyle name="Cálculo 10 2 9 2 2" xfId="42167"/>
    <cellStyle name="Cálculo 10 2 9 3" xfId="33318"/>
    <cellStyle name="Cálculo 10 3" xfId="466"/>
    <cellStyle name="Cálculo 10 3 10" xfId="12136"/>
    <cellStyle name="Cálculo 10 3 10 2" xfId="41317"/>
    <cellStyle name="Cálculo 10 3 11" xfId="29672"/>
    <cellStyle name="Cálculo 10 3 2" xfId="819"/>
    <cellStyle name="Cálculo 10 3 2 2" xfId="1757"/>
    <cellStyle name="Cálculo 10 3 2 2 2" xfId="3557"/>
    <cellStyle name="Cálculo 10 3 2 2 2 2" xfId="6545"/>
    <cellStyle name="Cálculo 10 3 2 2 2 2 2" xfId="18367"/>
    <cellStyle name="Cálculo 10 3 2 2 2 2 2 2" xfId="47548"/>
    <cellStyle name="Cálculo 10 3 2 2 2 2 3" xfId="35728"/>
    <cellStyle name="Cálculo 10 3 2 2 2 3" xfId="8030"/>
    <cellStyle name="Cálculo 10 3 2 2 2 3 2" xfId="19182"/>
    <cellStyle name="Cálculo 10 3 2 2 2 3 2 2" xfId="48363"/>
    <cellStyle name="Cálculo 10 3 2 2 2 3 3" xfId="37213"/>
    <cellStyle name="Cálculo 10 3 2 2 2 4" xfId="15845"/>
    <cellStyle name="Cálculo 10 3 2 2 2 4 2" xfId="45026"/>
    <cellStyle name="Cálculo 10 3 2 2 2 5" xfId="32740"/>
    <cellStyle name="Cálculo 10 3 2 2 3" xfId="5105"/>
    <cellStyle name="Cálculo 10 3 2 2 3 2" xfId="16509"/>
    <cellStyle name="Cálculo 10 3 2 2 3 2 2" xfId="45690"/>
    <cellStyle name="Cálculo 10 3 2 2 3 3" xfId="34288"/>
    <cellStyle name="Cálculo 10 3 2 2 4" xfId="8249"/>
    <cellStyle name="Cálculo 10 3 2 2 4 2" xfId="19311"/>
    <cellStyle name="Cálculo 10 3 2 2 4 2 2" xfId="48492"/>
    <cellStyle name="Cálculo 10 3 2 2 4 3" xfId="37432"/>
    <cellStyle name="Cálculo 10 3 2 2 5" xfId="11439"/>
    <cellStyle name="Cálculo 10 3 2 2 5 2" xfId="40620"/>
    <cellStyle name="Cálculo 10 3 2 2 6" xfId="30940"/>
    <cellStyle name="Cálculo 10 3 2 3" xfId="2657"/>
    <cellStyle name="Cálculo 10 3 2 3 2" xfId="5825"/>
    <cellStyle name="Cálculo 10 3 2 3 2 2" xfId="14969"/>
    <cellStyle name="Cálculo 10 3 2 3 2 2 2" xfId="44150"/>
    <cellStyle name="Cálculo 10 3 2 3 2 3" xfId="35008"/>
    <cellStyle name="Cálculo 10 3 2 3 3" xfId="9779"/>
    <cellStyle name="Cálculo 10 3 2 3 3 2" xfId="20237"/>
    <cellStyle name="Cálculo 10 3 2 3 3 2 2" xfId="49418"/>
    <cellStyle name="Cálculo 10 3 2 3 3 3" xfId="38962"/>
    <cellStyle name="Cálculo 10 3 2 3 4" xfId="16146"/>
    <cellStyle name="Cálculo 10 3 2 3 4 2" xfId="45327"/>
    <cellStyle name="Cálculo 10 3 2 3 5" xfId="31840"/>
    <cellStyle name="Cálculo 10 3 2 4" xfId="4385"/>
    <cellStyle name="Cálculo 10 3 2 4 2" xfId="15080"/>
    <cellStyle name="Cálculo 10 3 2 4 2 2" xfId="44261"/>
    <cellStyle name="Cálculo 10 3 2 4 3" xfId="33568"/>
    <cellStyle name="Cálculo 10 3 2 5" xfId="8579"/>
    <cellStyle name="Cálculo 10 3 2 5 2" xfId="19521"/>
    <cellStyle name="Cálculo 10 3 2 5 2 2" xfId="48702"/>
    <cellStyle name="Cálculo 10 3 2 5 3" xfId="37762"/>
    <cellStyle name="Cálculo 10 3 2 6" xfId="11691"/>
    <cellStyle name="Cálculo 10 3 2 6 2" xfId="40872"/>
    <cellStyle name="Cálculo 10 3 2 7" xfId="30016"/>
    <cellStyle name="Cálculo 10 3 3" xfId="1011"/>
    <cellStyle name="Cálculo 10 3 3 2" xfId="1921"/>
    <cellStyle name="Cálculo 10 3 3 2 2" xfId="3721"/>
    <cellStyle name="Cálculo 10 3 3 2 2 2" xfId="6673"/>
    <cellStyle name="Cálculo 10 3 3 2 2 2 2" xfId="18421"/>
    <cellStyle name="Cálculo 10 3 3 2 2 2 2 2" xfId="47602"/>
    <cellStyle name="Cálculo 10 3 3 2 2 2 3" xfId="35856"/>
    <cellStyle name="Cálculo 10 3 3 2 2 3" xfId="7903"/>
    <cellStyle name="Cálculo 10 3 3 2 2 3 2" xfId="19105"/>
    <cellStyle name="Cálculo 10 3 3 2 2 3 2 2" xfId="48286"/>
    <cellStyle name="Cálculo 10 3 3 2 2 3 3" xfId="37086"/>
    <cellStyle name="Cálculo 10 3 3 2 2 4" xfId="10660"/>
    <cellStyle name="Cálculo 10 3 3 2 2 4 2" xfId="39841"/>
    <cellStyle name="Cálculo 10 3 3 2 2 5" xfId="32904"/>
    <cellStyle name="Cálculo 10 3 3 2 3" xfId="5233"/>
    <cellStyle name="Cálculo 10 3 3 2 3 2" xfId="15891"/>
    <cellStyle name="Cálculo 10 3 3 2 3 2 2" xfId="45072"/>
    <cellStyle name="Cálculo 10 3 3 2 3 3" xfId="34416"/>
    <cellStyle name="Cálculo 10 3 3 2 4" xfId="7841"/>
    <cellStyle name="Cálculo 10 3 3 2 4 2" xfId="19069"/>
    <cellStyle name="Cálculo 10 3 3 2 4 2 2" xfId="48250"/>
    <cellStyle name="Cálculo 10 3 3 2 4 3" xfId="37024"/>
    <cellStyle name="Cálculo 10 3 3 2 5" xfId="13962"/>
    <cellStyle name="Cálculo 10 3 3 2 5 2" xfId="43143"/>
    <cellStyle name="Cálculo 10 3 3 2 6" xfId="31104"/>
    <cellStyle name="Cálculo 10 3 3 3" xfId="2821"/>
    <cellStyle name="Cálculo 10 3 3 3 2" xfId="5953"/>
    <cellStyle name="Cálculo 10 3 3 3 2 2" xfId="10610"/>
    <cellStyle name="Cálculo 10 3 3 3 2 2 2" xfId="39791"/>
    <cellStyle name="Cálculo 10 3 3 3 2 3" xfId="35136"/>
    <cellStyle name="Cálculo 10 3 3 3 3" xfId="8400"/>
    <cellStyle name="Cálculo 10 3 3 3 3 2" xfId="19407"/>
    <cellStyle name="Cálculo 10 3 3 3 3 2 2" xfId="48588"/>
    <cellStyle name="Cálculo 10 3 3 3 3 3" xfId="37583"/>
    <cellStyle name="Cálculo 10 3 3 3 4" xfId="12801"/>
    <cellStyle name="Cálculo 10 3 3 3 4 2" xfId="41982"/>
    <cellStyle name="Cálculo 10 3 3 3 5" xfId="32004"/>
    <cellStyle name="Cálculo 10 3 3 4" xfId="4513"/>
    <cellStyle name="Cálculo 10 3 3 4 2" xfId="12243"/>
    <cellStyle name="Cálculo 10 3 3 4 2 2" xfId="41424"/>
    <cellStyle name="Cálculo 10 3 3 4 3" xfId="33696"/>
    <cellStyle name="Cálculo 10 3 3 5" xfId="8097"/>
    <cellStyle name="Cálculo 10 3 3 5 2" xfId="19219"/>
    <cellStyle name="Cálculo 10 3 3 5 2 2" xfId="48400"/>
    <cellStyle name="Cálculo 10 3 3 5 3" xfId="37280"/>
    <cellStyle name="Cálculo 10 3 3 6" xfId="17561"/>
    <cellStyle name="Cálculo 10 3 3 6 2" xfId="46742"/>
    <cellStyle name="Cálculo 10 3 3 7" xfId="30201"/>
    <cellStyle name="Cálculo 10 3 4" xfId="1161"/>
    <cellStyle name="Cálculo 10 3 4 2" xfId="2065"/>
    <cellStyle name="Cálculo 10 3 4 2 2" xfId="3865"/>
    <cellStyle name="Cálculo 10 3 4 2 2 2" xfId="6790"/>
    <cellStyle name="Cálculo 10 3 4 2 2 2 2" xfId="18475"/>
    <cellStyle name="Cálculo 10 3 4 2 2 2 2 2" xfId="47656"/>
    <cellStyle name="Cálculo 10 3 4 2 2 2 3" xfId="35973"/>
    <cellStyle name="Cálculo 10 3 4 2 2 3" xfId="8429"/>
    <cellStyle name="Cálculo 10 3 4 2 2 3 2" xfId="19428"/>
    <cellStyle name="Cálculo 10 3 4 2 2 3 2 2" xfId="48609"/>
    <cellStyle name="Cálculo 10 3 4 2 2 3 3" xfId="37612"/>
    <cellStyle name="Cálculo 10 3 4 2 2 4" xfId="15947"/>
    <cellStyle name="Cálculo 10 3 4 2 2 4 2" xfId="45128"/>
    <cellStyle name="Cálculo 10 3 4 2 2 5" xfId="33048"/>
    <cellStyle name="Cálculo 10 3 4 2 3" xfId="5350"/>
    <cellStyle name="Cálculo 10 3 4 2 3 2" xfId="14410"/>
    <cellStyle name="Cálculo 10 3 4 2 3 2 2" xfId="43591"/>
    <cellStyle name="Cálculo 10 3 4 2 3 3" xfId="34533"/>
    <cellStyle name="Cálculo 10 3 4 2 4" xfId="10278"/>
    <cellStyle name="Cálculo 10 3 4 2 4 2" xfId="20536"/>
    <cellStyle name="Cálculo 10 3 4 2 4 2 2" xfId="49717"/>
    <cellStyle name="Cálculo 10 3 4 2 4 3" xfId="39461"/>
    <cellStyle name="Cálculo 10 3 4 2 5" xfId="14089"/>
    <cellStyle name="Cálculo 10 3 4 2 5 2" xfId="43270"/>
    <cellStyle name="Cálculo 10 3 4 2 6" xfId="31248"/>
    <cellStyle name="Cálculo 10 3 4 3" xfId="2965"/>
    <cellStyle name="Cálculo 10 3 4 3 2" xfId="6070"/>
    <cellStyle name="Cálculo 10 3 4 3 2 2" xfId="10556"/>
    <cellStyle name="Cálculo 10 3 4 3 2 2 2" xfId="39737"/>
    <cellStyle name="Cálculo 10 3 4 3 2 3" xfId="35253"/>
    <cellStyle name="Cálculo 10 3 4 3 3" xfId="9502"/>
    <cellStyle name="Cálculo 10 3 4 3 3 2" xfId="20068"/>
    <cellStyle name="Cálculo 10 3 4 3 3 2 2" xfId="49249"/>
    <cellStyle name="Cálculo 10 3 4 3 3 3" xfId="38685"/>
    <cellStyle name="Cálculo 10 3 4 3 4" xfId="16422"/>
    <cellStyle name="Cálculo 10 3 4 3 4 2" xfId="45603"/>
    <cellStyle name="Cálculo 10 3 4 3 5" xfId="32148"/>
    <cellStyle name="Cálculo 10 3 4 4" xfId="4630"/>
    <cellStyle name="Cálculo 10 3 4 4 2" xfId="14973"/>
    <cellStyle name="Cálculo 10 3 4 4 2 2" xfId="44154"/>
    <cellStyle name="Cálculo 10 3 4 4 3" xfId="33813"/>
    <cellStyle name="Cálculo 10 3 4 5" xfId="9143"/>
    <cellStyle name="Cálculo 10 3 4 5 2" xfId="19855"/>
    <cellStyle name="Cálculo 10 3 4 5 2 2" xfId="49036"/>
    <cellStyle name="Cálculo 10 3 4 5 3" xfId="38326"/>
    <cellStyle name="Cálculo 10 3 4 6" xfId="11340"/>
    <cellStyle name="Cálculo 10 3 4 6 2" xfId="40521"/>
    <cellStyle name="Cálculo 10 3 4 7" xfId="30348"/>
    <cellStyle name="Cálculo 10 3 5" xfId="1307"/>
    <cellStyle name="Cálculo 10 3 5 2" xfId="2209"/>
    <cellStyle name="Cálculo 10 3 5 2 2" xfId="4009"/>
    <cellStyle name="Cálculo 10 3 5 2 2 2" xfId="6907"/>
    <cellStyle name="Cálculo 10 3 5 2 2 2 2" xfId="18529"/>
    <cellStyle name="Cálculo 10 3 5 2 2 2 2 2" xfId="47710"/>
    <cellStyle name="Cálculo 10 3 5 2 2 2 3" xfId="36090"/>
    <cellStyle name="Cálculo 10 3 5 2 2 3" xfId="7071"/>
    <cellStyle name="Cálculo 10 3 5 2 2 3 2" xfId="18620"/>
    <cellStyle name="Cálculo 10 3 5 2 2 3 2 2" xfId="47801"/>
    <cellStyle name="Cálculo 10 3 5 2 2 3 3" xfId="36254"/>
    <cellStyle name="Cálculo 10 3 5 2 2 4" xfId="12382"/>
    <cellStyle name="Cálculo 10 3 5 2 2 4 2" xfId="41563"/>
    <cellStyle name="Cálculo 10 3 5 2 2 5" xfId="33192"/>
    <cellStyle name="Cálculo 10 3 5 2 3" xfId="5467"/>
    <cellStyle name="Cálculo 10 3 5 2 3 2" xfId="17898"/>
    <cellStyle name="Cálculo 10 3 5 2 3 2 2" xfId="47079"/>
    <cellStyle name="Cálculo 10 3 5 2 3 3" xfId="34650"/>
    <cellStyle name="Cálculo 10 3 5 2 4" xfId="9294"/>
    <cellStyle name="Cálculo 10 3 5 2 4 2" xfId="19948"/>
    <cellStyle name="Cálculo 10 3 5 2 4 2 2" xfId="49129"/>
    <cellStyle name="Cálculo 10 3 5 2 4 3" xfId="38477"/>
    <cellStyle name="Cálculo 10 3 5 2 5" xfId="15253"/>
    <cellStyle name="Cálculo 10 3 5 2 5 2" xfId="44434"/>
    <cellStyle name="Cálculo 10 3 5 2 6" xfId="31392"/>
    <cellStyle name="Cálculo 10 3 5 3" xfId="3109"/>
    <cellStyle name="Cálculo 10 3 5 3 2" xfId="6187"/>
    <cellStyle name="Cálculo 10 3 5 3 2 2" xfId="18169"/>
    <cellStyle name="Cálculo 10 3 5 3 2 2 2" xfId="47350"/>
    <cellStyle name="Cálculo 10 3 5 3 2 3" xfId="35370"/>
    <cellStyle name="Cálculo 10 3 5 3 3" xfId="7872"/>
    <cellStyle name="Cálculo 10 3 5 3 3 2" xfId="19086"/>
    <cellStyle name="Cálculo 10 3 5 3 3 2 2" xfId="48267"/>
    <cellStyle name="Cálculo 10 3 5 3 3 3" xfId="37055"/>
    <cellStyle name="Cálculo 10 3 5 3 4" xfId="11052"/>
    <cellStyle name="Cálculo 10 3 5 3 4 2" xfId="40233"/>
    <cellStyle name="Cálculo 10 3 5 3 5" xfId="32292"/>
    <cellStyle name="Cálculo 10 3 5 4" xfId="4747"/>
    <cellStyle name="Cálculo 10 3 5 4 2" xfId="11464"/>
    <cellStyle name="Cálculo 10 3 5 4 2 2" xfId="40645"/>
    <cellStyle name="Cálculo 10 3 5 4 3" xfId="33930"/>
    <cellStyle name="Cálculo 10 3 5 5" xfId="8910"/>
    <cellStyle name="Cálculo 10 3 5 5 2" xfId="19714"/>
    <cellStyle name="Cálculo 10 3 5 5 2 2" xfId="48895"/>
    <cellStyle name="Cálculo 10 3 5 5 3" xfId="38093"/>
    <cellStyle name="Cálculo 10 3 5 6" xfId="12710"/>
    <cellStyle name="Cálculo 10 3 5 6 2" xfId="41891"/>
    <cellStyle name="Cálculo 10 3 5 7" xfId="30492"/>
    <cellStyle name="Cálculo 10 3 6" xfId="1489"/>
    <cellStyle name="Cálculo 10 3 6 2" xfId="3289"/>
    <cellStyle name="Cálculo 10 3 6 2 2" xfId="6331"/>
    <cellStyle name="Cálculo 10 3 6 2 2 2" xfId="18241"/>
    <cellStyle name="Cálculo 10 3 6 2 2 2 2" xfId="47422"/>
    <cellStyle name="Cálculo 10 3 6 2 2 3" xfId="35514"/>
    <cellStyle name="Cálculo 10 3 6 2 3" xfId="9772"/>
    <cellStyle name="Cálculo 10 3 6 2 3 2" xfId="20234"/>
    <cellStyle name="Cálculo 10 3 6 2 3 2 2" xfId="49415"/>
    <cellStyle name="Cálculo 10 3 6 2 3 3" xfId="38955"/>
    <cellStyle name="Cálculo 10 3 6 2 4" xfId="10922"/>
    <cellStyle name="Cálculo 10 3 6 2 4 2" xfId="40103"/>
    <cellStyle name="Cálculo 10 3 6 2 5" xfId="32472"/>
    <cellStyle name="Cálculo 10 3 6 3" xfId="4891"/>
    <cellStyle name="Cálculo 10 3 6 3 2" xfId="13670"/>
    <cellStyle name="Cálculo 10 3 6 3 2 2" xfId="42851"/>
    <cellStyle name="Cálculo 10 3 6 3 3" xfId="34074"/>
    <cellStyle name="Cálculo 10 3 6 4" xfId="10402"/>
    <cellStyle name="Cálculo 10 3 6 4 2" xfId="20615"/>
    <cellStyle name="Cálculo 10 3 6 4 2 2" xfId="49796"/>
    <cellStyle name="Cálculo 10 3 6 4 3" xfId="39585"/>
    <cellStyle name="Cálculo 10 3 6 5" xfId="16466"/>
    <cellStyle name="Cálculo 10 3 6 5 2" xfId="45647"/>
    <cellStyle name="Cálculo 10 3 6 6" xfId="30672"/>
    <cellStyle name="Cálculo 10 3 7" xfId="2389"/>
    <cellStyle name="Cálculo 10 3 7 2" xfId="5611"/>
    <cellStyle name="Cálculo 10 3 7 2 2" xfId="12435"/>
    <cellStyle name="Cálculo 10 3 7 2 2 2" xfId="41616"/>
    <cellStyle name="Cálculo 10 3 7 2 3" xfId="34794"/>
    <cellStyle name="Cálculo 10 3 7 3" xfId="7263"/>
    <cellStyle name="Cálculo 10 3 7 3 2" xfId="18723"/>
    <cellStyle name="Cálculo 10 3 7 3 2 2" xfId="47904"/>
    <cellStyle name="Cálculo 10 3 7 3 3" xfId="36446"/>
    <cellStyle name="Cálculo 10 3 7 4" xfId="15278"/>
    <cellStyle name="Cálculo 10 3 7 4 2" xfId="44459"/>
    <cellStyle name="Cálculo 10 3 7 5" xfId="31572"/>
    <cellStyle name="Cálculo 10 3 8" xfId="4171"/>
    <cellStyle name="Cálculo 10 3 8 2" xfId="11902"/>
    <cellStyle name="Cálculo 10 3 8 2 2" xfId="41083"/>
    <cellStyle name="Cálculo 10 3 8 3" xfId="33354"/>
    <cellStyle name="Cálculo 10 3 9" xfId="10413"/>
    <cellStyle name="Cálculo 10 3 9 2" xfId="20621"/>
    <cellStyle name="Cálculo 10 3 9 2 2" xfId="49802"/>
    <cellStyle name="Cálculo 10 3 9 3" xfId="39596"/>
    <cellStyle name="Cálculo 10 4" xfId="637"/>
    <cellStyle name="Cálculo 10 4 2" xfId="1629"/>
    <cellStyle name="Cálculo 10 4 2 2" xfId="3429"/>
    <cellStyle name="Cálculo 10 4 2 2 2" xfId="6444"/>
    <cellStyle name="Cálculo 10 4 2 2 2 2" xfId="18311"/>
    <cellStyle name="Cálculo 10 4 2 2 2 2 2" xfId="47492"/>
    <cellStyle name="Cálculo 10 4 2 2 2 3" xfId="35627"/>
    <cellStyle name="Cálculo 10 4 2 2 3" xfId="9732"/>
    <cellStyle name="Cálculo 10 4 2 2 3 2" xfId="20207"/>
    <cellStyle name="Cálculo 10 4 2 2 3 2 2" xfId="49388"/>
    <cellStyle name="Cálculo 10 4 2 2 3 3" xfId="38915"/>
    <cellStyle name="Cálculo 10 4 2 2 4" xfId="12067"/>
    <cellStyle name="Cálculo 10 4 2 2 4 2" xfId="41248"/>
    <cellStyle name="Cálculo 10 4 2 2 5" xfId="32612"/>
    <cellStyle name="Cálculo 10 4 2 3" xfId="5004"/>
    <cellStyle name="Cálculo 10 4 2 3 2" xfId="16445"/>
    <cellStyle name="Cálculo 10 4 2 3 2 2" xfId="45626"/>
    <cellStyle name="Cálculo 10 4 2 3 3" xfId="34187"/>
    <cellStyle name="Cálculo 10 4 2 4" xfId="9338"/>
    <cellStyle name="Cálculo 10 4 2 4 2" xfId="19971"/>
    <cellStyle name="Cálculo 10 4 2 4 2 2" xfId="49152"/>
    <cellStyle name="Cálculo 10 4 2 4 3" xfId="38521"/>
    <cellStyle name="Cálculo 10 4 2 5" xfId="13884"/>
    <cellStyle name="Cálculo 10 4 2 5 2" xfId="43065"/>
    <cellStyle name="Cálculo 10 4 2 6" xfId="30812"/>
    <cellStyle name="Cálculo 10 4 3" xfId="2529"/>
    <cellStyle name="Cálculo 10 4 3 2" xfId="5724"/>
    <cellStyle name="Cálculo 10 4 3 2 2" xfId="15179"/>
    <cellStyle name="Cálculo 10 4 3 2 2 2" xfId="44360"/>
    <cellStyle name="Cálculo 10 4 3 2 3" xfId="34907"/>
    <cellStyle name="Cálculo 10 4 3 3" xfId="7917"/>
    <cellStyle name="Cálculo 10 4 3 3 2" xfId="19110"/>
    <cellStyle name="Cálculo 10 4 3 3 2 2" xfId="48291"/>
    <cellStyle name="Cálculo 10 4 3 3 3" xfId="37100"/>
    <cellStyle name="Cálculo 10 4 3 4" xfId="12231"/>
    <cellStyle name="Cálculo 10 4 3 4 2" xfId="41412"/>
    <cellStyle name="Cálculo 10 4 3 5" xfId="31712"/>
    <cellStyle name="Cálculo 10 4 4" xfId="4284"/>
    <cellStyle name="Cálculo 10 4 4 2" xfId="16409"/>
    <cellStyle name="Cálculo 10 4 4 2 2" xfId="45590"/>
    <cellStyle name="Cálculo 10 4 4 3" xfId="33467"/>
    <cellStyle name="Cálculo 10 4 5" xfId="7483"/>
    <cellStyle name="Cálculo 10 4 5 2" xfId="18843"/>
    <cellStyle name="Cálculo 10 4 5 2 2" xfId="48024"/>
    <cellStyle name="Cálculo 10 4 5 3" xfId="36666"/>
    <cellStyle name="Cálculo 10 4 6" xfId="11384"/>
    <cellStyle name="Cálculo 10 4 6 2" xfId="40565"/>
    <cellStyle name="Cálculo 10 4 7" xfId="29840"/>
    <cellStyle name="Cálculo 10 5" xfId="647"/>
    <cellStyle name="Cálculo 10 5 2" xfId="1639"/>
    <cellStyle name="Cálculo 10 5 2 2" xfId="3439"/>
    <cellStyle name="Cálculo 10 5 2 2 2" xfId="6454"/>
    <cellStyle name="Cálculo 10 5 2 2 2 2" xfId="18321"/>
    <cellStyle name="Cálculo 10 5 2 2 2 2 2" xfId="47502"/>
    <cellStyle name="Cálculo 10 5 2 2 2 3" xfId="35637"/>
    <cellStyle name="Cálculo 10 5 2 2 3" xfId="8728"/>
    <cellStyle name="Cálculo 10 5 2 2 3 2" xfId="19605"/>
    <cellStyle name="Cálculo 10 5 2 2 3 2 2" xfId="48786"/>
    <cellStyle name="Cálculo 10 5 2 2 3 3" xfId="37911"/>
    <cellStyle name="Cálculo 10 5 2 2 4" xfId="15499"/>
    <cellStyle name="Cálculo 10 5 2 2 4 2" xfId="44680"/>
    <cellStyle name="Cálculo 10 5 2 2 5" xfId="32622"/>
    <cellStyle name="Cálculo 10 5 2 3" xfId="5014"/>
    <cellStyle name="Cálculo 10 5 2 3 2" xfId="14631"/>
    <cellStyle name="Cálculo 10 5 2 3 2 2" xfId="43812"/>
    <cellStyle name="Cálculo 10 5 2 3 3" xfId="34197"/>
    <cellStyle name="Cálculo 10 5 2 4" xfId="8906"/>
    <cellStyle name="Cálculo 10 5 2 4 2" xfId="19711"/>
    <cellStyle name="Cálculo 10 5 2 4 2 2" xfId="48892"/>
    <cellStyle name="Cálculo 10 5 2 4 3" xfId="38089"/>
    <cellStyle name="Cálculo 10 5 2 5" xfId="11411"/>
    <cellStyle name="Cálculo 10 5 2 5 2" xfId="40592"/>
    <cellStyle name="Cálculo 10 5 2 6" xfId="30822"/>
    <cellStyle name="Cálculo 10 5 3" xfId="2539"/>
    <cellStyle name="Cálculo 10 5 3 2" xfId="5734"/>
    <cellStyle name="Cálculo 10 5 3 2 2" xfId="14072"/>
    <cellStyle name="Cálculo 10 5 3 2 2 2" xfId="43253"/>
    <cellStyle name="Cálculo 10 5 3 2 3" xfId="34917"/>
    <cellStyle name="Cálculo 10 5 3 3" xfId="10433"/>
    <cellStyle name="Cálculo 10 5 3 3 2" xfId="20635"/>
    <cellStyle name="Cálculo 10 5 3 3 2 2" xfId="49816"/>
    <cellStyle name="Cálculo 10 5 3 3 3" xfId="39616"/>
    <cellStyle name="Cálculo 10 5 3 4" xfId="18030"/>
    <cellStyle name="Cálculo 10 5 3 4 2" xfId="47211"/>
    <cellStyle name="Cálculo 10 5 3 5" xfId="31722"/>
    <cellStyle name="Cálculo 10 5 4" xfId="4294"/>
    <cellStyle name="Cálculo 10 5 4 2" xfId="16308"/>
    <cellStyle name="Cálculo 10 5 4 2 2" xfId="45489"/>
    <cellStyle name="Cálculo 10 5 4 3" xfId="33477"/>
    <cellStyle name="Cálculo 10 5 5" xfId="9528"/>
    <cellStyle name="Cálculo 10 5 5 2" xfId="20083"/>
    <cellStyle name="Cálculo 10 5 5 2 2" xfId="49264"/>
    <cellStyle name="Cálculo 10 5 5 3" xfId="38711"/>
    <cellStyle name="Cálculo 10 5 6" xfId="17031"/>
    <cellStyle name="Cálculo 10 5 6 2" xfId="46212"/>
    <cellStyle name="Cálculo 10 5 7" xfId="29850"/>
    <cellStyle name="Cálculo 10 6" xfId="625"/>
    <cellStyle name="Cálculo 10 6 2" xfId="1617"/>
    <cellStyle name="Cálculo 10 6 2 2" xfId="3417"/>
    <cellStyle name="Cálculo 10 6 2 2 2" xfId="6432"/>
    <cellStyle name="Cálculo 10 6 2 2 2 2" xfId="18299"/>
    <cellStyle name="Cálculo 10 6 2 2 2 2 2" xfId="47480"/>
    <cellStyle name="Cálculo 10 6 2 2 2 3" xfId="35615"/>
    <cellStyle name="Cálculo 10 6 2 2 3" xfId="7994"/>
    <cellStyle name="Cálculo 10 6 2 2 3 2" xfId="19159"/>
    <cellStyle name="Cálculo 10 6 2 2 3 2 2" xfId="48340"/>
    <cellStyle name="Cálculo 10 6 2 2 3 3" xfId="37177"/>
    <cellStyle name="Cálculo 10 6 2 2 4" xfId="12828"/>
    <cellStyle name="Cálculo 10 6 2 2 4 2" xfId="42009"/>
    <cellStyle name="Cálculo 10 6 2 2 5" xfId="32600"/>
    <cellStyle name="Cálculo 10 6 2 3" xfId="4992"/>
    <cellStyle name="Cálculo 10 6 2 3 2" xfId="17358"/>
    <cellStyle name="Cálculo 10 6 2 3 2 2" xfId="46539"/>
    <cellStyle name="Cálculo 10 6 2 3 3" xfId="34175"/>
    <cellStyle name="Cálculo 10 6 2 4" xfId="9712"/>
    <cellStyle name="Cálculo 10 6 2 4 2" xfId="20197"/>
    <cellStyle name="Cálculo 10 6 2 4 2 2" xfId="49378"/>
    <cellStyle name="Cálculo 10 6 2 4 3" xfId="38895"/>
    <cellStyle name="Cálculo 10 6 2 5" xfId="17508"/>
    <cellStyle name="Cálculo 10 6 2 5 2" xfId="46689"/>
    <cellStyle name="Cálculo 10 6 2 6" xfId="30800"/>
    <cellStyle name="Cálculo 10 6 3" xfId="2517"/>
    <cellStyle name="Cálculo 10 6 3 2" xfId="5712"/>
    <cellStyle name="Cálculo 10 6 3 2 2" xfId="15202"/>
    <cellStyle name="Cálculo 10 6 3 2 2 2" xfId="44383"/>
    <cellStyle name="Cálculo 10 6 3 2 3" xfId="34895"/>
    <cellStyle name="Cálculo 10 6 3 3" xfId="8318"/>
    <cellStyle name="Cálculo 10 6 3 3 2" xfId="19356"/>
    <cellStyle name="Cálculo 10 6 3 3 2 2" xfId="48537"/>
    <cellStyle name="Cálculo 10 6 3 3 3" xfId="37501"/>
    <cellStyle name="Cálculo 10 6 3 4" xfId="14499"/>
    <cellStyle name="Cálculo 10 6 3 4 2" xfId="43680"/>
    <cellStyle name="Cálculo 10 6 3 5" xfId="31700"/>
    <cellStyle name="Cálculo 10 6 4" xfId="4272"/>
    <cellStyle name="Cálculo 10 6 4 2" xfId="17114"/>
    <cellStyle name="Cálculo 10 6 4 2 2" xfId="46295"/>
    <cellStyle name="Cálculo 10 6 4 3" xfId="33455"/>
    <cellStyle name="Cálculo 10 6 5" xfId="9643"/>
    <cellStyle name="Cálculo 10 6 5 2" xfId="20154"/>
    <cellStyle name="Cálculo 10 6 5 2 2" xfId="49335"/>
    <cellStyle name="Cálculo 10 6 5 3" xfId="38826"/>
    <cellStyle name="Cálculo 10 6 6" xfId="12135"/>
    <cellStyle name="Cálculo 10 6 6 2" xfId="41316"/>
    <cellStyle name="Cálculo 10 6 7" xfId="29828"/>
    <cellStyle name="Cálculo 10 7" xfId="656"/>
    <cellStyle name="Cálculo 10 7 2" xfId="1648"/>
    <cellStyle name="Cálculo 10 7 2 2" xfId="3448"/>
    <cellStyle name="Cálculo 10 7 2 2 2" xfId="6463"/>
    <cellStyle name="Cálculo 10 7 2 2 2 2" xfId="18330"/>
    <cellStyle name="Cálculo 10 7 2 2 2 2 2" xfId="47511"/>
    <cellStyle name="Cálculo 10 7 2 2 2 3" xfId="35646"/>
    <cellStyle name="Cálculo 10 7 2 2 3" xfId="9003"/>
    <cellStyle name="Cálculo 10 7 2 2 3 2" xfId="19771"/>
    <cellStyle name="Cálculo 10 7 2 2 3 2 2" xfId="48952"/>
    <cellStyle name="Cálculo 10 7 2 2 3 3" xfId="38186"/>
    <cellStyle name="Cálculo 10 7 2 2 4" xfId="17581"/>
    <cellStyle name="Cálculo 10 7 2 2 4 2" xfId="46762"/>
    <cellStyle name="Cálculo 10 7 2 2 5" xfId="32631"/>
    <cellStyle name="Cálculo 10 7 2 3" xfId="5023"/>
    <cellStyle name="Cálculo 10 7 2 3 2" xfId="17076"/>
    <cellStyle name="Cálculo 10 7 2 3 2 2" xfId="46257"/>
    <cellStyle name="Cálculo 10 7 2 3 3" xfId="34206"/>
    <cellStyle name="Cálculo 10 7 2 4" xfId="7888"/>
    <cellStyle name="Cálculo 10 7 2 4 2" xfId="19098"/>
    <cellStyle name="Cálculo 10 7 2 4 2 2" xfId="48279"/>
    <cellStyle name="Cálculo 10 7 2 4 3" xfId="37071"/>
    <cellStyle name="Cálculo 10 7 2 5" xfId="15477"/>
    <cellStyle name="Cálculo 10 7 2 5 2" xfId="44658"/>
    <cellStyle name="Cálculo 10 7 2 6" xfId="30831"/>
    <cellStyle name="Cálculo 10 7 3" xfId="2548"/>
    <cellStyle name="Cálculo 10 7 3 2" xfId="5743"/>
    <cellStyle name="Cálculo 10 7 3 2 2" xfId="14632"/>
    <cellStyle name="Cálculo 10 7 3 2 2 2" xfId="43813"/>
    <cellStyle name="Cálculo 10 7 3 2 3" xfId="34926"/>
    <cellStyle name="Cálculo 10 7 3 3" xfId="8661"/>
    <cellStyle name="Cálculo 10 7 3 3 2" xfId="19569"/>
    <cellStyle name="Cálculo 10 7 3 3 2 2" xfId="48750"/>
    <cellStyle name="Cálculo 10 7 3 3 3" xfId="37844"/>
    <cellStyle name="Cálculo 10 7 3 4" xfId="10929"/>
    <cellStyle name="Cálculo 10 7 3 4 2" xfId="40110"/>
    <cellStyle name="Cálculo 10 7 3 5" xfId="31731"/>
    <cellStyle name="Cálculo 10 7 4" xfId="4303"/>
    <cellStyle name="Cálculo 10 7 4 2" xfId="12885"/>
    <cellStyle name="Cálculo 10 7 4 2 2" xfId="42066"/>
    <cellStyle name="Cálculo 10 7 4 3" xfId="33486"/>
    <cellStyle name="Cálculo 10 7 5" xfId="10039"/>
    <cellStyle name="Cálculo 10 7 5 2" xfId="20395"/>
    <cellStyle name="Cálculo 10 7 5 2 2" xfId="49576"/>
    <cellStyle name="Cálculo 10 7 5 3" xfId="39222"/>
    <cellStyle name="Cálculo 10 7 6" xfId="12327"/>
    <cellStyle name="Cálculo 10 7 6 2" xfId="41508"/>
    <cellStyle name="Cálculo 10 7 7" xfId="29859"/>
    <cellStyle name="Cálculo 10 8" xfId="1399"/>
    <cellStyle name="Cálculo 10 8 2" xfId="3199"/>
    <cellStyle name="Cálculo 10 8 2 2" xfId="6259"/>
    <cellStyle name="Cálculo 10 8 2 2 2" xfId="18205"/>
    <cellStyle name="Cálculo 10 8 2 2 2 2" xfId="47386"/>
    <cellStyle name="Cálculo 10 8 2 2 3" xfId="35442"/>
    <cellStyle name="Cálculo 10 8 2 3" xfId="7170"/>
    <cellStyle name="Cálculo 10 8 2 3 2" xfId="18671"/>
    <cellStyle name="Cálculo 10 8 2 3 2 2" xfId="47852"/>
    <cellStyle name="Cálculo 10 8 2 3 3" xfId="36353"/>
    <cellStyle name="Cálculo 10 8 2 4" xfId="17303"/>
    <cellStyle name="Cálculo 10 8 2 4 2" xfId="46484"/>
    <cellStyle name="Cálculo 10 8 2 5" xfId="32382"/>
    <cellStyle name="Cálculo 10 8 3" xfId="4819"/>
    <cellStyle name="Cálculo 10 8 3 2" xfId="18126"/>
    <cellStyle name="Cálculo 10 8 3 2 2" xfId="47307"/>
    <cellStyle name="Cálculo 10 8 3 3" xfId="34002"/>
    <cellStyle name="Cálculo 10 8 4" xfId="8534"/>
    <cellStyle name="Cálculo 10 8 4 2" xfId="19496"/>
    <cellStyle name="Cálculo 10 8 4 2 2" xfId="48677"/>
    <cellStyle name="Cálculo 10 8 4 3" xfId="37717"/>
    <cellStyle name="Cálculo 10 8 5" xfId="11942"/>
    <cellStyle name="Cálculo 10 8 5 2" xfId="41123"/>
    <cellStyle name="Cálculo 10 8 6" xfId="30582"/>
    <cellStyle name="Cálculo 10 9" xfId="2299"/>
    <cellStyle name="Cálculo 10 9 2" xfId="5539"/>
    <cellStyle name="Cálculo 10 9 2 2" xfId="14907"/>
    <cellStyle name="Cálculo 10 9 2 2 2" xfId="44088"/>
    <cellStyle name="Cálculo 10 9 2 3" xfId="34722"/>
    <cellStyle name="Cálculo 10 9 3" xfId="7661"/>
    <cellStyle name="Cálculo 10 9 3 2" xfId="18955"/>
    <cellStyle name="Cálculo 10 9 3 2 2" xfId="48136"/>
    <cellStyle name="Cálculo 10 9 3 3" xfId="36844"/>
    <cellStyle name="Cálculo 10 9 4" xfId="13534"/>
    <cellStyle name="Cálculo 10 9 4 2" xfId="42715"/>
    <cellStyle name="Cálculo 10 9 5" xfId="31482"/>
    <cellStyle name="Cálculo 2" xfId="175"/>
    <cellStyle name="Cálculo 2 10" xfId="4100"/>
    <cellStyle name="Cálculo 2 10 2" xfId="12034"/>
    <cellStyle name="Cálculo 2 10 2 2" xfId="41215"/>
    <cellStyle name="Cálculo 2 10 3" xfId="33283"/>
    <cellStyle name="Cálculo 2 11" xfId="11810"/>
    <cellStyle name="Cálculo 2 11 2" xfId="40991"/>
    <cellStyle name="Cálculo 2 12" xfId="29560"/>
    <cellStyle name="Cálculo 2 2" xfId="422"/>
    <cellStyle name="Cálculo 2 2 10" xfId="9725"/>
    <cellStyle name="Cálculo 2 2 10 2" xfId="20205"/>
    <cellStyle name="Cálculo 2 2 10 2 2" xfId="49386"/>
    <cellStyle name="Cálculo 2 2 10 3" xfId="38908"/>
    <cellStyle name="Cálculo 2 2 11" xfId="11645"/>
    <cellStyle name="Cálculo 2 2 11 2" xfId="40826"/>
    <cellStyle name="Cálculo 2 2 12" xfId="58765"/>
    <cellStyle name="Cálculo 2 2 13" xfId="29628"/>
    <cellStyle name="Cálculo 2 2 2" xfId="512"/>
    <cellStyle name="Cálculo 2 2 2 10" xfId="12714"/>
    <cellStyle name="Cálculo 2 2 2 10 2" xfId="41895"/>
    <cellStyle name="Cálculo 2 2 2 11" xfId="29718"/>
    <cellStyle name="Cálculo 2 2 2 2" xfId="865"/>
    <cellStyle name="Cálculo 2 2 2 2 2" xfId="1803"/>
    <cellStyle name="Cálculo 2 2 2 2 2 2" xfId="3603"/>
    <cellStyle name="Cálculo 2 2 2 2 2 2 2" xfId="6582"/>
    <cellStyle name="Cálculo 2 2 2 2 2 2 2 2" xfId="18386"/>
    <cellStyle name="Cálculo 2 2 2 2 2 2 2 2 2" xfId="47567"/>
    <cellStyle name="Cálculo 2 2 2 2 2 2 2 3" xfId="35765"/>
    <cellStyle name="Cálculo 2 2 2 2 2 2 3" xfId="8586"/>
    <cellStyle name="Cálculo 2 2 2 2 2 2 3 2" xfId="19527"/>
    <cellStyle name="Cálculo 2 2 2 2 2 2 3 2 2" xfId="48708"/>
    <cellStyle name="Cálculo 2 2 2 2 2 2 3 3" xfId="37769"/>
    <cellStyle name="Cálculo 2 2 2 2 2 2 4" xfId="12643"/>
    <cellStyle name="Cálculo 2 2 2 2 2 2 4 2" xfId="41824"/>
    <cellStyle name="Cálculo 2 2 2 2 2 2 5" xfId="32786"/>
    <cellStyle name="Cálculo 2 2 2 2 2 3" xfId="5142"/>
    <cellStyle name="Cálculo 2 2 2 2 2 3 2" xfId="13564"/>
    <cellStyle name="Cálculo 2 2 2 2 2 3 2 2" xfId="42745"/>
    <cellStyle name="Cálculo 2 2 2 2 2 3 3" xfId="34325"/>
    <cellStyle name="Cálculo 2 2 2 2 2 4" xfId="8785"/>
    <cellStyle name="Cálculo 2 2 2 2 2 4 2" xfId="19642"/>
    <cellStyle name="Cálculo 2 2 2 2 2 4 2 2" xfId="48823"/>
    <cellStyle name="Cálculo 2 2 2 2 2 4 3" xfId="37968"/>
    <cellStyle name="Cálculo 2 2 2 2 2 5" xfId="13935"/>
    <cellStyle name="Cálculo 2 2 2 2 2 5 2" xfId="43116"/>
    <cellStyle name="Cálculo 2 2 2 2 2 6" xfId="30986"/>
    <cellStyle name="Cálculo 2 2 2 2 3" xfId="2703"/>
    <cellStyle name="Cálculo 2 2 2 2 3 2" xfId="5862"/>
    <cellStyle name="Cálculo 2 2 2 2 3 2 2" xfId="12311"/>
    <cellStyle name="Cálculo 2 2 2 2 3 2 2 2" xfId="41492"/>
    <cellStyle name="Cálculo 2 2 2 2 3 2 3" xfId="35045"/>
    <cellStyle name="Cálculo 2 2 2 2 3 3" xfId="10312"/>
    <cellStyle name="Cálculo 2 2 2 2 3 3 2" xfId="20558"/>
    <cellStyle name="Cálculo 2 2 2 2 3 3 2 2" xfId="49739"/>
    <cellStyle name="Cálculo 2 2 2 2 3 3 3" xfId="39495"/>
    <cellStyle name="Cálculo 2 2 2 2 3 4" xfId="13907"/>
    <cellStyle name="Cálculo 2 2 2 2 3 4 2" xfId="43088"/>
    <cellStyle name="Cálculo 2 2 2 2 3 5" xfId="31886"/>
    <cellStyle name="Cálculo 2 2 2 2 4" xfId="4422"/>
    <cellStyle name="Cálculo 2 2 2 2 4 2" xfId="11797"/>
    <cellStyle name="Cálculo 2 2 2 2 4 2 2" xfId="40978"/>
    <cellStyle name="Cálculo 2 2 2 2 4 3" xfId="33605"/>
    <cellStyle name="Cálculo 2 2 2 2 5" xfId="8259"/>
    <cellStyle name="Cálculo 2 2 2 2 5 2" xfId="19317"/>
    <cellStyle name="Cálculo 2 2 2 2 5 2 2" xfId="48498"/>
    <cellStyle name="Cálculo 2 2 2 2 5 3" xfId="37442"/>
    <cellStyle name="Cálculo 2 2 2 2 6" xfId="15958"/>
    <cellStyle name="Cálculo 2 2 2 2 6 2" xfId="45139"/>
    <cellStyle name="Cálculo 2 2 2 2 7" xfId="30062"/>
    <cellStyle name="Cálculo 2 2 2 3" xfId="1057"/>
    <cellStyle name="Cálculo 2 2 2 3 2" xfId="1967"/>
    <cellStyle name="Cálculo 2 2 2 3 2 2" xfId="3767"/>
    <cellStyle name="Cálculo 2 2 2 3 2 2 2" xfId="6710"/>
    <cellStyle name="Cálculo 2 2 2 3 2 2 2 2" xfId="18440"/>
    <cellStyle name="Cálculo 2 2 2 3 2 2 2 2 2" xfId="47621"/>
    <cellStyle name="Cálculo 2 2 2 3 2 2 2 3" xfId="35893"/>
    <cellStyle name="Cálculo 2 2 2 3 2 2 3" xfId="7155"/>
    <cellStyle name="Cálculo 2 2 2 3 2 2 3 2" xfId="18658"/>
    <cellStyle name="Cálculo 2 2 2 3 2 2 3 2 2" xfId="47839"/>
    <cellStyle name="Cálculo 2 2 2 3 2 2 3 3" xfId="36338"/>
    <cellStyle name="Cálculo 2 2 2 3 2 2 4" xfId="10632"/>
    <cellStyle name="Cálculo 2 2 2 3 2 2 4 2" xfId="39813"/>
    <cellStyle name="Cálculo 2 2 2 3 2 2 5" xfId="32950"/>
    <cellStyle name="Cálculo 2 2 2 3 2 3" xfId="5270"/>
    <cellStyle name="Cálculo 2 2 2 3 2 3 2" xfId="15188"/>
    <cellStyle name="Cálculo 2 2 2 3 2 3 2 2" xfId="44369"/>
    <cellStyle name="Cálculo 2 2 2 3 2 3 3" xfId="34453"/>
    <cellStyle name="Cálculo 2 2 2 3 2 4" xfId="8666"/>
    <cellStyle name="Cálculo 2 2 2 3 2 4 2" xfId="19571"/>
    <cellStyle name="Cálculo 2 2 2 3 2 4 2 2" xfId="48752"/>
    <cellStyle name="Cálculo 2 2 2 3 2 4 3" xfId="37849"/>
    <cellStyle name="Cálculo 2 2 2 3 2 5" xfId="16240"/>
    <cellStyle name="Cálculo 2 2 2 3 2 5 2" xfId="45421"/>
    <cellStyle name="Cálculo 2 2 2 3 2 6" xfId="31150"/>
    <cellStyle name="Cálculo 2 2 2 3 3" xfId="2867"/>
    <cellStyle name="Cálculo 2 2 2 3 3 2" xfId="5990"/>
    <cellStyle name="Cálculo 2 2 2 3 3 2 2" xfId="10591"/>
    <cellStyle name="Cálculo 2 2 2 3 3 2 2 2" xfId="39772"/>
    <cellStyle name="Cálculo 2 2 2 3 3 2 3" xfId="35173"/>
    <cellStyle name="Cálculo 2 2 2 3 3 3" xfId="10192"/>
    <cellStyle name="Cálculo 2 2 2 3 3 3 2" xfId="20485"/>
    <cellStyle name="Cálculo 2 2 2 3 3 3 2 2" xfId="49666"/>
    <cellStyle name="Cálculo 2 2 2 3 3 3 3" xfId="39375"/>
    <cellStyle name="Cálculo 2 2 2 3 3 4" xfId="15276"/>
    <cellStyle name="Cálculo 2 2 2 3 3 4 2" xfId="44457"/>
    <cellStyle name="Cálculo 2 2 2 3 3 5" xfId="32050"/>
    <cellStyle name="Cálculo 2 2 2 3 4" xfId="4550"/>
    <cellStyle name="Cálculo 2 2 2 3 4 2" xfId="17097"/>
    <cellStyle name="Cálculo 2 2 2 3 4 2 2" xfId="46278"/>
    <cellStyle name="Cálculo 2 2 2 3 4 3" xfId="33733"/>
    <cellStyle name="Cálculo 2 2 2 3 5" xfId="9345"/>
    <cellStyle name="Cálculo 2 2 2 3 5 2" xfId="19977"/>
    <cellStyle name="Cálculo 2 2 2 3 5 2 2" xfId="49158"/>
    <cellStyle name="Cálculo 2 2 2 3 5 3" xfId="38528"/>
    <cellStyle name="Cálculo 2 2 2 3 6" xfId="12917"/>
    <cellStyle name="Cálculo 2 2 2 3 6 2" xfId="42098"/>
    <cellStyle name="Cálculo 2 2 2 3 7" xfId="30247"/>
    <cellStyle name="Cálculo 2 2 2 4" xfId="1207"/>
    <cellStyle name="Cálculo 2 2 2 4 2" xfId="2111"/>
    <cellStyle name="Cálculo 2 2 2 4 2 2" xfId="3911"/>
    <cellStyle name="Cálculo 2 2 2 4 2 2 2" xfId="6827"/>
    <cellStyle name="Cálculo 2 2 2 4 2 2 2 2" xfId="18494"/>
    <cellStyle name="Cálculo 2 2 2 4 2 2 2 2 2" xfId="47675"/>
    <cellStyle name="Cálculo 2 2 2 4 2 2 2 3" xfId="36010"/>
    <cellStyle name="Cálculo 2 2 2 4 2 2 3" xfId="8959"/>
    <cellStyle name="Cálculo 2 2 2 4 2 2 3 2" xfId="19747"/>
    <cellStyle name="Cálculo 2 2 2 4 2 2 3 2 2" xfId="48928"/>
    <cellStyle name="Cálculo 2 2 2 4 2 2 3 3" xfId="38142"/>
    <cellStyle name="Cálculo 2 2 2 4 2 2 4" xfId="13854"/>
    <cellStyle name="Cálculo 2 2 2 4 2 2 4 2" xfId="43035"/>
    <cellStyle name="Cálculo 2 2 2 4 2 2 5" xfId="33094"/>
    <cellStyle name="Cálculo 2 2 2 4 2 3" xfId="5387"/>
    <cellStyle name="Cálculo 2 2 2 4 2 3 2" xfId="18022"/>
    <cellStyle name="Cálculo 2 2 2 4 2 3 2 2" xfId="47203"/>
    <cellStyle name="Cálculo 2 2 2 4 2 3 3" xfId="34570"/>
    <cellStyle name="Cálculo 2 2 2 4 2 4" xfId="8563"/>
    <cellStyle name="Cálculo 2 2 2 4 2 4 2" xfId="19512"/>
    <cellStyle name="Cálculo 2 2 2 4 2 4 2 2" xfId="48693"/>
    <cellStyle name="Cálculo 2 2 2 4 2 4 3" xfId="37746"/>
    <cellStyle name="Cálculo 2 2 2 4 2 5" xfId="17409"/>
    <cellStyle name="Cálculo 2 2 2 4 2 5 2" xfId="46590"/>
    <cellStyle name="Cálculo 2 2 2 4 2 6" xfId="31294"/>
    <cellStyle name="Cálculo 2 2 2 4 3" xfId="3011"/>
    <cellStyle name="Cálculo 2 2 2 4 3 2" xfId="6107"/>
    <cellStyle name="Cálculo 2 2 2 4 3 2 2" xfId="18134"/>
    <cellStyle name="Cálculo 2 2 2 4 3 2 2 2" xfId="47315"/>
    <cellStyle name="Cálculo 2 2 2 4 3 2 3" xfId="35290"/>
    <cellStyle name="Cálculo 2 2 2 4 3 3" xfId="10089"/>
    <cellStyle name="Cálculo 2 2 2 4 3 3 2" xfId="20426"/>
    <cellStyle name="Cálculo 2 2 2 4 3 3 2 2" xfId="49607"/>
    <cellStyle name="Cálculo 2 2 2 4 3 3 3" xfId="39272"/>
    <cellStyle name="Cálculo 2 2 2 4 3 4" xfId="15167"/>
    <cellStyle name="Cálculo 2 2 2 4 3 4 2" xfId="44348"/>
    <cellStyle name="Cálculo 2 2 2 4 3 5" xfId="32194"/>
    <cellStyle name="Cálculo 2 2 2 4 4" xfId="4667"/>
    <cellStyle name="Cálculo 2 2 2 4 4 2" xfId="12315"/>
    <cellStyle name="Cálculo 2 2 2 4 4 2 2" xfId="41496"/>
    <cellStyle name="Cálculo 2 2 2 4 4 3" xfId="33850"/>
    <cellStyle name="Cálculo 2 2 2 4 5" xfId="8950"/>
    <cellStyle name="Cálculo 2 2 2 4 5 2" xfId="19741"/>
    <cellStyle name="Cálculo 2 2 2 4 5 2 2" xfId="48922"/>
    <cellStyle name="Cálculo 2 2 2 4 5 3" xfId="38133"/>
    <cellStyle name="Cálculo 2 2 2 4 6" xfId="16431"/>
    <cellStyle name="Cálculo 2 2 2 4 6 2" xfId="45612"/>
    <cellStyle name="Cálculo 2 2 2 4 7" xfId="30394"/>
    <cellStyle name="Cálculo 2 2 2 5" xfId="1353"/>
    <cellStyle name="Cálculo 2 2 2 5 2" xfId="2255"/>
    <cellStyle name="Cálculo 2 2 2 5 2 2" xfId="4055"/>
    <cellStyle name="Cálculo 2 2 2 5 2 2 2" xfId="6944"/>
    <cellStyle name="Cálculo 2 2 2 5 2 2 2 2" xfId="18548"/>
    <cellStyle name="Cálculo 2 2 2 5 2 2 2 2 2" xfId="47729"/>
    <cellStyle name="Cálculo 2 2 2 5 2 2 2 3" xfId="36127"/>
    <cellStyle name="Cálculo 2 2 2 5 2 2 3" xfId="7025"/>
    <cellStyle name="Cálculo 2 2 2 5 2 2 3 2" xfId="18592"/>
    <cellStyle name="Cálculo 2 2 2 5 2 2 3 2 2" xfId="47773"/>
    <cellStyle name="Cálculo 2 2 2 5 2 2 3 3" xfId="36208"/>
    <cellStyle name="Cálculo 2 2 2 5 2 2 4" xfId="16867"/>
    <cellStyle name="Cálculo 2 2 2 5 2 2 4 2" xfId="46048"/>
    <cellStyle name="Cálculo 2 2 2 5 2 2 5" xfId="33238"/>
    <cellStyle name="Cálculo 2 2 2 5 2 3" xfId="5504"/>
    <cellStyle name="Cálculo 2 2 2 5 2 3 2" xfId="14633"/>
    <cellStyle name="Cálculo 2 2 2 5 2 3 2 2" xfId="43814"/>
    <cellStyle name="Cálculo 2 2 2 5 2 3 3" xfId="34687"/>
    <cellStyle name="Cálculo 2 2 2 5 2 4" xfId="7835"/>
    <cellStyle name="Cálculo 2 2 2 5 2 4 2" xfId="19067"/>
    <cellStyle name="Cálculo 2 2 2 5 2 4 2 2" xfId="48248"/>
    <cellStyle name="Cálculo 2 2 2 5 2 4 3" xfId="37018"/>
    <cellStyle name="Cálculo 2 2 2 5 2 5" xfId="16638"/>
    <cellStyle name="Cálculo 2 2 2 5 2 5 2" xfId="45819"/>
    <cellStyle name="Cálculo 2 2 2 5 2 6" xfId="31438"/>
    <cellStyle name="Cálculo 2 2 2 5 3" xfId="3155"/>
    <cellStyle name="Cálculo 2 2 2 5 3 2" xfId="6224"/>
    <cellStyle name="Cálculo 2 2 2 5 3 2 2" xfId="18188"/>
    <cellStyle name="Cálculo 2 2 2 5 3 2 2 2" xfId="47369"/>
    <cellStyle name="Cálculo 2 2 2 5 3 2 3" xfId="35407"/>
    <cellStyle name="Cálculo 2 2 2 5 3 3" xfId="7214"/>
    <cellStyle name="Cálculo 2 2 2 5 3 3 2" xfId="18697"/>
    <cellStyle name="Cálculo 2 2 2 5 3 3 2 2" xfId="47878"/>
    <cellStyle name="Cálculo 2 2 2 5 3 3 3" xfId="36397"/>
    <cellStyle name="Cálculo 2 2 2 5 3 4" xfId="11800"/>
    <cellStyle name="Cálculo 2 2 2 5 3 4 2" xfId="40981"/>
    <cellStyle name="Cálculo 2 2 2 5 3 5" xfId="32338"/>
    <cellStyle name="Cálculo 2 2 2 5 4" xfId="4784"/>
    <cellStyle name="Cálculo 2 2 2 5 4 2" xfId="17622"/>
    <cellStyle name="Cálculo 2 2 2 5 4 2 2" xfId="46803"/>
    <cellStyle name="Cálculo 2 2 2 5 4 3" xfId="33967"/>
    <cellStyle name="Cálculo 2 2 2 5 5" xfId="7683"/>
    <cellStyle name="Cálculo 2 2 2 5 5 2" xfId="18969"/>
    <cellStyle name="Cálculo 2 2 2 5 5 2 2" xfId="48150"/>
    <cellStyle name="Cálculo 2 2 2 5 5 3" xfId="36866"/>
    <cellStyle name="Cálculo 2 2 2 5 6" xfId="11136"/>
    <cellStyle name="Cálculo 2 2 2 5 6 2" xfId="40317"/>
    <cellStyle name="Cálculo 2 2 2 5 7" xfId="30538"/>
    <cellStyle name="Cálculo 2 2 2 6" xfId="1535"/>
    <cellStyle name="Cálculo 2 2 2 6 2" xfId="3335"/>
    <cellStyle name="Cálculo 2 2 2 6 2 2" xfId="6368"/>
    <cellStyle name="Cálculo 2 2 2 6 2 2 2" xfId="18260"/>
    <cellStyle name="Cálculo 2 2 2 6 2 2 2 2" xfId="47441"/>
    <cellStyle name="Cálculo 2 2 2 6 2 2 3" xfId="35551"/>
    <cellStyle name="Cálculo 2 2 2 6 2 3" xfId="10305"/>
    <cellStyle name="Cálculo 2 2 2 6 2 3 2" xfId="20553"/>
    <cellStyle name="Cálculo 2 2 2 6 2 3 2 2" xfId="49734"/>
    <cellStyle name="Cálculo 2 2 2 6 2 3 3" xfId="39488"/>
    <cellStyle name="Cálculo 2 2 2 6 2 4" xfId="11836"/>
    <cellStyle name="Cálculo 2 2 2 6 2 4 2" xfId="41017"/>
    <cellStyle name="Cálculo 2 2 2 6 2 5" xfId="32518"/>
    <cellStyle name="Cálculo 2 2 2 6 3" xfId="4928"/>
    <cellStyle name="Cálculo 2 2 2 6 3 2" xfId="15026"/>
    <cellStyle name="Cálculo 2 2 2 6 3 2 2" xfId="44207"/>
    <cellStyle name="Cálculo 2 2 2 6 3 3" xfId="34111"/>
    <cellStyle name="Cálculo 2 2 2 6 4" xfId="9866"/>
    <cellStyle name="Cálculo 2 2 2 6 4 2" xfId="20290"/>
    <cellStyle name="Cálculo 2 2 2 6 4 2 2" xfId="49471"/>
    <cellStyle name="Cálculo 2 2 2 6 4 3" xfId="39049"/>
    <cellStyle name="Cálculo 2 2 2 6 5" xfId="10686"/>
    <cellStyle name="Cálculo 2 2 2 6 5 2" xfId="39867"/>
    <cellStyle name="Cálculo 2 2 2 6 6" xfId="30718"/>
    <cellStyle name="Cálculo 2 2 2 7" xfId="2435"/>
    <cellStyle name="Cálculo 2 2 2 7 2" xfId="5648"/>
    <cellStyle name="Cálculo 2 2 2 7 2 2" xfId="14466"/>
    <cellStyle name="Cálculo 2 2 2 7 2 2 2" xfId="43647"/>
    <cellStyle name="Cálculo 2 2 2 7 2 3" xfId="34831"/>
    <cellStyle name="Cálculo 2 2 2 7 3" xfId="9091"/>
    <cellStyle name="Cálculo 2 2 2 7 3 2" xfId="19822"/>
    <cellStyle name="Cálculo 2 2 2 7 3 2 2" xfId="49003"/>
    <cellStyle name="Cálculo 2 2 2 7 3 3" xfId="38274"/>
    <cellStyle name="Cálculo 2 2 2 7 4" xfId="16489"/>
    <cellStyle name="Cálculo 2 2 2 7 4 2" xfId="45670"/>
    <cellStyle name="Cálculo 2 2 2 7 5" xfId="31618"/>
    <cellStyle name="Cálculo 2 2 2 8" xfId="4208"/>
    <cellStyle name="Cálculo 2 2 2 8 2" xfId="17769"/>
    <cellStyle name="Cálculo 2 2 2 8 2 2" xfId="46950"/>
    <cellStyle name="Cálculo 2 2 2 8 3" xfId="33391"/>
    <cellStyle name="Cálculo 2 2 2 9" xfId="8720"/>
    <cellStyle name="Cálculo 2 2 2 9 2" xfId="19599"/>
    <cellStyle name="Cálculo 2 2 2 9 2 2" xfId="48780"/>
    <cellStyle name="Cálculo 2 2 2 9 3" xfId="37903"/>
    <cellStyle name="Cálculo 2 2 3" xfId="775"/>
    <cellStyle name="Cálculo 2 2 3 2" xfId="1713"/>
    <cellStyle name="Cálculo 2 2 3 2 2" xfId="3513"/>
    <cellStyle name="Cálculo 2 2 3 2 2 2" xfId="6510"/>
    <cellStyle name="Cálculo 2 2 3 2 2 2 2" xfId="18350"/>
    <cellStyle name="Cálculo 2 2 3 2 2 2 2 2" xfId="47531"/>
    <cellStyle name="Cálculo 2 2 3 2 2 2 3" xfId="35693"/>
    <cellStyle name="Cálculo 2 2 3 2 2 3" xfId="9612"/>
    <cellStyle name="Cálculo 2 2 3 2 2 3 2" xfId="20137"/>
    <cellStyle name="Cálculo 2 2 3 2 2 3 2 2" xfId="49318"/>
    <cellStyle name="Cálculo 2 2 3 2 2 3 3" xfId="38795"/>
    <cellStyle name="Cálculo 2 2 3 2 2 4" xfId="15176"/>
    <cellStyle name="Cálculo 2 2 3 2 2 4 2" xfId="44357"/>
    <cellStyle name="Cálculo 2 2 3 2 2 5" xfId="32696"/>
    <cellStyle name="Cálculo 2 2 3 2 3" xfId="5070"/>
    <cellStyle name="Cálculo 2 2 3 2 3 2" xfId="16865"/>
    <cellStyle name="Cálculo 2 2 3 2 3 2 2" xfId="46046"/>
    <cellStyle name="Cálculo 2 2 3 2 3 3" xfId="34253"/>
    <cellStyle name="Cálculo 2 2 3 2 4" xfId="7432"/>
    <cellStyle name="Cálculo 2 2 3 2 4 2" xfId="18812"/>
    <cellStyle name="Cálculo 2 2 3 2 4 2 2" xfId="47993"/>
    <cellStyle name="Cálculo 2 2 3 2 4 3" xfId="36615"/>
    <cellStyle name="Cálculo 2 2 3 2 5" xfId="16122"/>
    <cellStyle name="Cálculo 2 2 3 2 5 2" xfId="45303"/>
    <cellStyle name="Cálculo 2 2 3 2 6" xfId="30896"/>
    <cellStyle name="Cálculo 2 2 3 3" xfId="2613"/>
    <cellStyle name="Cálculo 2 2 3 3 2" xfId="5790"/>
    <cellStyle name="Cálculo 2 2 3 3 2 2" xfId="14816"/>
    <cellStyle name="Cálculo 2 2 3 3 2 2 2" xfId="43997"/>
    <cellStyle name="Cálculo 2 2 3 3 2 3" xfId="34973"/>
    <cellStyle name="Cálculo 2 2 3 3 3" xfId="7750"/>
    <cellStyle name="Cálculo 2 2 3 3 3 2" xfId="19010"/>
    <cellStyle name="Cálculo 2 2 3 3 3 2 2" xfId="48191"/>
    <cellStyle name="Cálculo 2 2 3 3 3 3" xfId="36933"/>
    <cellStyle name="Cálculo 2 2 3 3 4" xfId="17117"/>
    <cellStyle name="Cálculo 2 2 3 3 4 2" xfId="46298"/>
    <cellStyle name="Cálculo 2 2 3 3 5" xfId="31796"/>
    <cellStyle name="Cálculo 2 2 3 4" xfId="4350"/>
    <cellStyle name="Cálculo 2 2 3 4 2" xfId="13207"/>
    <cellStyle name="Cálculo 2 2 3 4 2 2" xfId="42388"/>
    <cellStyle name="Cálculo 2 2 3 4 3" xfId="33533"/>
    <cellStyle name="Cálculo 2 2 3 5" xfId="7334"/>
    <cellStyle name="Cálculo 2 2 3 5 2" xfId="18764"/>
    <cellStyle name="Cálculo 2 2 3 5 2 2" xfId="47945"/>
    <cellStyle name="Cálculo 2 2 3 5 3" xfId="36517"/>
    <cellStyle name="Cálculo 2 2 3 6" xfId="12357"/>
    <cellStyle name="Cálculo 2 2 3 6 2" xfId="41538"/>
    <cellStyle name="Cálculo 2 2 3 7" xfId="29972"/>
    <cellStyle name="Cálculo 2 2 4" xfId="967"/>
    <cellStyle name="Cálculo 2 2 4 2" xfId="1877"/>
    <cellStyle name="Cálculo 2 2 4 2 2" xfId="3677"/>
    <cellStyle name="Cálculo 2 2 4 2 2 2" xfId="6638"/>
    <cellStyle name="Cálculo 2 2 4 2 2 2 2" xfId="18404"/>
    <cellStyle name="Cálculo 2 2 4 2 2 2 2 2" xfId="47585"/>
    <cellStyle name="Cálculo 2 2 4 2 2 2 3" xfId="35821"/>
    <cellStyle name="Cálculo 2 2 4 2 2 3" xfId="9494"/>
    <cellStyle name="Cálculo 2 2 4 2 2 3 2" xfId="20063"/>
    <cellStyle name="Cálculo 2 2 4 2 2 3 2 2" xfId="49244"/>
    <cellStyle name="Cálculo 2 2 4 2 2 3 3" xfId="38677"/>
    <cellStyle name="Cálculo 2 2 4 2 2 4" xfId="16842"/>
    <cellStyle name="Cálculo 2 2 4 2 2 4 2" xfId="46023"/>
    <cellStyle name="Cálculo 2 2 4 2 2 5" xfId="32860"/>
    <cellStyle name="Cálculo 2 2 4 2 3" xfId="5198"/>
    <cellStyle name="Cálculo 2 2 4 2 3 2" xfId="11861"/>
    <cellStyle name="Cálculo 2 2 4 2 3 2 2" xfId="41042"/>
    <cellStyle name="Cálculo 2 2 4 2 3 3" xfId="34381"/>
    <cellStyle name="Cálculo 2 2 4 2 4" xfId="9671"/>
    <cellStyle name="Cálculo 2 2 4 2 4 2" xfId="20172"/>
    <cellStyle name="Cálculo 2 2 4 2 4 2 2" xfId="49353"/>
    <cellStyle name="Cálculo 2 2 4 2 4 3" xfId="38854"/>
    <cellStyle name="Cálculo 2 2 4 2 5" xfId="12040"/>
    <cellStyle name="Cálculo 2 2 4 2 5 2" xfId="41221"/>
    <cellStyle name="Cálculo 2 2 4 2 6" xfId="31060"/>
    <cellStyle name="Cálculo 2 2 4 3" xfId="2777"/>
    <cellStyle name="Cálculo 2 2 4 3 2" xfId="5918"/>
    <cellStyle name="Cálculo 2 2 4 3 2 2" xfId="13619"/>
    <cellStyle name="Cálculo 2 2 4 3 2 2 2" xfId="42800"/>
    <cellStyle name="Cálculo 2 2 4 3 2 3" xfId="35101"/>
    <cellStyle name="Cálculo 2 2 4 3 3" xfId="8277"/>
    <cellStyle name="Cálculo 2 2 4 3 3 2" xfId="19330"/>
    <cellStyle name="Cálculo 2 2 4 3 3 2 2" xfId="48511"/>
    <cellStyle name="Cálculo 2 2 4 3 3 3" xfId="37460"/>
    <cellStyle name="Cálculo 2 2 4 3 4" xfId="13532"/>
    <cellStyle name="Cálculo 2 2 4 3 4 2" xfId="42713"/>
    <cellStyle name="Cálculo 2 2 4 3 5" xfId="31960"/>
    <cellStyle name="Cálculo 2 2 4 4" xfId="4478"/>
    <cellStyle name="Cálculo 2 2 4 4 2" xfId="17751"/>
    <cellStyle name="Cálculo 2 2 4 4 2 2" xfId="46932"/>
    <cellStyle name="Cálculo 2 2 4 4 3" xfId="33661"/>
    <cellStyle name="Cálculo 2 2 4 5" xfId="8953"/>
    <cellStyle name="Cálculo 2 2 4 5 2" xfId="19743"/>
    <cellStyle name="Cálculo 2 2 4 5 2 2" xfId="48924"/>
    <cellStyle name="Cálculo 2 2 4 5 3" xfId="38136"/>
    <cellStyle name="Cálculo 2 2 4 6" xfId="18119"/>
    <cellStyle name="Cálculo 2 2 4 6 2" xfId="47300"/>
    <cellStyle name="Cálculo 2 2 4 7" xfId="30157"/>
    <cellStyle name="Cálculo 2 2 5" xfId="1117"/>
    <cellStyle name="Cálculo 2 2 5 2" xfId="2021"/>
    <cellStyle name="Cálculo 2 2 5 2 2" xfId="3821"/>
    <cellStyle name="Cálculo 2 2 5 2 2 2" xfId="6755"/>
    <cellStyle name="Cálculo 2 2 5 2 2 2 2" xfId="18458"/>
    <cellStyle name="Cálculo 2 2 5 2 2 2 2 2" xfId="47639"/>
    <cellStyle name="Cálculo 2 2 5 2 2 2 3" xfId="35938"/>
    <cellStyle name="Cálculo 2 2 5 2 2 3" xfId="7864"/>
    <cellStyle name="Cálculo 2 2 5 2 2 3 2" xfId="19080"/>
    <cellStyle name="Cálculo 2 2 5 2 2 3 2 2" xfId="48261"/>
    <cellStyle name="Cálculo 2 2 5 2 2 3 3" xfId="37047"/>
    <cellStyle name="Cálculo 2 2 5 2 2 4" xfId="18010"/>
    <cellStyle name="Cálculo 2 2 5 2 2 4 2" xfId="47191"/>
    <cellStyle name="Cálculo 2 2 5 2 2 5" xfId="33004"/>
    <cellStyle name="Cálculo 2 2 5 2 3" xfId="5315"/>
    <cellStyle name="Cálculo 2 2 5 2 3 2" xfId="14254"/>
    <cellStyle name="Cálculo 2 2 5 2 3 2 2" xfId="43435"/>
    <cellStyle name="Cálculo 2 2 5 2 3 3" xfId="34498"/>
    <cellStyle name="Cálculo 2 2 5 2 4" xfId="9588"/>
    <cellStyle name="Cálculo 2 2 5 2 4 2" xfId="20122"/>
    <cellStyle name="Cálculo 2 2 5 2 4 2 2" xfId="49303"/>
    <cellStyle name="Cálculo 2 2 5 2 4 3" xfId="38771"/>
    <cellStyle name="Cálculo 2 2 5 2 5" xfId="16668"/>
    <cellStyle name="Cálculo 2 2 5 2 5 2" xfId="45849"/>
    <cellStyle name="Cálculo 2 2 5 2 6" xfId="31204"/>
    <cellStyle name="Cálculo 2 2 5 3" xfId="2921"/>
    <cellStyle name="Cálculo 2 2 5 3 2" xfId="6035"/>
    <cellStyle name="Cálculo 2 2 5 3 2 2" xfId="10573"/>
    <cellStyle name="Cálculo 2 2 5 3 2 2 2" xfId="39754"/>
    <cellStyle name="Cálculo 2 2 5 3 2 3" xfId="35218"/>
    <cellStyle name="Cálculo 2 2 5 3 3" xfId="8157"/>
    <cellStyle name="Cálculo 2 2 5 3 3 2" xfId="19258"/>
    <cellStyle name="Cálculo 2 2 5 3 3 2 2" xfId="48439"/>
    <cellStyle name="Cálculo 2 2 5 3 3 3" xfId="37340"/>
    <cellStyle name="Cálculo 2 2 5 3 4" xfId="14693"/>
    <cellStyle name="Cálculo 2 2 5 3 4 2" xfId="43874"/>
    <cellStyle name="Cálculo 2 2 5 3 5" xfId="32104"/>
    <cellStyle name="Cálculo 2 2 5 4" xfId="4595"/>
    <cellStyle name="Cálculo 2 2 5 4 2" xfId="14820"/>
    <cellStyle name="Cálculo 2 2 5 4 2 2" xfId="44001"/>
    <cellStyle name="Cálculo 2 2 5 4 3" xfId="33778"/>
    <cellStyle name="Cálculo 2 2 5 5" xfId="7490"/>
    <cellStyle name="Cálculo 2 2 5 5 2" xfId="18848"/>
    <cellStyle name="Cálculo 2 2 5 5 2 2" xfId="48029"/>
    <cellStyle name="Cálculo 2 2 5 5 3" xfId="36673"/>
    <cellStyle name="Cálculo 2 2 5 6" xfId="12547"/>
    <cellStyle name="Cálculo 2 2 5 6 2" xfId="41728"/>
    <cellStyle name="Cálculo 2 2 5 7" xfId="30304"/>
    <cellStyle name="Cálculo 2 2 6" xfId="1263"/>
    <cellStyle name="Cálculo 2 2 6 2" xfId="2165"/>
    <cellStyle name="Cálculo 2 2 6 2 2" xfId="3965"/>
    <cellStyle name="Cálculo 2 2 6 2 2 2" xfId="6872"/>
    <cellStyle name="Cálculo 2 2 6 2 2 2 2" xfId="18512"/>
    <cellStyle name="Cálculo 2 2 6 2 2 2 2 2" xfId="47693"/>
    <cellStyle name="Cálculo 2 2 6 2 2 2 3" xfId="36055"/>
    <cellStyle name="Cálculo 2 2 6 2 2 3" xfId="7115"/>
    <cellStyle name="Cálculo 2 2 6 2 2 3 2" xfId="18646"/>
    <cellStyle name="Cálculo 2 2 6 2 2 3 2 2" xfId="47827"/>
    <cellStyle name="Cálculo 2 2 6 2 2 3 3" xfId="36298"/>
    <cellStyle name="Cálculo 2 2 6 2 2 4" xfId="17254"/>
    <cellStyle name="Cálculo 2 2 6 2 2 4 2" xfId="46435"/>
    <cellStyle name="Cálculo 2 2 6 2 2 5" xfId="33148"/>
    <cellStyle name="Cálculo 2 2 6 2 3" xfId="5432"/>
    <cellStyle name="Cálculo 2 2 6 2 3 2" xfId="16238"/>
    <cellStyle name="Cálculo 2 2 6 2 3 2 2" xfId="45419"/>
    <cellStyle name="Cálculo 2 2 6 2 3 3" xfId="34615"/>
    <cellStyle name="Cálculo 2 2 6 2 4" xfId="7672"/>
    <cellStyle name="Cálculo 2 2 6 2 4 2" xfId="18962"/>
    <cellStyle name="Cálculo 2 2 6 2 4 2 2" xfId="48143"/>
    <cellStyle name="Cálculo 2 2 6 2 4 3" xfId="36855"/>
    <cellStyle name="Cálculo 2 2 6 2 5" xfId="15970"/>
    <cellStyle name="Cálculo 2 2 6 2 5 2" xfId="45151"/>
    <cellStyle name="Cálculo 2 2 6 2 6" xfId="31348"/>
    <cellStyle name="Cálculo 2 2 6 3" xfId="3065"/>
    <cellStyle name="Cálculo 2 2 6 3 2" xfId="6152"/>
    <cellStyle name="Cálculo 2 2 6 3 2 2" xfId="18152"/>
    <cellStyle name="Cálculo 2 2 6 3 2 2 2" xfId="47333"/>
    <cellStyle name="Cálculo 2 2 6 3 2 3" xfId="35335"/>
    <cellStyle name="Cálculo 2 2 6 3 3" xfId="8458"/>
    <cellStyle name="Cálculo 2 2 6 3 3 2" xfId="19448"/>
    <cellStyle name="Cálculo 2 2 6 3 3 2 2" xfId="48629"/>
    <cellStyle name="Cálculo 2 2 6 3 3 3" xfId="37641"/>
    <cellStyle name="Cálculo 2 2 6 3 4" xfId="15003"/>
    <cellStyle name="Cálculo 2 2 6 3 4 2" xfId="44184"/>
    <cellStyle name="Cálculo 2 2 6 3 5" xfId="32248"/>
    <cellStyle name="Cálculo 2 2 6 4" xfId="4712"/>
    <cellStyle name="Cálculo 2 2 6 4 2" xfId="17798"/>
    <cellStyle name="Cálculo 2 2 6 4 2 2" xfId="46979"/>
    <cellStyle name="Cálculo 2 2 6 4 3" xfId="33895"/>
    <cellStyle name="Cálculo 2 2 6 5" xfId="9027"/>
    <cellStyle name="Cálculo 2 2 6 5 2" xfId="19780"/>
    <cellStyle name="Cálculo 2 2 6 5 2 2" xfId="48961"/>
    <cellStyle name="Cálculo 2 2 6 5 3" xfId="38210"/>
    <cellStyle name="Cálculo 2 2 6 6" xfId="17796"/>
    <cellStyle name="Cálculo 2 2 6 6 2" xfId="46977"/>
    <cellStyle name="Cálculo 2 2 6 7" xfId="30448"/>
    <cellStyle name="Cálculo 2 2 7" xfId="1445"/>
    <cellStyle name="Cálculo 2 2 7 2" xfId="3245"/>
    <cellStyle name="Cálculo 2 2 7 2 2" xfId="6296"/>
    <cellStyle name="Cálculo 2 2 7 2 2 2" xfId="18224"/>
    <cellStyle name="Cálculo 2 2 7 2 2 2 2" xfId="47405"/>
    <cellStyle name="Cálculo 2 2 7 2 2 3" xfId="35479"/>
    <cellStyle name="Cálculo 2 2 7 2 3" xfId="7743"/>
    <cellStyle name="Cálculo 2 2 7 2 3 2" xfId="19007"/>
    <cellStyle name="Cálculo 2 2 7 2 3 2 2" xfId="48188"/>
    <cellStyle name="Cálculo 2 2 7 2 3 3" xfId="36926"/>
    <cellStyle name="Cálculo 2 2 7 2 4" xfId="14614"/>
    <cellStyle name="Cálculo 2 2 7 2 4 2" xfId="43795"/>
    <cellStyle name="Cálculo 2 2 7 2 5" xfId="32428"/>
    <cellStyle name="Cálculo 2 2 7 3" xfId="4856"/>
    <cellStyle name="Cálculo 2 2 7 3 2" xfId="13399"/>
    <cellStyle name="Cálculo 2 2 7 3 2 2" xfId="42580"/>
    <cellStyle name="Cálculo 2 2 7 3 3" xfId="34039"/>
    <cellStyle name="Cálculo 2 2 7 4" xfId="9714"/>
    <cellStyle name="Cálculo 2 2 7 4 2" xfId="20199"/>
    <cellStyle name="Cálculo 2 2 7 4 2 2" xfId="49380"/>
    <cellStyle name="Cálculo 2 2 7 4 3" xfId="38897"/>
    <cellStyle name="Cálculo 2 2 7 5" xfId="16036"/>
    <cellStyle name="Cálculo 2 2 7 5 2" xfId="45217"/>
    <cellStyle name="Cálculo 2 2 7 6" xfId="30628"/>
    <cellStyle name="Cálculo 2 2 8" xfId="2345"/>
    <cellStyle name="Cálculo 2 2 8 2" xfId="5576"/>
    <cellStyle name="Cálculo 2 2 8 2 2" xfId="12124"/>
    <cellStyle name="Cálculo 2 2 8 2 2 2" xfId="41305"/>
    <cellStyle name="Cálculo 2 2 8 2 3" xfId="34759"/>
    <cellStyle name="Cálculo 2 2 8 3" xfId="7655"/>
    <cellStyle name="Cálculo 2 2 8 3 2" xfId="18952"/>
    <cellStyle name="Cálculo 2 2 8 3 2 2" xfId="48133"/>
    <cellStyle name="Cálculo 2 2 8 3 3" xfId="36838"/>
    <cellStyle name="Cálculo 2 2 8 4" xfId="17147"/>
    <cellStyle name="Cálculo 2 2 8 4 2" xfId="46328"/>
    <cellStyle name="Cálculo 2 2 8 5" xfId="31528"/>
    <cellStyle name="Cálculo 2 2 9" xfId="4136"/>
    <cellStyle name="Cálculo 2 2 9 2" xfId="11712"/>
    <cellStyle name="Cálculo 2 2 9 2 2" xfId="40893"/>
    <cellStyle name="Cálculo 2 2 9 3" xfId="33319"/>
    <cellStyle name="Cálculo 2 3" xfId="467"/>
    <cellStyle name="Cálculo 2 3 10" xfId="16418"/>
    <cellStyle name="Cálculo 2 3 10 2" xfId="45599"/>
    <cellStyle name="Cálculo 2 3 11" xfId="29673"/>
    <cellStyle name="Cálculo 2 3 2" xfId="820"/>
    <cellStyle name="Cálculo 2 3 2 2" xfId="1758"/>
    <cellStyle name="Cálculo 2 3 2 2 2" xfId="3558"/>
    <cellStyle name="Cálculo 2 3 2 2 2 2" xfId="6546"/>
    <cellStyle name="Cálculo 2 3 2 2 2 2 2" xfId="18368"/>
    <cellStyle name="Cálculo 2 3 2 2 2 2 2 2" xfId="47549"/>
    <cellStyle name="Cálculo 2 3 2 2 2 2 3" xfId="35729"/>
    <cellStyle name="Cálculo 2 3 2 2 2 3" xfId="9456"/>
    <cellStyle name="Cálculo 2 3 2 2 2 3 2" xfId="20042"/>
    <cellStyle name="Cálculo 2 3 2 2 2 3 2 2" xfId="49223"/>
    <cellStyle name="Cálculo 2 3 2 2 2 3 3" xfId="38639"/>
    <cellStyle name="Cálculo 2 3 2 2 2 4" xfId="14349"/>
    <cellStyle name="Cálculo 2 3 2 2 2 4 2" xfId="43530"/>
    <cellStyle name="Cálculo 2 3 2 2 2 5" xfId="32741"/>
    <cellStyle name="Cálculo 2 3 2 2 3" xfId="5106"/>
    <cellStyle name="Cálculo 2 3 2 2 3 2" xfId="13850"/>
    <cellStyle name="Cálculo 2 3 2 2 3 2 2" xfId="43031"/>
    <cellStyle name="Cálculo 2 3 2 2 3 3" xfId="34289"/>
    <cellStyle name="Cálculo 2 3 2 2 4" xfId="9398"/>
    <cellStyle name="Cálculo 2 3 2 2 4 2" xfId="20008"/>
    <cellStyle name="Cálculo 2 3 2 2 4 2 2" xfId="49189"/>
    <cellStyle name="Cálculo 2 3 2 2 4 3" xfId="38581"/>
    <cellStyle name="Cálculo 2 3 2 2 5" xfId="17648"/>
    <cellStyle name="Cálculo 2 3 2 2 5 2" xfId="46829"/>
    <cellStyle name="Cálculo 2 3 2 2 6" xfId="30941"/>
    <cellStyle name="Cálculo 2 3 2 3" xfId="2658"/>
    <cellStyle name="Cálculo 2 3 2 3 2" xfId="5826"/>
    <cellStyle name="Cálculo 2 3 2 3 2 2" xfId="12636"/>
    <cellStyle name="Cálculo 2 3 2 3 2 2 2" xfId="41817"/>
    <cellStyle name="Cálculo 2 3 2 3 2 3" xfId="35009"/>
    <cellStyle name="Cálculo 2 3 2 3 3" xfId="8240"/>
    <cellStyle name="Cálculo 2 3 2 3 3 2" xfId="19308"/>
    <cellStyle name="Cálculo 2 3 2 3 3 2 2" xfId="48489"/>
    <cellStyle name="Cálculo 2 3 2 3 3 3" xfId="37423"/>
    <cellStyle name="Cálculo 2 3 2 3 4" xfId="14886"/>
    <cellStyle name="Cálculo 2 3 2 3 4 2" xfId="44067"/>
    <cellStyle name="Cálculo 2 3 2 3 5" xfId="31841"/>
    <cellStyle name="Cálculo 2 3 2 4" xfId="4386"/>
    <cellStyle name="Cálculo 2 3 2 4 2" xfId="12765"/>
    <cellStyle name="Cálculo 2 3 2 4 2 2" xfId="41946"/>
    <cellStyle name="Cálculo 2 3 2 4 3" xfId="33569"/>
    <cellStyle name="Cálculo 2 3 2 5" xfId="7770"/>
    <cellStyle name="Cálculo 2 3 2 5 2" xfId="19023"/>
    <cellStyle name="Cálculo 2 3 2 5 2 2" xfId="48204"/>
    <cellStyle name="Cálculo 2 3 2 5 3" xfId="36953"/>
    <cellStyle name="Cálculo 2 3 2 6" xfId="11030"/>
    <cellStyle name="Cálculo 2 3 2 6 2" xfId="40211"/>
    <cellStyle name="Cálculo 2 3 2 7" xfId="30017"/>
    <cellStyle name="Cálculo 2 3 3" xfId="1012"/>
    <cellStyle name="Cálculo 2 3 3 2" xfId="1922"/>
    <cellStyle name="Cálculo 2 3 3 2 2" xfId="3722"/>
    <cellStyle name="Cálculo 2 3 3 2 2 2" xfId="6674"/>
    <cellStyle name="Cálculo 2 3 3 2 2 2 2" xfId="18422"/>
    <cellStyle name="Cálculo 2 3 3 2 2 2 2 2" xfId="47603"/>
    <cellStyle name="Cálculo 2 3 3 2 2 2 3" xfId="35857"/>
    <cellStyle name="Cálculo 2 3 3 2 2 3" xfId="9315"/>
    <cellStyle name="Cálculo 2 3 3 2 2 3 2" xfId="19961"/>
    <cellStyle name="Cálculo 2 3 3 2 2 3 2 2" xfId="49142"/>
    <cellStyle name="Cálculo 2 3 3 2 2 3 3" xfId="38498"/>
    <cellStyle name="Cálculo 2 3 3 2 2 4" xfId="10659"/>
    <cellStyle name="Cálculo 2 3 3 2 2 4 2" xfId="39840"/>
    <cellStyle name="Cálculo 2 3 3 2 2 5" xfId="32905"/>
    <cellStyle name="Cálculo 2 3 3 2 3" xfId="5234"/>
    <cellStyle name="Cálculo 2 3 3 2 3 2" xfId="15200"/>
    <cellStyle name="Cálculo 2 3 3 2 3 2 2" xfId="44381"/>
    <cellStyle name="Cálculo 2 3 3 2 3 3" xfId="34417"/>
    <cellStyle name="Cálculo 2 3 3 2 4" xfId="9258"/>
    <cellStyle name="Cálculo 2 3 3 2 4 2" xfId="19926"/>
    <cellStyle name="Cálculo 2 3 3 2 4 2 2" xfId="49107"/>
    <cellStyle name="Cálculo 2 3 3 2 4 3" xfId="38441"/>
    <cellStyle name="Cálculo 2 3 3 2 5" xfId="16792"/>
    <cellStyle name="Cálculo 2 3 3 2 5 2" xfId="45973"/>
    <cellStyle name="Cálculo 2 3 3 2 6" xfId="31105"/>
    <cellStyle name="Cálculo 2 3 3 3" xfId="2822"/>
    <cellStyle name="Cálculo 2 3 3 3 2" xfId="5954"/>
    <cellStyle name="Cálculo 2 3 3 3 2 2" xfId="10609"/>
    <cellStyle name="Cálculo 2 3 3 3 2 2 2" xfId="39790"/>
    <cellStyle name="Cálculo 2 3 3 3 2 3" xfId="35137"/>
    <cellStyle name="Cálculo 2 3 3 3 3" xfId="7537"/>
    <cellStyle name="Cálculo 2 3 3 3 3 2" xfId="18876"/>
    <cellStyle name="Cálculo 2 3 3 3 3 2 2" xfId="48057"/>
    <cellStyle name="Cálculo 2 3 3 3 3 3" xfId="36720"/>
    <cellStyle name="Cálculo 2 3 3 3 4" xfId="11528"/>
    <cellStyle name="Cálculo 2 3 3 3 4 2" xfId="40709"/>
    <cellStyle name="Cálculo 2 3 3 3 5" xfId="32005"/>
    <cellStyle name="Cálculo 2 3 3 4" xfId="4514"/>
    <cellStyle name="Cálculo 2 3 3 4 2" xfId="16560"/>
    <cellStyle name="Cálculo 2 3 3 4 2 2" xfId="45741"/>
    <cellStyle name="Cálculo 2 3 3 4 3" xfId="33697"/>
    <cellStyle name="Cálculo 2 3 3 5" xfId="9523"/>
    <cellStyle name="Cálculo 2 3 3 5 2" xfId="20080"/>
    <cellStyle name="Cálculo 2 3 3 5 2 2" xfId="49261"/>
    <cellStyle name="Cálculo 2 3 3 5 3" xfId="38706"/>
    <cellStyle name="Cálculo 2 3 3 6" xfId="16943"/>
    <cellStyle name="Cálculo 2 3 3 6 2" xfId="46124"/>
    <cellStyle name="Cálculo 2 3 3 7" xfId="30202"/>
    <cellStyle name="Cálculo 2 3 4" xfId="1162"/>
    <cellStyle name="Cálculo 2 3 4 2" xfId="2066"/>
    <cellStyle name="Cálculo 2 3 4 2 2" xfId="3866"/>
    <cellStyle name="Cálculo 2 3 4 2 2 2" xfId="6791"/>
    <cellStyle name="Cálculo 2 3 4 2 2 2 2" xfId="18476"/>
    <cellStyle name="Cálculo 2 3 4 2 2 2 2 2" xfId="47657"/>
    <cellStyle name="Cálculo 2 3 4 2 2 2 3" xfId="35974"/>
    <cellStyle name="Cálculo 2 3 4 2 2 3" xfId="7566"/>
    <cellStyle name="Cálculo 2 3 4 2 2 3 2" xfId="18897"/>
    <cellStyle name="Cálculo 2 3 4 2 2 3 2 2" xfId="48078"/>
    <cellStyle name="Cálculo 2 3 4 2 2 3 3" xfId="36749"/>
    <cellStyle name="Cálculo 2 3 4 2 2 4" xfId="14910"/>
    <cellStyle name="Cálculo 2 3 4 2 2 4 2" xfId="44091"/>
    <cellStyle name="Cálculo 2 3 4 2 2 5" xfId="33049"/>
    <cellStyle name="Cálculo 2 3 4 2 3" xfId="5351"/>
    <cellStyle name="Cálculo 2 3 4 2 3 2" xfId="15704"/>
    <cellStyle name="Cálculo 2 3 4 2 3 2 2" xfId="44885"/>
    <cellStyle name="Cálculo 2 3 4 2 3 3" xfId="34534"/>
    <cellStyle name="Cálculo 2 3 4 2 4" xfId="8742"/>
    <cellStyle name="Cálculo 2 3 4 2 4 2" xfId="19614"/>
    <cellStyle name="Cálculo 2 3 4 2 4 2 2" xfId="48795"/>
    <cellStyle name="Cálculo 2 3 4 2 4 3" xfId="37925"/>
    <cellStyle name="Cálculo 2 3 4 2 5" xfId="17743"/>
    <cellStyle name="Cálculo 2 3 4 2 5 2" xfId="46924"/>
    <cellStyle name="Cálculo 2 3 4 2 6" xfId="31249"/>
    <cellStyle name="Cálculo 2 3 4 3" xfId="2966"/>
    <cellStyle name="Cálculo 2 3 4 3 2" xfId="6071"/>
    <cellStyle name="Cálculo 2 3 4 3 2 2" xfId="10555"/>
    <cellStyle name="Cálculo 2 3 4 3 2 2 2" xfId="39736"/>
    <cellStyle name="Cálculo 2 3 4 3 2 3" xfId="35254"/>
    <cellStyle name="Cálculo 2 3 4 3 3" xfId="10269"/>
    <cellStyle name="Cálculo 2 3 4 3 3 2" xfId="20530"/>
    <cellStyle name="Cálculo 2 3 4 3 3 2 2" xfId="49711"/>
    <cellStyle name="Cálculo 2 3 4 3 3 3" xfId="39452"/>
    <cellStyle name="Cálculo 2 3 4 3 4" xfId="13729"/>
    <cellStyle name="Cálculo 2 3 4 3 4 2" xfId="42910"/>
    <cellStyle name="Cálculo 2 3 4 3 5" xfId="32149"/>
    <cellStyle name="Cálculo 2 3 4 4" xfId="4631"/>
    <cellStyle name="Cálculo 2 3 4 4 2" xfId="12640"/>
    <cellStyle name="Cálculo 2 3 4 4 2 2" xfId="41821"/>
    <cellStyle name="Cálculo 2 3 4 4 3" xfId="33814"/>
    <cellStyle name="Cálculo 2 3 4 5" xfId="9909"/>
    <cellStyle name="Cálculo 2 3 4 5 2" xfId="20317"/>
    <cellStyle name="Cálculo 2 3 4 5 2 2" xfId="49498"/>
    <cellStyle name="Cálculo 2 3 4 5 3" xfId="39092"/>
    <cellStyle name="Cálculo 2 3 4 6" xfId="16247"/>
    <cellStyle name="Cálculo 2 3 4 6 2" xfId="45428"/>
    <cellStyle name="Cálculo 2 3 4 7" xfId="30349"/>
    <cellStyle name="Cálculo 2 3 5" xfId="1308"/>
    <cellStyle name="Cálculo 2 3 5 2" xfId="2210"/>
    <cellStyle name="Cálculo 2 3 5 2 2" xfId="4010"/>
    <cellStyle name="Cálculo 2 3 5 2 2 2" xfId="6908"/>
    <cellStyle name="Cálculo 2 3 5 2 2 2 2" xfId="18530"/>
    <cellStyle name="Cálculo 2 3 5 2 2 2 2 2" xfId="47711"/>
    <cellStyle name="Cálculo 2 3 5 2 2 2 3" xfId="36091"/>
    <cellStyle name="Cálculo 2 3 5 2 2 3" xfId="7070"/>
    <cellStyle name="Cálculo 2 3 5 2 2 3 2" xfId="18619"/>
    <cellStyle name="Cálculo 2 3 5 2 2 3 2 2" xfId="47800"/>
    <cellStyle name="Cálculo 2 3 5 2 2 3 3" xfId="36253"/>
    <cellStyle name="Cálculo 2 3 5 2 2 4" xfId="17802"/>
    <cellStyle name="Cálculo 2 3 5 2 2 4 2" xfId="46983"/>
    <cellStyle name="Cálculo 2 3 5 2 2 5" xfId="33193"/>
    <cellStyle name="Cálculo 2 3 5 2 3" xfId="5468"/>
    <cellStyle name="Cálculo 2 3 5 2 3 2" xfId="14644"/>
    <cellStyle name="Cálculo 2 3 5 2 3 2 2" xfId="43825"/>
    <cellStyle name="Cálculo 2 3 5 2 3 3" xfId="34651"/>
    <cellStyle name="Cálculo 2 3 5 2 4" xfId="10060"/>
    <cellStyle name="Cálculo 2 3 5 2 4 2" xfId="20410"/>
    <cellStyle name="Cálculo 2 3 5 2 4 2 2" xfId="49591"/>
    <cellStyle name="Cálculo 2 3 5 2 4 3" xfId="39243"/>
    <cellStyle name="Cálculo 2 3 5 2 5" xfId="12959"/>
    <cellStyle name="Cálculo 2 3 5 2 5 2" xfId="42140"/>
    <cellStyle name="Cálculo 2 3 5 2 6" xfId="31393"/>
    <cellStyle name="Cálculo 2 3 5 3" xfId="3110"/>
    <cellStyle name="Cálculo 2 3 5 3 2" xfId="6188"/>
    <cellStyle name="Cálculo 2 3 5 3 2 2" xfId="18170"/>
    <cellStyle name="Cálculo 2 3 5 3 2 2 2" xfId="47351"/>
    <cellStyle name="Cálculo 2 3 5 3 2 3" xfId="35371"/>
    <cellStyle name="Cálculo 2 3 5 3 3" xfId="9285"/>
    <cellStyle name="Cálculo 2 3 5 3 3 2" xfId="19941"/>
    <cellStyle name="Cálculo 2 3 5 3 3 2 2" xfId="49122"/>
    <cellStyle name="Cálculo 2 3 5 3 3 3" xfId="38468"/>
    <cellStyle name="Cálculo 2 3 5 3 4" xfId="10783"/>
    <cellStyle name="Cálculo 2 3 5 3 4 2" xfId="39964"/>
    <cellStyle name="Cálculo 2 3 5 3 5" xfId="32293"/>
    <cellStyle name="Cálculo 2 3 5 4" xfId="4748"/>
    <cellStyle name="Cálculo 2 3 5 4 2" xfId="17885"/>
    <cellStyle name="Cálculo 2 3 5 4 2 2" xfId="47066"/>
    <cellStyle name="Cálculo 2 3 5 4 3" xfId="33931"/>
    <cellStyle name="Cálculo 2 3 5 5" xfId="8136"/>
    <cellStyle name="Cálculo 2 3 5 5 2" xfId="19245"/>
    <cellStyle name="Cálculo 2 3 5 5 2 2" xfId="48426"/>
    <cellStyle name="Cálculo 2 3 5 5 3" xfId="37319"/>
    <cellStyle name="Cálculo 2 3 5 6" xfId="15985"/>
    <cellStyle name="Cálculo 2 3 5 6 2" xfId="45166"/>
    <cellStyle name="Cálculo 2 3 5 7" xfId="30493"/>
    <cellStyle name="Cálculo 2 3 6" xfId="1490"/>
    <cellStyle name="Cálculo 2 3 6 2" xfId="3290"/>
    <cellStyle name="Cálculo 2 3 6 2 2" xfId="6332"/>
    <cellStyle name="Cálculo 2 3 6 2 2 2" xfId="18242"/>
    <cellStyle name="Cálculo 2 3 6 2 2 2 2" xfId="47423"/>
    <cellStyle name="Cálculo 2 3 6 2 2 3" xfId="35515"/>
    <cellStyle name="Cálculo 2 3 6 2 3" xfId="8233"/>
    <cellStyle name="Cálculo 2 3 6 2 3 2" xfId="19305"/>
    <cellStyle name="Cálculo 2 3 6 2 3 2 2" xfId="48486"/>
    <cellStyle name="Cálculo 2 3 6 2 3 3" xfId="37416"/>
    <cellStyle name="Cálculo 2 3 6 2 4" xfId="16192"/>
    <cellStyle name="Cálculo 2 3 6 2 4 2" xfId="45373"/>
    <cellStyle name="Cálculo 2 3 6 2 5" xfId="32473"/>
    <cellStyle name="Cálculo 2 3 6 3" xfId="4892"/>
    <cellStyle name="Cálculo 2 3 6 3 2" xfId="16975"/>
    <cellStyle name="Cálculo 2 3 6 3 2 2" xfId="46156"/>
    <cellStyle name="Cálculo 2 3 6 3 3" xfId="34075"/>
    <cellStyle name="Cálculo 2 3 6 4" xfId="8866"/>
    <cellStyle name="Cálculo 2 3 6 4 2" xfId="19686"/>
    <cellStyle name="Cálculo 2 3 6 4 2 2" xfId="48867"/>
    <cellStyle name="Cálculo 2 3 6 4 3" xfId="38049"/>
    <cellStyle name="Cálculo 2 3 6 5" xfId="12390"/>
    <cellStyle name="Cálculo 2 3 6 5 2" xfId="41571"/>
    <cellStyle name="Cálculo 2 3 6 6" xfId="30673"/>
    <cellStyle name="Cálculo 2 3 7" xfId="2390"/>
    <cellStyle name="Cálculo 2 3 7 2" xfId="5612"/>
    <cellStyle name="Cálculo 2 3 7 2 2" xfId="17521"/>
    <cellStyle name="Cálculo 2 3 7 2 2 2" xfId="46702"/>
    <cellStyle name="Cálculo 2 3 7 2 3" xfId="34795"/>
    <cellStyle name="Cálculo 2 3 7 3" xfId="8224"/>
    <cellStyle name="Cálculo 2 3 7 3 2" xfId="19298"/>
    <cellStyle name="Cálculo 2 3 7 3 2 2" xfId="48479"/>
    <cellStyle name="Cálculo 2 3 7 3 3" xfId="37407"/>
    <cellStyle name="Cálculo 2 3 7 4" xfId="12990"/>
    <cellStyle name="Cálculo 2 3 7 4 2" xfId="42171"/>
    <cellStyle name="Cálculo 2 3 7 5" xfId="31573"/>
    <cellStyle name="Cálculo 2 3 8" xfId="4172"/>
    <cellStyle name="Cálculo 2 3 8 2" xfId="11270"/>
    <cellStyle name="Cálculo 2 3 8 2 2" xfId="40451"/>
    <cellStyle name="Cálculo 2 3 8 3" xfId="33355"/>
    <cellStyle name="Cálculo 2 3 9" xfId="8877"/>
    <cellStyle name="Cálculo 2 3 9 2" xfId="19692"/>
    <cellStyle name="Cálculo 2 3 9 2 2" xfId="48873"/>
    <cellStyle name="Cálculo 2 3 9 3" xfId="38060"/>
    <cellStyle name="Cálculo 2 4" xfId="638"/>
    <cellStyle name="Cálculo 2 4 2" xfId="1630"/>
    <cellStyle name="Cálculo 2 4 2 2" xfId="3430"/>
    <cellStyle name="Cálculo 2 4 2 2 2" xfId="6445"/>
    <cellStyle name="Cálculo 2 4 2 2 2 2" xfId="18312"/>
    <cellStyle name="Cálculo 2 4 2 2 2 2 2" xfId="47493"/>
    <cellStyle name="Cálculo 2 4 2 2 2 3" xfId="35628"/>
    <cellStyle name="Cálculo 2 4 2 2 3" xfId="10501"/>
    <cellStyle name="Cálculo 2 4 2 2 3 2" xfId="20677"/>
    <cellStyle name="Cálculo 2 4 2 2 3 2 2" xfId="49858"/>
    <cellStyle name="Cálculo 2 4 2 2 3 3" xfId="39684"/>
    <cellStyle name="Cálculo 2 4 2 2 4" xfId="11436"/>
    <cellStyle name="Cálculo 2 4 2 2 4 2" xfId="40617"/>
    <cellStyle name="Cálculo 2 4 2 2 5" xfId="32613"/>
    <cellStyle name="Cálculo 2 4 2 3" xfId="5005"/>
    <cellStyle name="Cálculo 2 4 2 3 2" xfId="14059"/>
    <cellStyle name="Cálculo 2 4 2 3 2 2" xfId="43240"/>
    <cellStyle name="Cálculo 2 4 2 3 3" xfId="34188"/>
    <cellStyle name="Cálculo 2 4 2 4" xfId="10104"/>
    <cellStyle name="Cálculo 2 4 2 4 2" xfId="20433"/>
    <cellStyle name="Cálculo 2 4 2 4 2 2" xfId="49614"/>
    <cellStyle name="Cálculo 2 4 2 4 3" xfId="39287"/>
    <cellStyle name="Cálculo 2 4 2 5" xfId="17948"/>
    <cellStyle name="Cálculo 2 4 2 5 2" xfId="47129"/>
    <cellStyle name="Cálculo 2 4 2 6" xfId="30813"/>
    <cellStyle name="Cálculo 2 4 3" xfId="2530"/>
    <cellStyle name="Cálculo 2 4 3 2" xfId="5725"/>
    <cellStyle name="Cálculo 2 4 3 2 2" xfId="12880"/>
    <cellStyle name="Cálculo 2 4 3 2 2 2" xfId="42061"/>
    <cellStyle name="Cálculo 2 4 3 2 3" xfId="34908"/>
    <cellStyle name="Cálculo 2 4 3 3" xfId="9329"/>
    <cellStyle name="Cálculo 2 4 3 3 2" xfId="19967"/>
    <cellStyle name="Cálculo 2 4 3 3 2 2" xfId="49148"/>
    <cellStyle name="Cálculo 2 4 3 3 3" xfId="38512"/>
    <cellStyle name="Cálculo 2 4 3 4" xfId="17876"/>
    <cellStyle name="Cálculo 2 4 3 4 2" xfId="47057"/>
    <cellStyle name="Cálculo 2 4 3 5" xfId="31713"/>
    <cellStyle name="Cálculo 2 4 4" xfId="4285"/>
    <cellStyle name="Cálculo 2 4 4 2" xfId="14641"/>
    <cellStyle name="Cálculo 2 4 4 2 2" xfId="43822"/>
    <cellStyle name="Cálculo 2 4 4 3" xfId="33468"/>
    <cellStyle name="Cálculo 2 4 5" xfId="7405"/>
    <cellStyle name="Cálculo 2 4 5 2" xfId="18797"/>
    <cellStyle name="Cálculo 2 4 5 2 2" xfId="47978"/>
    <cellStyle name="Cálculo 2 4 5 3" xfId="36588"/>
    <cellStyle name="Cálculo 2 4 6" xfId="16731"/>
    <cellStyle name="Cálculo 2 4 6 2" xfId="45912"/>
    <cellStyle name="Cálculo 2 4 7" xfId="29841"/>
    <cellStyle name="Cálculo 2 5" xfId="646"/>
    <cellStyle name="Cálculo 2 5 2" xfId="1638"/>
    <cellStyle name="Cálculo 2 5 2 2" xfId="3438"/>
    <cellStyle name="Cálculo 2 5 2 2 2" xfId="6453"/>
    <cellStyle name="Cálculo 2 5 2 2 2 2" xfId="18320"/>
    <cellStyle name="Cálculo 2 5 2 2 2 2 2" xfId="47501"/>
    <cellStyle name="Cálculo 2 5 2 2 2 3" xfId="35636"/>
    <cellStyle name="Cálculo 2 5 2 2 3" xfId="10264"/>
    <cellStyle name="Cálculo 2 5 2 2 3 2" xfId="20527"/>
    <cellStyle name="Cálculo 2 5 2 2 3 2 2" xfId="49708"/>
    <cellStyle name="Cálculo 2 5 2 2 3 3" xfId="39447"/>
    <cellStyle name="Cálculo 2 5 2 2 4" xfId="16284"/>
    <cellStyle name="Cálculo 2 5 2 2 4 2" xfId="45465"/>
    <cellStyle name="Cálculo 2 5 2 2 5" xfId="32621"/>
    <cellStyle name="Cálculo 2 5 2 3" xfId="5013"/>
    <cellStyle name="Cálculo 2 5 2 3 2" xfId="17926"/>
    <cellStyle name="Cálculo 2 5 2 3 2 2" xfId="47107"/>
    <cellStyle name="Cálculo 2 5 2 3 3" xfId="34196"/>
    <cellStyle name="Cálculo 2 5 2 4" xfId="10442"/>
    <cellStyle name="Cálculo 2 5 2 4 2" xfId="20641"/>
    <cellStyle name="Cálculo 2 5 2 4 2 2" xfId="49822"/>
    <cellStyle name="Cálculo 2 5 2 4 3" xfId="39625"/>
    <cellStyle name="Cálculo 2 5 2 5" xfId="12041"/>
    <cellStyle name="Cálculo 2 5 2 5 2" xfId="41222"/>
    <cellStyle name="Cálculo 2 5 2 6" xfId="30821"/>
    <cellStyle name="Cálculo 2 5 3" xfId="2538"/>
    <cellStyle name="Cálculo 2 5 3 2" xfId="5733"/>
    <cellStyle name="Cálculo 2 5 3 2 2" xfId="16982"/>
    <cellStyle name="Cálculo 2 5 3 2 2 2" xfId="46163"/>
    <cellStyle name="Cálculo 2 5 3 2 3" xfId="34916"/>
    <cellStyle name="Cálculo 2 5 3 3" xfId="9665"/>
    <cellStyle name="Cálculo 2 5 3 3 2" xfId="20168"/>
    <cellStyle name="Cálculo 2 5 3 3 2 2" xfId="49349"/>
    <cellStyle name="Cálculo 2 5 3 3 3" xfId="38848"/>
    <cellStyle name="Cálculo 2 5 3 4" xfId="13533"/>
    <cellStyle name="Cálculo 2 5 3 4 2" xfId="42714"/>
    <cellStyle name="Cálculo 2 5 3 5" xfId="31721"/>
    <cellStyle name="Cálculo 2 5 4" xfId="4293"/>
    <cellStyle name="Cálculo 2 5 4 2" xfId="10914"/>
    <cellStyle name="Cálculo 2 5 4 2 2" xfId="40095"/>
    <cellStyle name="Cálculo 2 5 4 3" xfId="33476"/>
    <cellStyle name="Cálculo 2 5 5" xfId="8105"/>
    <cellStyle name="Cálculo 2 5 5 2" xfId="19225"/>
    <cellStyle name="Cálculo 2 5 5 2 2" xfId="48406"/>
    <cellStyle name="Cálculo 2 5 5 3" xfId="37288"/>
    <cellStyle name="Cálculo 2 5 6" xfId="17447"/>
    <cellStyle name="Cálculo 2 5 6 2" xfId="46628"/>
    <cellStyle name="Cálculo 2 5 7" xfId="29849"/>
    <cellStyle name="Cálculo 2 6" xfId="626"/>
    <cellStyle name="Cálculo 2 6 2" xfId="1618"/>
    <cellStyle name="Cálculo 2 6 2 2" xfId="3418"/>
    <cellStyle name="Cálculo 2 6 2 2 2" xfId="6433"/>
    <cellStyle name="Cálculo 2 6 2 2 2 2" xfId="18300"/>
    <cellStyle name="Cálculo 2 6 2 2 2 2 2" xfId="47481"/>
    <cellStyle name="Cálculo 2 6 2 2 2 3" xfId="35616"/>
    <cellStyle name="Cálculo 2 6 2 2 3" xfId="9419"/>
    <cellStyle name="Cálculo 2 6 2 2 3 2" xfId="20020"/>
    <cellStyle name="Cálculo 2 6 2 2 3 2 2" xfId="49201"/>
    <cellStyle name="Cálculo 2 6 2 2 3 3" xfId="38602"/>
    <cellStyle name="Cálculo 2 6 2 2 4" xfId="11557"/>
    <cellStyle name="Cálculo 2 6 2 2 4 2" xfId="40738"/>
    <cellStyle name="Cálculo 2 6 2 2 5" xfId="32601"/>
    <cellStyle name="Cálculo 2 6 2 3" xfId="4993"/>
    <cellStyle name="Cálculo 2 6 2 3 2" xfId="14076"/>
    <cellStyle name="Cálculo 2 6 2 3 2 2" xfId="43257"/>
    <cellStyle name="Cálculo 2 6 2 3 3" xfId="34176"/>
    <cellStyle name="Cálculo 2 6 2 4" xfId="10481"/>
    <cellStyle name="Cálculo 2 6 2 4 2" xfId="20664"/>
    <cellStyle name="Cálculo 2 6 2 4 2 2" xfId="49845"/>
    <cellStyle name="Cálculo 2 6 2 4 3" xfId="39664"/>
    <cellStyle name="Cálculo 2 6 2 5" xfId="13437"/>
    <cellStyle name="Cálculo 2 6 2 5 2" xfId="42618"/>
    <cellStyle name="Cálculo 2 6 2 6" xfId="30801"/>
    <cellStyle name="Cálculo 2 6 3" xfId="2518"/>
    <cellStyle name="Cálculo 2 6 3 2" xfId="5713"/>
    <cellStyle name="Cálculo 2 6 3 2 2" xfId="12903"/>
    <cellStyle name="Cálculo 2 6 3 2 2 2" xfId="42084"/>
    <cellStyle name="Cálculo 2 6 3 2 3" xfId="34896"/>
    <cellStyle name="Cálculo 2 6 3 3" xfId="9703"/>
    <cellStyle name="Cálculo 2 6 3 3 2" xfId="20191"/>
    <cellStyle name="Cálculo 2 6 3 3 2 2" xfId="49372"/>
    <cellStyle name="Cálculo 2 6 3 3 3" xfId="38886"/>
    <cellStyle name="Cálculo 2 6 3 4" xfId="12099"/>
    <cellStyle name="Cálculo 2 6 3 4 2" xfId="41280"/>
    <cellStyle name="Cálculo 2 6 3 5" xfId="31701"/>
    <cellStyle name="Cálculo 2 6 4" xfId="4273"/>
    <cellStyle name="Cálculo 2 6 4 2" xfId="14623"/>
    <cellStyle name="Cálculo 2 6 4 2 2" xfId="43804"/>
    <cellStyle name="Cálculo 2 6 4 3" xfId="33456"/>
    <cellStyle name="Cálculo 2 6 5" xfId="10411"/>
    <cellStyle name="Cálculo 2 6 5 2" xfId="20620"/>
    <cellStyle name="Cálculo 2 6 5 2 2" xfId="49801"/>
    <cellStyle name="Cálculo 2 6 5 3" xfId="39594"/>
    <cellStyle name="Cálculo 2 6 6" xfId="16983"/>
    <cellStyle name="Cálculo 2 6 6 2" xfId="46164"/>
    <cellStyle name="Cálculo 2 6 7" xfId="29829"/>
    <cellStyle name="Cálculo 2 7" xfId="655"/>
    <cellStyle name="Cálculo 2 7 2" xfId="1647"/>
    <cellStyle name="Cálculo 2 7 2 2" xfId="3447"/>
    <cellStyle name="Cálculo 2 7 2 2 2" xfId="6462"/>
    <cellStyle name="Cálculo 2 7 2 2 2 2" xfId="18329"/>
    <cellStyle name="Cálculo 2 7 2 2 2 2 2" xfId="47510"/>
    <cellStyle name="Cálculo 2 7 2 2 2 3" xfId="35645"/>
    <cellStyle name="Cálculo 2 7 2 2 3" xfId="7159"/>
    <cellStyle name="Cálculo 2 7 2 2 3 2" xfId="18662"/>
    <cellStyle name="Cálculo 2 7 2 2 3 2 2" xfId="47843"/>
    <cellStyle name="Cálculo 2 7 2 2 3 3" xfId="36342"/>
    <cellStyle name="Cálculo 2 7 2 2 4" xfId="12502"/>
    <cellStyle name="Cálculo 2 7 2 2 4 2" xfId="41683"/>
    <cellStyle name="Cálculo 2 7 2 2 5" xfId="32630"/>
    <cellStyle name="Cálculo 2 7 2 3" xfId="5022"/>
    <cellStyle name="Cálculo 2 7 2 3 2" xfId="10903"/>
    <cellStyle name="Cálculo 2 7 2 3 2 2" xfId="40084"/>
    <cellStyle name="Cálculo 2 7 2 3 3" xfId="34205"/>
    <cellStyle name="Cálculo 2 7 2 4" xfId="8670"/>
    <cellStyle name="Cálculo 2 7 2 4 2" xfId="19575"/>
    <cellStyle name="Cálculo 2 7 2 4 2 2" xfId="48756"/>
    <cellStyle name="Cálculo 2 7 2 4 3" xfId="37853"/>
    <cellStyle name="Cálculo 2 7 2 5" xfId="17274"/>
    <cellStyle name="Cálculo 2 7 2 5 2" xfId="46455"/>
    <cellStyle name="Cálculo 2 7 2 6" xfId="30830"/>
    <cellStyle name="Cálculo 2 7 3" xfId="2547"/>
    <cellStyle name="Cálculo 2 7 3 2" xfId="5742"/>
    <cellStyle name="Cálculo 2 7 3 2 2" xfId="16266"/>
    <cellStyle name="Cálculo 2 7 3 2 2 2" xfId="45447"/>
    <cellStyle name="Cálculo 2 7 3 2 3" xfId="34925"/>
    <cellStyle name="Cálculo 2 7 3 3" xfId="10196"/>
    <cellStyle name="Cálculo 2 7 3 3 2" xfId="20489"/>
    <cellStyle name="Cálculo 2 7 3 3 2 2" xfId="49670"/>
    <cellStyle name="Cálculo 2 7 3 3 3" xfId="39379"/>
    <cellStyle name="Cálculo 2 7 3 4" xfId="11638"/>
    <cellStyle name="Cálculo 2 7 3 4 2" xfId="40819"/>
    <cellStyle name="Cálculo 2 7 3 5" xfId="31730"/>
    <cellStyle name="Cálculo 2 7 4" xfId="4302"/>
    <cellStyle name="Cálculo 2 7 4 2" xfId="15184"/>
    <cellStyle name="Cálculo 2 7 4 2 2" xfId="44365"/>
    <cellStyle name="Cálculo 2 7 4 3" xfId="33485"/>
    <cellStyle name="Cálculo 2 7 5" xfId="9273"/>
    <cellStyle name="Cálculo 2 7 5 2" xfId="19933"/>
    <cellStyle name="Cálculo 2 7 5 2 2" xfId="49114"/>
    <cellStyle name="Cálculo 2 7 5 3" xfId="38456"/>
    <cellStyle name="Cálculo 2 7 6" xfId="17686"/>
    <cellStyle name="Cálculo 2 7 6 2" xfId="46867"/>
    <cellStyle name="Cálculo 2 7 7" xfId="29858"/>
    <cellStyle name="Cálculo 2 8" xfId="1400"/>
    <cellStyle name="Cálculo 2 8 2" xfId="3200"/>
    <cellStyle name="Cálculo 2 8 2 2" xfId="6260"/>
    <cellStyle name="Cálculo 2 8 2 2 2" xfId="18206"/>
    <cellStyle name="Cálculo 2 8 2 2 2 2" xfId="47387"/>
    <cellStyle name="Cálculo 2 8 2 2 3" xfId="35443"/>
    <cellStyle name="Cálculo 2 8 2 3" xfId="7169"/>
    <cellStyle name="Cálculo 2 8 2 3 2" xfId="18670"/>
    <cellStyle name="Cálculo 2 8 2 3 2 2" xfId="47851"/>
    <cellStyle name="Cálculo 2 8 2 3 3" xfId="36352"/>
    <cellStyle name="Cálculo 2 8 2 4" xfId="15500"/>
    <cellStyle name="Cálculo 2 8 2 4 2" xfId="44681"/>
    <cellStyle name="Cálculo 2 8 2 5" xfId="32383"/>
    <cellStyle name="Cálculo 2 8 3" xfId="4820"/>
    <cellStyle name="Cálculo 2 8 3 2" xfId="13788"/>
    <cellStyle name="Cálculo 2 8 3 2 2" xfId="42969"/>
    <cellStyle name="Cálculo 2 8 3 3" xfId="34003"/>
    <cellStyle name="Cálculo 2 8 4" xfId="7725"/>
    <cellStyle name="Cálculo 2 8 4 2" xfId="18996"/>
    <cellStyle name="Cálculo 2 8 4 2 2" xfId="48177"/>
    <cellStyle name="Cálculo 2 8 4 3" xfId="36908"/>
    <cellStyle name="Cálculo 2 8 5" xfId="11311"/>
    <cellStyle name="Cálculo 2 8 5 2" xfId="40492"/>
    <cellStyle name="Cálculo 2 8 6" xfId="30583"/>
    <cellStyle name="Cálculo 2 9" xfId="2300"/>
    <cellStyle name="Cálculo 2 9 2" xfId="5540"/>
    <cellStyle name="Cálculo 2 9 2 2" xfId="12569"/>
    <cellStyle name="Cálculo 2 9 2 2 2" xfId="41750"/>
    <cellStyle name="Cálculo 2 9 2 3" xfId="34723"/>
    <cellStyle name="Cálculo 2 9 3" xfId="7518"/>
    <cellStyle name="Cálculo 2 9 3 2" xfId="18866"/>
    <cellStyle name="Cálculo 2 9 3 2 2" xfId="48047"/>
    <cellStyle name="Cálculo 2 9 3 3" xfId="36701"/>
    <cellStyle name="Cálculo 2 9 4" xfId="16945"/>
    <cellStyle name="Cálculo 2 9 4 2" xfId="46126"/>
    <cellStyle name="Cálculo 2 9 5" xfId="31483"/>
    <cellStyle name="Cálculo 3" xfId="176"/>
    <cellStyle name="Cálculo 3 10" xfId="4101"/>
    <cellStyle name="Cálculo 3 10 2" xfId="11404"/>
    <cellStyle name="Cálculo 3 10 2 2" xfId="40585"/>
    <cellStyle name="Cálculo 3 10 3" xfId="33284"/>
    <cellStyle name="Cálculo 3 11" xfId="11173"/>
    <cellStyle name="Cálculo 3 11 2" xfId="40354"/>
    <cellStyle name="Cálculo 3 12" xfId="29561"/>
    <cellStyle name="Cálculo 3 2" xfId="423"/>
    <cellStyle name="Cálculo 3 2 10" xfId="10494"/>
    <cellStyle name="Cálculo 3 2 10 2" xfId="20674"/>
    <cellStyle name="Cálculo 3 2 10 2 2" xfId="49855"/>
    <cellStyle name="Cálculo 3 2 10 3" xfId="39677"/>
    <cellStyle name="Cálculo 3 2 11" xfId="10959"/>
    <cellStyle name="Cálculo 3 2 11 2" xfId="40140"/>
    <cellStyle name="Cálculo 3 2 12" xfId="58766"/>
    <cellStyle name="Cálculo 3 2 13" xfId="29629"/>
    <cellStyle name="Cálculo 3 2 2" xfId="513"/>
    <cellStyle name="Cálculo 3 2 2 10" xfId="15988"/>
    <cellStyle name="Cálculo 3 2 2 10 2" xfId="45169"/>
    <cellStyle name="Cálculo 3 2 2 11" xfId="29719"/>
    <cellStyle name="Cálculo 3 2 2 2" xfId="866"/>
    <cellStyle name="Cálculo 3 2 2 2 2" xfId="1804"/>
    <cellStyle name="Cálculo 3 2 2 2 2 2" xfId="3604"/>
    <cellStyle name="Cálculo 3 2 2 2 2 2 2" xfId="6583"/>
    <cellStyle name="Cálculo 3 2 2 2 2 2 2 2" xfId="18387"/>
    <cellStyle name="Cálculo 3 2 2 2 2 2 2 2 2" xfId="47568"/>
    <cellStyle name="Cálculo 3 2 2 2 2 2 2 3" xfId="35766"/>
    <cellStyle name="Cálculo 3 2 2 2 2 2 3" xfId="7777"/>
    <cellStyle name="Cálculo 3 2 2 2 2 2 3 2" xfId="19029"/>
    <cellStyle name="Cálculo 3 2 2 2 2 2 3 2 2" xfId="48210"/>
    <cellStyle name="Cálculo 3 2 2 2 2 2 3 3" xfId="36960"/>
    <cellStyle name="Cálculo 3 2 2 2 2 2 4" xfId="16068"/>
    <cellStyle name="Cálculo 3 2 2 2 2 2 4 2" xfId="45249"/>
    <cellStyle name="Cálculo 3 2 2 2 2 2 5" xfId="32787"/>
    <cellStyle name="Cálculo 3 2 2 2 2 3" xfId="5143"/>
    <cellStyle name="Cálculo 3 2 2 2 2 3 2" xfId="17089"/>
    <cellStyle name="Cálculo 3 2 2 2 2 3 2 2" xfId="46270"/>
    <cellStyle name="Cálculo 3 2 2 2 2 3 3" xfId="34326"/>
    <cellStyle name="Cálculo 3 2 2 2 2 4" xfId="8011"/>
    <cellStyle name="Cálculo 3 2 2 2 2 4 2" xfId="19171"/>
    <cellStyle name="Cálculo 3 2 2 2 2 4 2 2" xfId="48352"/>
    <cellStyle name="Cálculo 3 2 2 2 2 4 3" xfId="37194"/>
    <cellStyle name="Cálculo 3 2 2 2 2 5" xfId="17204"/>
    <cellStyle name="Cálculo 3 2 2 2 2 5 2" xfId="46385"/>
    <cellStyle name="Cálculo 3 2 2 2 2 6" xfId="30987"/>
    <cellStyle name="Cálculo 3 2 2 2 3" xfId="2704"/>
    <cellStyle name="Cálculo 3 2 2 2 3 2" xfId="5863"/>
    <cellStyle name="Cálculo 3 2 2 2 3 2 2" xfId="16156"/>
    <cellStyle name="Cálculo 3 2 2 2 3 2 2 2" xfId="45337"/>
    <cellStyle name="Cálculo 3 2 2 2 3 2 3" xfId="35046"/>
    <cellStyle name="Cálculo 3 2 2 2 3 3" xfId="8776"/>
    <cellStyle name="Cálculo 3 2 2 2 3 3 2" xfId="19636"/>
    <cellStyle name="Cálculo 3 2 2 2 3 3 2 2" xfId="48817"/>
    <cellStyle name="Cálculo 3 2 2 2 3 3 3" xfId="37959"/>
    <cellStyle name="Cálculo 3 2 2 2 3 4" xfId="15772"/>
    <cellStyle name="Cálculo 3 2 2 2 3 4 2" xfId="44953"/>
    <cellStyle name="Cálculo 3 2 2 2 3 5" xfId="31887"/>
    <cellStyle name="Cálculo 3 2 2 2 4" xfId="4423"/>
    <cellStyle name="Cálculo 3 2 2 2 4 2" xfId="11162"/>
    <cellStyle name="Cálculo 3 2 2 2 4 2 2" xfId="40343"/>
    <cellStyle name="Cálculo 3 2 2 2 4 3" xfId="33606"/>
    <cellStyle name="Cálculo 3 2 2 2 5" xfId="9408"/>
    <cellStyle name="Cálculo 3 2 2 2 5 2" xfId="20013"/>
    <cellStyle name="Cálculo 3 2 2 2 5 2 2" xfId="49194"/>
    <cellStyle name="Cálculo 3 2 2 2 5 3" xfId="38591"/>
    <cellStyle name="Cálculo 3 2 2 2 6" xfId="17734"/>
    <cellStyle name="Cálculo 3 2 2 2 6 2" xfId="46915"/>
    <cellStyle name="Cálculo 3 2 2 2 7" xfId="30063"/>
    <cellStyle name="Cálculo 3 2 2 3" xfId="1058"/>
    <cellStyle name="Cálculo 3 2 2 3 2" xfId="1968"/>
    <cellStyle name="Cálculo 3 2 2 3 2 2" xfId="3768"/>
    <cellStyle name="Cálculo 3 2 2 3 2 2 2" xfId="6711"/>
    <cellStyle name="Cálculo 3 2 2 3 2 2 2 2" xfId="18441"/>
    <cellStyle name="Cálculo 3 2 2 3 2 2 2 2 2" xfId="47622"/>
    <cellStyle name="Cálculo 3 2 2 3 2 2 2 3" xfId="35894"/>
    <cellStyle name="Cálculo 3 2 2 3 2 2 3" xfId="8999"/>
    <cellStyle name="Cálculo 3 2 2 3 2 2 3 2" xfId="19767"/>
    <cellStyle name="Cálculo 3 2 2 3 2 2 3 2 2" xfId="48948"/>
    <cellStyle name="Cálculo 3 2 2 3 2 2 3 3" xfId="38182"/>
    <cellStyle name="Cálculo 3 2 2 3 2 2 4" xfId="10631"/>
    <cellStyle name="Cálculo 3 2 2 3 2 2 4 2" xfId="39812"/>
    <cellStyle name="Cálculo 3 2 2 3 2 2 5" xfId="32951"/>
    <cellStyle name="Cálculo 3 2 2 3 2 3" xfId="5271"/>
    <cellStyle name="Cálculo 3 2 2 3 2 3 2" xfId="12889"/>
    <cellStyle name="Cálculo 3 2 2 3 2 3 2 2" xfId="42070"/>
    <cellStyle name="Cálculo 3 2 2 3 2 3 3" xfId="34454"/>
    <cellStyle name="Cálculo 3 2 2 3 2 4" xfId="7884"/>
    <cellStyle name="Cálculo 3 2 2 3 2 4 2" xfId="19094"/>
    <cellStyle name="Cálculo 3 2 2 3 2 4 2 2" xfId="48275"/>
    <cellStyle name="Cálculo 3 2 2 3 2 4 3" xfId="37067"/>
    <cellStyle name="Cálculo 3 2 2 3 2 5" xfId="14130"/>
    <cellStyle name="Cálculo 3 2 2 3 2 5 2" xfId="43311"/>
    <cellStyle name="Cálculo 3 2 2 3 2 6" xfId="31151"/>
    <cellStyle name="Cálculo 3 2 2 3 3" xfId="2868"/>
    <cellStyle name="Cálculo 3 2 2 3 3 2" xfId="5991"/>
    <cellStyle name="Cálculo 3 2 2 3 3 2 2" xfId="10590"/>
    <cellStyle name="Cálculo 3 2 2 3 3 2 2 2" xfId="39771"/>
    <cellStyle name="Cálculo 3 2 2 3 3 2 3" xfId="35174"/>
    <cellStyle name="Cálculo 3 2 2 3 3 3" xfId="8657"/>
    <cellStyle name="Cálculo 3 2 2 3 3 3 2" xfId="19565"/>
    <cellStyle name="Cálculo 3 2 2 3 3 3 2 2" xfId="48746"/>
    <cellStyle name="Cálculo 3 2 2 3 3 3 3" xfId="37840"/>
    <cellStyle name="Cálculo 3 2 2 3 3 4" xfId="12988"/>
    <cellStyle name="Cálculo 3 2 2 3 3 4 2" xfId="42169"/>
    <cellStyle name="Cálculo 3 2 2 3 3 5" xfId="32051"/>
    <cellStyle name="Cálculo 3 2 2 3 4" xfId="4551"/>
    <cellStyle name="Cálculo 3 2 2 3 4 2" xfId="14068"/>
    <cellStyle name="Cálculo 3 2 2 3 4 2 2" xfId="43249"/>
    <cellStyle name="Cálculo 3 2 2 3 4 3" xfId="33734"/>
    <cellStyle name="Cálculo 3 2 2 3 5" xfId="10111"/>
    <cellStyle name="Cálculo 3 2 2 3 5 2" xfId="20439"/>
    <cellStyle name="Cálculo 3 2 2 3 5 2 2" xfId="49620"/>
    <cellStyle name="Cálculo 3 2 2 3 5 3" xfId="39294"/>
    <cellStyle name="Cálculo 3 2 2 3 6" xfId="11644"/>
    <cellStyle name="Cálculo 3 2 2 3 6 2" xfId="40825"/>
    <cellStyle name="Cálculo 3 2 2 3 7" xfId="30248"/>
    <cellStyle name="Cálculo 3 2 2 4" xfId="1208"/>
    <cellStyle name="Cálculo 3 2 2 4 2" xfId="2112"/>
    <cellStyle name="Cálculo 3 2 2 4 2 2" xfId="3912"/>
    <cellStyle name="Cálculo 3 2 2 4 2 2 2" xfId="6828"/>
    <cellStyle name="Cálculo 3 2 2 4 2 2 2 2" xfId="18495"/>
    <cellStyle name="Cálculo 3 2 2 4 2 2 2 2 2" xfId="47676"/>
    <cellStyle name="Cálculo 3 2 2 4 2 2 2 3" xfId="36011"/>
    <cellStyle name="Cálculo 3 2 2 4 2 2 3" xfId="8185"/>
    <cellStyle name="Cálculo 3 2 2 4 2 2 3 2" xfId="19278"/>
    <cellStyle name="Cálculo 3 2 2 4 2 2 3 2 2" xfId="48459"/>
    <cellStyle name="Cálculo 3 2 2 4 2 2 3 3" xfId="37368"/>
    <cellStyle name="Cálculo 3 2 2 4 2 2 4" xfId="17753"/>
    <cellStyle name="Cálculo 3 2 2 4 2 2 4 2" xfId="46934"/>
    <cellStyle name="Cálculo 3 2 2 4 2 2 5" xfId="33095"/>
    <cellStyle name="Cálculo 3 2 2 4 2 3" xfId="5388"/>
    <cellStyle name="Cálculo 3 2 2 4 2 3 2" xfId="15245"/>
    <cellStyle name="Cálculo 3 2 2 4 2 3 2 2" xfId="44426"/>
    <cellStyle name="Cálculo 3 2 2 4 2 3 3" xfId="34571"/>
    <cellStyle name="Cálculo 3 2 2 4 2 4" xfId="7754"/>
    <cellStyle name="Cálculo 3 2 2 4 2 4 2" xfId="19013"/>
    <cellStyle name="Cálculo 3 2 2 4 2 4 2 2" xfId="48194"/>
    <cellStyle name="Cálculo 3 2 2 4 2 4 3" xfId="36937"/>
    <cellStyle name="Cálculo 3 2 2 4 2 5" xfId="14446"/>
    <cellStyle name="Cálculo 3 2 2 4 2 5 2" xfId="43627"/>
    <cellStyle name="Cálculo 3 2 2 4 2 6" xfId="31295"/>
    <cellStyle name="Cálculo 3 2 2 4 3" xfId="3012"/>
    <cellStyle name="Cálculo 3 2 2 4 3 2" xfId="6108"/>
    <cellStyle name="Cálculo 3 2 2 4 3 2 2" xfId="18135"/>
    <cellStyle name="Cálculo 3 2 2 4 3 2 2 2" xfId="47316"/>
    <cellStyle name="Cálculo 3 2 2 4 3 2 3" xfId="35291"/>
    <cellStyle name="Cálculo 3 2 2 4 3 3" xfId="8554"/>
    <cellStyle name="Cálculo 3 2 2 4 3 3 2" xfId="19507"/>
    <cellStyle name="Cálculo 3 2 2 4 3 3 2 2" xfId="48688"/>
    <cellStyle name="Cálculo 3 2 2 4 3 3 3" xfId="37737"/>
    <cellStyle name="Cálculo 3 2 2 4 3 4" xfId="12868"/>
    <cellStyle name="Cálculo 3 2 2 4 3 4 2" xfId="42049"/>
    <cellStyle name="Cálculo 3 2 2 4 3 5" xfId="32195"/>
    <cellStyle name="Cálculo 3 2 2 4 4" xfId="4668"/>
    <cellStyle name="Cálculo 3 2 2 4 4 2" xfId="17523"/>
    <cellStyle name="Cálculo 3 2 2 4 4 2 2" xfId="46704"/>
    <cellStyle name="Cálculo 3 2 2 4 4 3" xfId="33851"/>
    <cellStyle name="Cálculo 3 2 2 4 5" xfId="8176"/>
    <cellStyle name="Cálculo 3 2 2 4 5 2" xfId="19272"/>
    <cellStyle name="Cálculo 3 2 2 4 5 2 2" xfId="48453"/>
    <cellStyle name="Cálculo 3 2 2 4 5 3" xfId="37359"/>
    <cellStyle name="Cálculo 3 2 2 4 6" xfId="12864"/>
    <cellStyle name="Cálculo 3 2 2 4 6 2" xfId="42045"/>
    <cellStyle name="Cálculo 3 2 2 4 7" xfId="30395"/>
    <cellStyle name="Cálculo 3 2 2 5" xfId="1354"/>
    <cellStyle name="Cálculo 3 2 2 5 2" xfId="2256"/>
    <cellStyle name="Cálculo 3 2 2 5 2 2" xfId="4056"/>
    <cellStyle name="Cálculo 3 2 2 5 2 2 2" xfId="6945"/>
    <cellStyle name="Cálculo 3 2 2 5 2 2 2 2" xfId="18549"/>
    <cellStyle name="Cálculo 3 2 2 5 2 2 2 2 2" xfId="47730"/>
    <cellStyle name="Cálculo 3 2 2 5 2 2 2 3" xfId="36128"/>
    <cellStyle name="Cálculo 3 2 2 5 2 2 3" xfId="7024"/>
    <cellStyle name="Cálculo 3 2 2 5 2 2 3 2" xfId="18591"/>
    <cellStyle name="Cálculo 3 2 2 5 2 2 3 2 2" xfId="47772"/>
    <cellStyle name="Cálculo 3 2 2 5 2 2 3 3" xfId="36207"/>
    <cellStyle name="Cálculo 3 2 2 5 2 2 4" xfId="13509"/>
    <cellStyle name="Cálculo 3 2 2 5 2 2 4 2" xfId="42690"/>
    <cellStyle name="Cálculo 3 2 2 5 2 2 5" xfId="33239"/>
    <cellStyle name="Cálculo 3 2 2 5 2 3" xfId="5505"/>
    <cellStyle name="Cálculo 3 2 2 5 2 3 2" xfId="12254"/>
    <cellStyle name="Cálculo 3 2 2 5 2 3 2 2" xfId="41435"/>
    <cellStyle name="Cálculo 3 2 2 5 2 3 3" xfId="34688"/>
    <cellStyle name="Cálculo 3 2 2 5 2 4" xfId="7669"/>
    <cellStyle name="Cálculo 3 2 2 5 2 4 2" xfId="18961"/>
    <cellStyle name="Cálculo 3 2 2 5 2 4 2 2" xfId="48142"/>
    <cellStyle name="Cálculo 3 2 2 5 2 4 3" xfId="36852"/>
    <cellStyle name="Cálculo 3 2 2 5 2 5" xfId="15411"/>
    <cellStyle name="Cálculo 3 2 2 5 2 5 2" xfId="44592"/>
    <cellStyle name="Cálculo 3 2 2 5 2 6" xfId="31439"/>
    <cellStyle name="Cálculo 3 2 2 5 3" xfId="3156"/>
    <cellStyle name="Cálculo 3 2 2 5 3 2" xfId="6225"/>
    <cellStyle name="Cálculo 3 2 2 5 3 2 2" xfId="18189"/>
    <cellStyle name="Cálculo 3 2 2 5 3 2 2 2" xfId="47370"/>
    <cellStyle name="Cálculo 3 2 2 5 3 2 3" xfId="35408"/>
    <cellStyle name="Cálculo 3 2 2 5 3 3" xfId="7213"/>
    <cellStyle name="Cálculo 3 2 2 5 3 3 2" xfId="18696"/>
    <cellStyle name="Cálculo 3 2 2 5 3 3 2 2" xfId="47877"/>
    <cellStyle name="Cálculo 3 2 2 5 3 3 3" xfId="36396"/>
    <cellStyle name="Cálculo 3 2 2 5 3 4" xfId="11165"/>
    <cellStyle name="Cálculo 3 2 2 5 3 4 2" xfId="40346"/>
    <cellStyle name="Cálculo 3 2 2 5 3 5" xfId="32339"/>
    <cellStyle name="Cálculo 3 2 2 5 4" xfId="4785"/>
    <cellStyle name="Cálculo 3 2 2 5 4 2" xfId="13514"/>
    <cellStyle name="Cálculo 3 2 2 5 4 2 2" xfId="42695"/>
    <cellStyle name="Cálculo 3 2 2 5 4 3" xfId="33968"/>
    <cellStyle name="Cálculo 3 2 2 5 5" xfId="9154"/>
    <cellStyle name="Cálculo 3 2 2 5 5 2" xfId="19861"/>
    <cellStyle name="Cálculo 3 2 2 5 5 2 2" xfId="49042"/>
    <cellStyle name="Cálculo 3 2 2 5 5 3" xfId="38337"/>
    <cellStyle name="Cálculo 3 2 2 5 6" xfId="15883"/>
    <cellStyle name="Cálculo 3 2 2 5 6 2" xfId="45064"/>
    <cellStyle name="Cálculo 3 2 2 5 7" xfId="30539"/>
    <cellStyle name="Cálculo 3 2 2 6" xfId="1536"/>
    <cellStyle name="Cálculo 3 2 2 6 2" xfId="3336"/>
    <cellStyle name="Cálculo 3 2 2 6 2 2" xfId="6369"/>
    <cellStyle name="Cálculo 3 2 2 6 2 2 2" xfId="18261"/>
    <cellStyle name="Cálculo 3 2 2 6 2 2 2 2" xfId="47442"/>
    <cellStyle name="Cálculo 3 2 2 6 2 2 3" xfId="35552"/>
    <cellStyle name="Cálculo 3 2 2 6 2 3" xfId="8769"/>
    <cellStyle name="Cálculo 3 2 2 6 2 3 2" xfId="19631"/>
    <cellStyle name="Cálculo 3 2 2 6 2 3 2 2" xfId="48812"/>
    <cellStyle name="Cálculo 3 2 2 6 2 3 3" xfId="37952"/>
    <cellStyle name="Cálculo 3 2 2 6 2 4" xfId="11199"/>
    <cellStyle name="Cálculo 3 2 2 6 2 4 2" xfId="40380"/>
    <cellStyle name="Cálculo 3 2 2 6 2 5" xfId="32519"/>
    <cellStyle name="Cálculo 3 2 2 6 3" xfId="4929"/>
    <cellStyle name="Cálculo 3 2 2 6 3 2" xfId="12701"/>
    <cellStyle name="Cálculo 3 2 2 6 3 2 2" xfId="41882"/>
    <cellStyle name="Cálculo 3 2 2 6 3 3" xfId="34112"/>
    <cellStyle name="Cálculo 3 2 2 6 4" xfId="8328"/>
    <cellStyle name="Cálculo 3 2 2 6 4 2" xfId="19363"/>
    <cellStyle name="Cálculo 3 2 2 6 4 2 2" xfId="48544"/>
    <cellStyle name="Cálculo 3 2 2 6 4 3" xfId="37511"/>
    <cellStyle name="Cálculo 3 2 2 6 5" xfId="11461"/>
    <cellStyle name="Cálculo 3 2 2 6 5 2" xfId="40642"/>
    <cellStyle name="Cálculo 3 2 2 6 6" xfId="30719"/>
    <cellStyle name="Cálculo 3 2 2 7" xfId="2436"/>
    <cellStyle name="Cálculo 3 2 2 7 2" xfId="5649"/>
    <cellStyle name="Cálculo 3 2 2 7 2 2" xfId="15643"/>
    <cellStyle name="Cálculo 3 2 2 7 2 2 2" xfId="44824"/>
    <cellStyle name="Cálculo 3 2 2 7 2 3" xfId="34832"/>
    <cellStyle name="Cálculo 3 2 2 7 3" xfId="9857"/>
    <cellStyle name="Cálculo 3 2 2 7 3 2" xfId="20284"/>
    <cellStyle name="Cálculo 3 2 2 7 3 2 2" xfId="49465"/>
    <cellStyle name="Cálculo 3 2 2 7 3 3" xfId="39040"/>
    <cellStyle name="Cálculo 3 2 2 7 4" xfId="15354"/>
    <cellStyle name="Cálculo 3 2 2 7 4 2" xfId="44535"/>
    <cellStyle name="Cálculo 3 2 2 7 5" xfId="31619"/>
    <cellStyle name="Cálculo 3 2 2 8" xfId="4209"/>
    <cellStyle name="Cálculo 3 2 2 8 2" xfId="13903"/>
    <cellStyle name="Cálculo 3 2 2 8 2 2" xfId="43084"/>
    <cellStyle name="Cálculo 3 2 2 8 3" xfId="33392"/>
    <cellStyle name="Cálculo 3 2 2 9" xfId="7938"/>
    <cellStyle name="Cálculo 3 2 2 9 2" xfId="19123"/>
    <cellStyle name="Cálculo 3 2 2 9 2 2" xfId="48304"/>
    <cellStyle name="Cálculo 3 2 2 9 3" xfId="37121"/>
    <cellStyle name="Cálculo 3 2 3" xfId="776"/>
    <cellStyle name="Cálculo 3 2 3 2" xfId="1714"/>
    <cellStyle name="Cálculo 3 2 3 2 2" xfId="3514"/>
    <cellStyle name="Cálculo 3 2 3 2 2 2" xfId="6511"/>
    <cellStyle name="Cálculo 3 2 3 2 2 2 2" xfId="18351"/>
    <cellStyle name="Cálculo 3 2 3 2 2 2 2 2" xfId="47532"/>
    <cellStyle name="Cálculo 3 2 3 2 2 2 3" xfId="35694"/>
    <cellStyle name="Cálculo 3 2 3 2 2 3" xfId="10380"/>
    <cellStyle name="Cálculo 3 2 3 2 2 3 2" xfId="20602"/>
    <cellStyle name="Cálculo 3 2 3 2 2 3 2 2" xfId="49783"/>
    <cellStyle name="Cálculo 3 2 3 2 2 3 3" xfId="39563"/>
    <cellStyle name="Cálculo 3 2 3 2 2 4" xfId="12877"/>
    <cellStyle name="Cálculo 3 2 3 2 2 4 2" xfId="42058"/>
    <cellStyle name="Cálculo 3 2 3 2 2 5" xfId="32697"/>
    <cellStyle name="Cálculo 3 2 3 2 3" xfId="5071"/>
    <cellStyle name="Cálculo 3 2 3 2 3 2" xfId="13696"/>
    <cellStyle name="Cálculo 3 2 3 2 3 2 2" xfId="42877"/>
    <cellStyle name="Cálculo 3 2 3 2 3 3" xfId="34254"/>
    <cellStyle name="Cálculo 3 2 3 2 4" xfId="9060"/>
    <cellStyle name="Cálculo 3 2 3 2 4 2" xfId="19800"/>
    <cellStyle name="Cálculo 3 2 3 2 4 2 2" xfId="48981"/>
    <cellStyle name="Cálculo 3 2 3 2 4 3" xfId="38243"/>
    <cellStyle name="Cálculo 3 2 3 2 5" xfId="14797"/>
    <cellStyle name="Cálculo 3 2 3 2 5 2" xfId="43978"/>
    <cellStyle name="Cálculo 3 2 3 2 6" xfId="30897"/>
    <cellStyle name="Cálculo 3 2 3 3" xfId="2614"/>
    <cellStyle name="Cálculo 3 2 3 3 2" xfId="5791"/>
    <cellStyle name="Cálculo 3 2 3 3 2 2" xfId="12466"/>
    <cellStyle name="Cálculo 3 2 3 3 2 2 2" xfId="41647"/>
    <cellStyle name="Cálculo 3 2 3 3 2 3" xfId="34974"/>
    <cellStyle name="Cálculo 3 2 3 3 3" xfId="7423"/>
    <cellStyle name="Cálculo 3 2 3 3 3 2" xfId="18807"/>
    <cellStyle name="Cálculo 3 2 3 3 3 2 2" xfId="47988"/>
    <cellStyle name="Cálculo 3 2 3 3 3 3" xfId="36606"/>
    <cellStyle name="Cálculo 3 2 3 3 4" xfId="14260"/>
    <cellStyle name="Cálculo 3 2 3 3 4 2" xfId="43441"/>
    <cellStyle name="Cálculo 3 2 3 3 5" xfId="31797"/>
    <cellStyle name="Cálculo 3 2 3 4" xfId="4351"/>
    <cellStyle name="Cálculo 3 2 3 4 2" xfId="11932"/>
    <cellStyle name="Cálculo 3 2 3 4 2 2" xfId="41113"/>
    <cellStyle name="Cálculo 3 2 3 4 3" xfId="33534"/>
    <cellStyle name="Cálculo 3 2 3 5" xfId="7333"/>
    <cellStyle name="Cálculo 3 2 3 5 2" xfId="18763"/>
    <cellStyle name="Cálculo 3 2 3 5 2 2" xfId="47944"/>
    <cellStyle name="Cálculo 3 2 3 5 3" xfId="36516"/>
    <cellStyle name="Cálculo 3 2 3 6" xfId="17009"/>
    <cellStyle name="Cálculo 3 2 3 6 2" xfId="46190"/>
    <cellStyle name="Cálculo 3 2 3 7" xfId="29973"/>
    <cellStyle name="Cálculo 3 2 4" xfId="968"/>
    <cellStyle name="Cálculo 3 2 4 2" xfId="1878"/>
    <cellStyle name="Cálculo 3 2 4 2 2" xfId="3678"/>
    <cellStyle name="Cálculo 3 2 4 2 2 2" xfId="6639"/>
    <cellStyle name="Cálculo 3 2 4 2 2 2 2" xfId="18405"/>
    <cellStyle name="Cálculo 3 2 4 2 2 2 2 2" xfId="47586"/>
    <cellStyle name="Cálculo 3 2 4 2 2 2 3" xfId="35822"/>
    <cellStyle name="Cálculo 3 2 4 2 2 3" xfId="10261"/>
    <cellStyle name="Cálculo 3 2 4 2 2 3 2" xfId="20525"/>
    <cellStyle name="Cálculo 3 2 4 2 2 3 2 2" xfId="49706"/>
    <cellStyle name="Cálculo 3 2 4 2 2 3 3" xfId="39444"/>
    <cellStyle name="Cálculo 3 2 4 2 2 4" xfId="15498"/>
    <cellStyle name="Cálculo 3 2 4 2 2 4 2" xfId="44679"/>
    <cellStyle name="Cálculo 3 2 4 2 2 5" xfId="32861"/>
    <cellStyle name="Cálculo 3 2 4 2 3" xfId="5199"/>
    <cellStyle name="Cálculo 3 2 4 2 3 2" xfId="11224"/>
    <cellStyle name="Cálculo 3 2 4 2 3 2 2" xfId="40405"/>
    <cellStyle name="Cálculo 3 2 4 2 3 3" xfId="34382"/>
    <cellStyle name="Cálculo 3 2 4 2 4" xfId="10439"/>
    <cellStyle name="Cálculo 3 2 4 2 4 2" xfId="20639"/>
    <cellStyle name="Cálculo 3 2 4 2 4 2 2" xfId="49820"/>
    <cellStyle name="Cálculo 3 2 4 2 4 3" xfId="39622"/>
    <cellStyle name="Cálculo 3 2 4 2 5" xfId="11410"/>
    <cellStyle name="Cálculo 3 2 4 2 5 2" xfId="40591"/>
    <cellStyle name="Cálculo 3 2 4 2 6" xfId="31061"/>
    <cellStyle name="Cálculo 3 2 4 3" xfId="2778"/>
    <cellStyle name="Cálculo 3 2 4 3 2" xfId="5919"/>
    <cellStyle name="Cálculo 3 2 4 3 2 2" xfId="17435"/>
    <cellStyle name="Cálculo 3 2 4 3 2 2 2" xfId="46616"/>
    <cellStyle name="Cálculo 3 2 4 3 2 3" xfId="35102"/>
    <cellStyle name="Cálculo 3 2 4 3 3" xfId="9662"/>
    <cellStyle name="Cálculo 3 2 4 3 3 2" xfId="20166"/>
    <cellStyle name="Cálculo 3 2 4 3 3 2 2" xfId="49347"/>
    <cellStyle name="Cálculo 3 2 4 3 3 3" xfId="38845"/>
    <cellStyle name="Cálculo 3 2 4 3 4" xfId="17484"/>
    <cellStyle name="Cálculo 3 2 4 3 4 2" xfId="46665"/>
    <cellStyle name="Cálculo 3 2 4 3 5" xfId="31961"/>
    <cellStyle name="Cálculo 3 2 4 4" xfId="4479"/>
    <cellStyle name="Cálculo 3 2 4 4 2" xfId="15405"/>
    <cellStyle name="Cálculo 3 2 4 4 2 2" xfId="44586"/>
    <cellStyle name="Cálculo 3 2 4 4 3" xfId="33662"/>
    <cellStyle name="Cálculo 3 2 4 5" xfId="8179"/>
    <cellStyle name="Cálculo 3 2 4 5 2" xfId="19274"/>
    <cellStyle name="Cálculo 3 2 4 5 2 2" xfId="48455"/>
    <cellStyle name="Cálculo 3 2 4 5 3" xfId="37362"/>
    <cellStyle name="Cálculo 3 2 4 6" xfId="16625"/>
    <cellStyle name="Cálculo 3 2 4 6 2" xfId="45806"/>
    <cellStyle name="Cálculo 3 2 4 7" xfId="30158"/>
    <cellStyle name="Cálculo 3 2 5" xfId="1118"/>
    <cellStyle name="Cálculo 3 2 5 2" xfId="2022"/>
    <cellStyle name="Cálculo 3 2 5 2 2" xfId="3822"/>
    <cellStyle name="Cálculo 3 2 5 2 2 2" xfId="6756"/>
    <cellStyle name="Cálculo 3 2 5 2 2 2 2" xfId="18459"/>
    <cellStyle name="Cálculo 3 2 5 2 2 2 2 2" xfId="47640"/>
    <cellStyle name="Cálculo 3 2 5 2 2 2 3" xfId="35939"/>
    <cellStyle name="Cálculo 3 2 5 2 2 3" xfId="9277"/>
    <cellStyle name="Cálculo 3 2 5 2 2 3 2" xfId="19935"/>
    <cellStyle name="Cálculo 3 2 5 2 2 3 2 2" xfId="49116"/>
    <cellStyle name="Cálculo 3 2 5 2 2 3 3" xfId="38460"/>
    <cellStyle name="Cálculo 3 2 5 2 2 4" xfId="14060"/>
    <cellStyle name="Cálculo 3 2 5 2 2 4 2" xfId="43241"/>
    <cellStyle name="Cálculo 3 2 5 2 2 5" xfId="33005"/>
    <cellStyle name="Cálculo 3 2 5 2 3" xfId="5316"/>
    <cellStyle name="Cálculo 3 2 5 2 3 2" xfId="17813"/>
    <cellStyle name="Cálculo 3 2 5 2 3 2 2" xfId="46994"/>
    <cellStyle name="Cálculo 3 2 5 2 3 3" xfId="34499"/>
    <cellStyle name="Cálculo 3 2 5 2 4" xfId="10356"/>
    <cellStyle name="Cálculo 3 2 5 2 4 2" xfId="20587"/>
    <cellStyle name="Cálculo 3 2 5 2 4 2 2" xfId="49768"/>
    <cellStyle name="Cálculo 3 2 5 2 4 3" xfId="39539"/>
    <cellStyle name="Cálculo 3 2 5 2 5" xfId="13630"/>
    <cellStyle name="Cálculo 3 2 5 2 5 2" xfId="42811"/>
    <cellStyle name="Cálculo 3 2 5 2 6" xfId="31205"/>
    <cellStyle name="Cálculo 3 2 5 3" xfId="2922"/>
    <cellStyle name="Cálculo 3 2 5 3 2" xfId="6036"/>
    <cellStyle name="Cálculo 3 2 5 3 2 2" xfId="10572"/>
    <cellStyle name="Cálculo 3 2 5 3 2 2 2" xfId="39753"/>
    <cellStyle name="Cálculo 3 2 5 3 2 3" xfId="35219"/>
    <cellStyle name="Cálculo 3 2 5 3 3" xfId="9579"/>
    <cellStyle name="Cálculo 3 2 5 3 3 2" xfId="20116"/>
    <cellStyle name="Cálculo 3 2 5 3 3 2 2" xfId="49297"/>
    <cellStyle name="Cálculo 3 2 5 3 3 3" xfId="38762"/>
    <cellStyle name="Cálculo 3 2 5 3 4" xfId="12319"/>
    <cellStyle name="Cálculo 3 2 5 3 4 2" xfId="41500"/>
    <cellStyle name="Cálculo 3 2 5 3 5" xfId="32105"/>
    <cellStyle name="Cálculo 3 2 5 4" xfId="4596"/>
    <cellStyle name="Cálculo 3 2 5 4 2" xfId="12470"/>
    <cellStyle name="Cálculo 3 2 5 4 2 2" xfId="41651"/>
    <cellStyle name="Cálculo 3 2 5 4 3" xfId="33779"/>
    <cellStyle name="Cálculo 3 2 5 5" xfId="9250"/>
    <cellStyle name="Cálculo 3 2 5 5 2" xfId="19922"/>
    <cellStyle name="Cálculo 3 2 5 5 2 2" xfId="49103"/>
    <cellStyle name="Cálculo 3 2 5 5 3" xfId="38433"/>
    <cellStyle name="Cálculo 3 2 5 6" xfId="16413"/>
    <cellStyle name="Cálculo 3 2 5 6 2" xfId="45594"/>
    <cellStyle name="Cálculo 3 2 5 7" xfId="30305"/>
    <cellStyle name="Cálculo 3 2 6" xfId="1264"/>
    <cellStyle name="Cálculo 3 2 6 2" xfId="2166"/>
    <cellStyle name="Cálculo 3 2 6 2 2" xfId="3966"/>
    <cellStyle name="Cálculo 3 2 6 2 2 2" xfId="6873"/>
    <cellStyle name="Cálculo 3 2 6 2 2 2 2" xfId="18513"/>
    <cellStyle name="Cálculo 3 2 6 2 2 2 2 2" xfId="47694"/>
    <cellStyle name="Cálculo 3 2 6 2 2 2 3" xfId="36056"/>
    <cellStyle name="Cálculo 3 2 6 2 2 3" xfId="7114"/>
    <cellStyle name="Cálculo 3 2 6 2 2 3 2" xfId="18645"/>
    <cellStyle name="Cálculo 3 2 6 2 2 3 2 2" xfId="47826"/>
    <cellStyle name="Cálculo 3 2 6 2 2 3 3" xfId="36297"/>
    <cellStyle name="Cálculo 3 2 6 2 2 4" xfId="15132"/>
    <cellStyle name="Cálculo 3 2 6 2 2 4 2" xfId="44313"/>
    <cellStyle name="Cálculo 3 2 6 2 2 5" xfId="33149"/>
    <cellStyle name="Cálculo 3 2 6 2 3" xfId="5433"/>
    <cellStyle name="Cálculo 3 2 6 2 3 2" xfId="14282"/>
    <cellStyle name="Cálculo 3 2 6 2 3 2 2" xfId="43463"/>
    <cellStyle name="Cálculo 3 2 6 2 3 3" xfId="34616"/>
    <cellStyle name="Cálculo 3 2 6 2 4" xfId="9164"/>
    <cellStyle name="Cálculo 3 2 6 2 4 2" xfId="19867"/>
    <cellStyle name="Cálculo 3 2 6 2 4 2 2" xfId="49048"/>
    <cellStyle name="Cálculo 3 2 6 2 4 3" xfId="38347"/>
    <cellStyle name="Cálculo 3 2 6 2 5" xfId="13858"/>
    <cellStyle name="Cálculo 3 2 6 2 5 2" xfId="43039"/>
    <cellStyle name="Cálculo 3 2 6 2 6" xfId="31349"/>
    <cellStyle name="Cálculo 3 2 6 3" xfId="3066"/>
    <cellStyle name="Cálculo 3 2 6 3 2" xfId="6153"/>
    <cellStyle name="Cálculo 3 2 6 3 2 2" xfId="18153"/>
    <cellStyle name="Cálculo 3 2 6 3 2 2 2" xfId="47334"/>
    <cellStyle name="Cálculo 3 2 6 3 2 3" xfId="35336"/>
    <cellStyle name="Cálculo 3 2 6 3 3" xfId="7595"/>
    <cellStyle name="Cálculo 3 2 6 3 3 2" xfId="18917"/>
    <cellStyle name="Cálculo 3 2 6 3 3 2 2" xfId="48098"/>
    <cellStyle name="Cálculo 3 2 6 3 3 3" xfId="36778"/>
    <cellStyle name="Cálculo 3 2 6 3 4" xfId="12673"/>
    <cellStyle name="Cálculo 3 2 6 3 4 2" xfId="41854"/>
    <cellStyle name="Cálculo 3 2 6 3 5" xfId="32249"/>
    <cellStyle name="Cálculo 3 2 6 4" xfId="4713"/>
    <cellStyle name="Cálculo 3 2 6 4 2" xfId="14846"/>
    <cellStyle name="Cálculo 3 2 6 4 2 2" xfId="44027"/>
    <cellStyle name="Cálculo 3 2 6 4 3" xfId="33896"/>
    <cellStyle name="Cálculo 3 2 6 5" xfId="9794"/>
    <cellStyle name="Cálculo 3 2 6 5 2" xfId="20242"/>
    <cellStyle name="Cálculo 3 2 6 5 2 2" xfId="49423"/>
    <cellStyle name="Cálculo 3 2 6 5 3" xfId="38977"/>
    <cellStyle name="Cálculo 3 2 6 6" xfId="12774"/>
    <cellStyle name="Cálculo 3 2 6 6 2" xfId="41955"/>
    <cellStyle name="Cálculo 3 2 6 7" xfId="30449"/>
    <cellStyle name="Cálculo 3 2 7" xfId="1446"/>
    <cellStyle name="Cálculo 3 2 7 2" xfId="3246"/>
    <cellStyle name="Cálculo 3 2 7 2 2" xfId="6297"/>
    <cellStyle name="Cálculo 3 2 7 2 2 2" xfId="18225"/>
    <cellStyle name="Cálculo 3 2 7 2 2 2 2" xfId="47406"/>
    <cellStyle name="Cálculo 3 2 7 2 2 3" xfId="35480"/>
    <cellStyle name="Cálculo 3 2 7 2 3" xfId="7416"/>
    <cellStyle name="Cálculo 3 2 7 2 3 2" xfId="18804"/>
    <cellStyle name="Cálculo 3 2 7 2 3 2 2" xfId="47985"/>
    <cellStyle name="Cálculo 3 2 7 2 3 3" xfId="36599"/>
    <cellStyle name="Cálculo 3 2 7 2 4" xfId="12232"/>
    <cellStyle name="Cálculo 3 2 7 2 4 2" xfId="41413"/>
    <cellStyle name="Cálculo 3 2 7 2 5" xfId="32429"/>
    <cellStyle name="Cálculo 3 2 7 3" xfId="4857"/>
    <cellStyle name="Cálculo 3 2 7 3 2" xfId="15819"/>
    <cellStyle name="Cálculo 3 2 7 3 2 2" xfId="45000"/>
    <cellStyle name="Cálculo 3 2 7 3 3" xfId="34040"/>
    <cellStyle name="Cálculo 3 2 7 4" xfId="10483"/>
    <cellStyle name="Cálculo 3 2 7 4 2" xfId="20666"/>
    <cellStyle name="Cálculo 3 2 7 4 2 2" xfId="49847"/>
    <cellStyle name="Cálculo 3 2 7 4 3" xfId="39666"/>
    <cellStyle name="Cálculo 3 2 7 5" xfId="13079"/>
    <cellStyle name="Cálculo 3 2 7 5 2" xfId="42260"/>
    <cellStyle name="Cálculo 3 2 7 6" xfId="30629"/>
    <cellStyle name="Cálculo 3 2 8" xfId="2346"/>
    <cellStyle name="Cálculo 3 2 8 2" xfId="5577"/>
    <cellStyle name="Cálculo 3 2 8 2 2" xfId="17554"/>
    <cellStyle name="Cálculo 3 2 8 2 2 2" xfId="46735"/>
    <cellStyle name="Cálculo 3 2 8 2 3" xfId="34760"/>
    <cellStyle name="Cálculo 3 2 8 3" xfId="7524"/>
    <cellStyle name="Cálculo 3 2 8 3 2" xfId="18869"/>
    <cellStyle name="Cálculo 3 2 8 3 2 2" xfId="48050"/>
    <cellStyle name="Cálculo 3 2 8 3 3" xfId="36707"/>
    <cellStyle name="Cálculo 3 2 8 4" xfId="13883"/>
    <cellStyle name="Cálculo 3 2 8 4 2" xfId="43064"/>
    <cellStyle name="Cálculo 3 2 8 5" xfId="31529"/>
    <cellStyle name="Cálculo 3 2 9" xfId="4137"/>
    <cellStyle name="Cálculo 3 2 9 2" xfId="11050"/>
    <cellStyle name="Cálculo 3 2 9 2 2" xfId="40231"/>
    <cellStyle name="Cálculo 3 2 9 3" xfId="33320"/>
    <cellStyle name="Cálculo 3 3" xfId="468"/>
    <cellStyle name="Cálculo 3 3 10" xfId="16580"/>
    <cellStyle name="Cálculo 3 3 10 2" xfId="45761"/>
    <cellStyle name="Cálculo 3 3 11" xfId="29674"/>
    <cellStyle name="Cálculo 3 3 2" xfId="821"/>
    <cellStyle name="Cálculo 3 3 2 2" xfId="1759"/>
    <cellStyle name="Cálculo 3 3 2 2 2" xfId="3559"/>
    <cellStyle name="Cálculo 3 3 2 2 2 2" xfId="6547"/>
    <cellStyle name="Cálculo 3 3 2 2 2 2 2" xfId="18369"/>
    <cellStyle name="Cálculo 3 3 2 2 2 2 2 2" xfId="47550"/>
    <cellStyle name="Cálculo 3 3 2 2 2 2 3" xfId="35730"/>
    <cellStyle name="Cálculo 3 3 2 2 2 3" xfId="10223"/>
    <cellStyle name="Cálculo 3 3 2 2 2 3 2" xfId="20503"/>
    <cellStyle name="Cálculo 3 3 2 2 2 3 2 2" xfId="49684"/>
    <cellStyle name="Cálculo 3 3 2 2 2 3 3" xfId="39406"/>
    <cellStyle name="Cálculo 3 3 2 2 2 4" xfId="17450"/>
    <cellStyle name="Cálculo 3 3 2 2 2 4 2" xfId="46631"/>
    <cellStyle name="Cálculo 3 3 2 2 2 5" xfId="32742"/>
    <cellStyle name="Cálculo 3 3 2 2 3" xfId="5107"/>
    <cellStyle name="Cálculo 3 3 2 2 3 2" xfId="17181"/>
    <cellStyle name="Cálculo 3 3 2 2 3 2 2" xfId="46362"/>
    <cellStyle name="Cálculo 3 3 2 2 3 3" xfId="34290"/>
    <cellStyle name="Cálculo 3 3 2 2 4" xfId="10164"/>
    <cellStyle name="Cálculo 3 3 2 2 4 2" xfId="20469"/>
    <cellStyle name="Cálculo 3 3 2 2 4 2 2" xfId="49650"/>
    <cellStyle name="Cálculo 3 3 2 2 4 3" xfId="39347"/>
    <cellStyle name="Cálculo 3 3 2 2 5" xfId="13821"/>
    <cellStyle name="Cálculo 3 3 2 2 5 2" xfId="43002"/>
    <cellStyle name="Cálculo 3 3 2 2 6" xfId="30942"/>
    <cellStyle name="Cálculo 3 3 2 3" xfId="2659"/>
    <cellStyle name="Cálculo 3 3 2 3 2" xfId="5827"/>
    <cellStyle name="Cálculo 3 3 2 3 2 2" xfId="16670"/>
    <cellStyle name="Cálculo 3 3 2 3 2 2 2" xfId="45851"/>
    <cellStyle name="Cálculo 3 3 2 3 2 3" xfId="35010"/>
    <cellStyle name="Cálculo 3 3 2 3 3" xfId="9168"/>
    <cellStyle name="Cálculo 3 3 2 3 3 2" xfId="19869"/>
    <cellStyle name="Cálculo 3 3 2 3 3 2 2" xfId="49050"/>
    <cellStyle name="Cálculo 3 3 2 3 3 3" xfId="38351"/>
    <cellStyle name="Cálculo 3 3 2 3 4" xfId="12543"/>
    <cellStyle name="Cálculo 3 3 2 3 4 2" xfId="41724"/>
    <cellStyle name="Cálculo 3 3 2 3 5" xfId="31842"/>
    <cellStyle name="Cálculo 3 3 2 4" xfId="4387"/>
    <cellStyle name="Cálculo 3 3 2 4 2" xfId="11494"/>
    <cellStyle name="Cálculo 3 3 2 4 2 2" xfId="40675"/>
    <cellStyle name="Cálculo 3 3 2 4 3" xfId="33570"/>
    <cellStyle name="Cálculo 3 3 2 5" xfId="7443"/>
    <cellStyle name="Cálculo 3 3 2 5 2" xfId="18820"/>
    <cellStyle name="Cálculo 3 3 2 5 2 2" xfId="48001"/>
    <cellStyle name="Cálculo 3 3 2 5 3" xfId="36626"/>
    <cellStyle name="Cálculo 3 3 2 6" xfId="16250"/>
    <cellStyle name="Cálculo 3 3 2 6 2" xfId="45431"/>
    <cellStyle name="Cálculo 3 3 2 7" xfId="30018"/>
    <cellStyle name="Cálculo 3 3 3" xfId="1013"/>
    <cellStyle name="Cálculo 3 3 3 2" xfId="1923"/>
    <cellStyle name="Cálculo 3 3 3 2 2" xfId="3723"/>
    <cellStyle name="Cálculo 3 3 3 2 2 2" xfId="6675"/>
    <cellStyle name="Cálculo 3 3 3 2 2 2 2" xfId="18423"/>
    <cellStyle name="Cálculo 3 3 3 2 2 2 2 2" xfId="47604"/>
    <cellStyle name="Cálculo 3 3 3 2 2 2 3" xfId="35858"/>
    <cellStyle name="Cálculo 3 3 3 2 2 3" xfId="10081"/>
    <cellStyle name="Cálculo 3 3 3 2 2 3 2" xfId="20423"/>
    <cellStyle name="Cálculo 3 3 3 2 2 3 2 2" xfId="49604"/>
    <cellStyle name="Cálculo 3 3 3 2 2 3 3" xfId="39264"/>
    <cellStyle name="Cálculo 3 3 3 2 2 4" xfId="10658"/>
    <cellStyle name="Cálculo 3 3 3 2 2 4 2" xfId="39839"/>
    <cellStyle name="Cálculo 3 3 3 2 2 5" xfId="32906"/>
    <cellStyle name="Cálculo 3 3 3 2 3" xfId="5235"/>
    <cellStyle name="Cálculo 3 3 3 2 3 2" xfId="12901"/>
    <cellStyle name="Cálculo 3 3 3 2 3 2 2" xfId="42082"/>
    <cellStyle name="Cálculo 3 3 3 2 3 3" xfId="34418"/>
    <cellStyle name="Cálculo 3 3 3 2 4" xfId="10024"/>
    <cellStyle name="Cálculo 3 3 3 2 4 2" xfId="20388"/>
    <cellStyle name="Cálculo 3 3 3 2 4 2 2" xfId="49569"/>
    <cellStyle name="Cálculo 3 3 3 2 4 3" xfId="39207"/>
    <cellStyle name="Cálculo 3 3 3 2 5" xfId="15086"/>
    <cellStyle name="Cálculo 3 3 3 2 5 2" xfId="44267"/>
    <cellStyle name="Cálculo 3 3 3 2 6" xfId="31106"/>
    <cellStyle name="Cálculo 3 3 3 3" xfId="2823"/>
    <cellStyle name="Cálculo 3 3 3 3 2" xfId="5955"/>
    <cellStyle name="Cálculo 3 3 3 3 2 2" xfId="10608"/>
    <cellStyle name="Cálculo 3 3 3 3 2 2 2" xfId="39789"/>
    <cellStyle name="Cálculo 3 3 3 3 2 3" xfId="35138"/>
    <cellStyle name="Cálculo 3 3 3 3 3" xfId="9231"/>
    <cellStyle name="Cálculo 3 3 3 3 3 2" xfId="19910"/>
    <cellStyle name="Cálculo 3 3 3 3 3 2 2" xfId="49091"/>
    <cellStyle name="Cálculo 3 3 3 3 3 3" xfId="38414"/>
    <cellStyle name="Cálculo 3 3 3 3 4" xfId="16704"/>
    <cellStyle name="Cálculo 3 3 3 3 4 2" xfId="45885"/>
    <cellStyle name="Cálculo 3 3 3 3 5" xfId="32006"/>
    <cellStyle name="Cálculo 3 3 3 4" xfId="4515"/>
    <cellStyle name="Cálculo 3 3 3 4 2" xfId="14055"/>
    <cellStyle name="Cálculo 3 3 3 4 2 2" xfId="43236"/>
    <cellStyle name="Cálculo 3 3 3 4 3" xfId="33698"/>
    <cellStyle name="Cálculo 3 3 3 5" xfId="10291"/>
    <cellStyle name="Cálculo 3 3 3 5 2" xfId="20544"/>
    <cellStyle name="Cálculo 3 3 3 5 2 2" xfId="49725"/>
    <cellStyle name="Cálculo 3 3 3 5 3" xfId="39474"/>
    <cellStyle name="Cálculo 3 3 3 6" xfId="12393"/>
    <cellStyle name="Cálculo 3 3 3 6 2" xfId="41574"/>
    <cellStyle name="Cálculo 3 3 3 7" xfId="30203"/>
    <cellStyle name="Cálculo 3 3 4" xfId="1163"/>
    <cellStyle name="Cálculo 3 3 4 2" xfId="2067"/>
    <cellStyle name="Cálculo 3 3 4 2 2" xfId="3867"/>
    <cellStyle name="Cálculo 3 3 4 2 2 2" xfId="6792"/>
    <cellStyle name="Cálculo 3 3 4 2 2 2 2" xfId="18477"/>
    <cellStyle name="Cálculo 3 3 4 2 2 2 2 2" xfId="47658"/>
    <cellStyle name="Cálculo 3 3 4 2 2 2 3" xfId="35975"/>
    <cellStyle name="Cálculo 3 3 4 2 2 3" xfId="9074"/>
    <cellStyle name="Cálculo 3 3 4 2 2 3 2" xfId="19811"/>
    <cellStyle name="Cálculo 3 3 4 2 2 3 2 2" xfId="48992"/>
    <cellStyle name="Cálculo 3 3 4 2 2 3 3" xfId="38257"/>
    <cellStyle name="Cálculo 3 3 4 2 2 4" xfId="12572"/>
    <cellStyle name="Cálculo 3 3 4 2 2 4 2" xfId="41753"/>
    <cellStyle name="Cálculo 3 3 4 2 2 5" xfId="33050"/>
    <cellStyle name="Cálculo 3 3 4 2 3" xfId="5352"/>
    <cellStyle name="Cálculo 3 3 4 2 3 2" xfId="15532"/>
    <cellStyle name="Cálculo 3 3 4 2 3 2 2" xfId="44713"/>
    <cellStyle name="Cálculo 3 3 4 2 3 3" xfId="34535"/>
    <cellStyle name="Cálculo 3 3 4 2 4" xfId="7960"/>
    <cellStyle name="Cálculo 3 3 4 2 4 2" xfId="19138"/>
    <cellStyle name="Cálculo 3 3 4 2 4 2 2" xfId="48319"/>
    <cellStyle name="Cálculo 3 3 4 2 4 3" xfId="37143"/>
    <cellStyle name="Cálculo 3 3 4 2 5" xfId="15213"/>
    <cellStyle name="Cálculo 3 3 4 2 5 2" xfId="44394"/>
    <cellStyle name="Cálculo 3 3 4 2 6" xfId="31250"/>
    <cellStyle name="Cálculo 3 3 4 3" xfId="2967"/>
    <cellStyle name="Cálculo 3 3 4 3 2" xfId="6072"/>
    <cellStyle name="Cálculo 3 3 4 3 2 2" xfId="10554"/>
    <cellStyle name="Cálculo 3 3 4 3 2 2 2" xfId="39735"/>
    <cellStyle name="Cálculo 3 3 4 3 2 3" xfId="35255"/>
    <cellStyle name="Cálculo 3 3 4 3 3" xfId="8733"/>
    <cellStyle name="Cálculo 3 3 4 3 3 2" xfId="19608"/>
    <cellStyle name="Cálculo 3 3 4 3 3 2 2" xfId="48789"/>
    <cellStyle name="Cálculo 3 3 4 3 3 3" xfId="37916"/>
    <cellStyle name="Cálculo 3 3 4 3 4" xfId="18112"/>
    <cellStyle name="Cálculo 3 3 4 3 4 2" xfId="47293"/>
    <cellStyle name="Cálculo 3 3 4 3 5" xfId="32150"/>
    <cellStyle name="Cálculo 3 3 4 4" xfId="4632"/>
    <cellStyle name="Cálculo 3 3 4 4 2" xfId="15981"/>
    <cellStyle name="Cálculo 3 3 4 4 2 2" xfId="45162"/>
    <cellStyle name="Cálculo 3 3 4 4 3" xfId="33815"/>
    <cellStyle name="Cálculo 3 3 4 5" xfId="8372"/>
    <cellStyle name="Cálculo 3 3 4 5 2" xfId="19391"/>
    <cellStyle name="Cálculo 3 3 4 5 2 2" xfId="48572"/>
    <cellStyle name="Cálculo 3 3 4 5 3" xfId="37555"/>
    <cellStyle name="Cálculo 3 3 4 6" xfId="17950"/>
    <cellStyle name="Cálculo 3 3 4 6 2" xfId="47131"/>
    <cellStyle name="Cálculo 3 3 4 7" xfId="30350"/>
    <cellStyle name="Cálculo 3 3 5" xfId="1309"/>
    <cellStyle name="Cálculo 3 3 5 2" xfId="2211"/>
    <cellStyle name="Cálculo 3 3 5 2 2" xfId="4011"/>
    <cellStyle name="Cálculo 3 3 5 2 2 2" xfId="6909"/>
    <cellStyle name="Cálculo 3 3 5 2 2 2 2" xfId="18531"/>
    <cellStyle name="Cálculo 3 3 5 2 2 2 2 2" xfId="47712"/>
    <cellStyle name="Cálculo 3 3 5 2 2 2 3" xfId="36092"/>
    <cellStyle name="Cálculo 3 3 5 2 2 3" xfId="7069"/>
    <cellStyle name="Cálculo 3 3 5 2 2 3 2" xfId="18618"/>
    <cellStyle name="Cálculo 3 3 5 2 2 3 2 2" xfId="47799"/>
    <cellStyle name="Cálculo 3 3 5 2 2 3 3" xfId="36252"/>
    <cellStyle name="Cálculo 3 3 5 2 2 4" xfId="14181"/>
    <cellStyle name="Cálculo 3 3 5 2 2 4 2" xfId="43362"/>
    <cellStyle name="Cálculo 3 3 5 2 2 5" xfId="33194"/>
    <cellStyle name="Cálculo 3 3 5 2 3" xfId="5469"/>
    <cellStyle name="Cálculo 3 3 5 2 3 2" xfId="12266"/>
    <cellStyle name="Cálculo 3 3 5 2 3 2 2" xfId="41447"/>
    <cellStyle name="Cálculo 3 3 5 2 3 3" xfId="34652"/>
    <cellStyle name="Cálculo 3 3 5 2 4" xfId="8524"/>
    <cellStyle name="Cálculo 3 3 5 2 4 2" xfId="19489"/>
    <cellStyle name="Cálculo 3 3 5 2 4 2 2" xfId="48670"/>
    <cellStyle name="Cálculo 3 3 5 2 4 3" xfId="37707"/>
    <cellStyle name="Cálculo 3 3 5 2 5" xfId="11685"/>
    <cellStyle name="Cálculo 3 3 5 2 5 2" xfId="40866"/>
    <cellStyle name="Cálculo 3 3 5 2 6" xfId="31394"/>
    <cellStyle name="Cálculo 3 3 5 3" xfId="3111"/>
    <cellStyle name="Cálculo 3 3 5 3 2" xfId="6189"/>
    <cellStyle name="Cálculo 3 3 5 3 2 2" xfId="18171"/>
    <cellStyle name="Cálculo 3 3 5 3 2 2 2" xfId="47352"/>
    <cellStyle name="Cálculo 3 3 5 3 2 3" xfId="35372"/>
    <cellStyle name="Cálculo 3 3 5 3 3" xfId="10051"/>
    <cellStyle name="Cálculo 3 3 5 3 3 2" xfId="20403"/>
    <cellStyle name="Cálculo 3 3 5 3 3 2 2" xfId="49584"/>
    <cellStyle name="Cálculo 3 3 5 3 3 3" xfId="39234"/>
    <cellStyle name="Cálculo 3 3 5 3 4" xfId="13402"/>
    <cellStyle name="Cálculo 3 3 5 3 4 2" xfId="42583"/>
    <cellStyle name="Cálculo 3 3 5 3 5" xfId="32294"/>
    <cellStyle name="Cálculo 3 3 5 4" xfId="4749"/>
    <cellStyle name="Cálculo 3 3 5 4 2" xfId="13521"/>
    <cellStyle name="Cálculo 3 3 5 4 2 2" xfId="42702"/>
    <cellStyle name="Cálculo 3 3 5 4 3" xfId="33932"/>
    <cellStyle name="Cálculo 3 3 5 5" xfId="9559"/>
    <cellStyle name="Cálculo 3 3 5 5 2" xfId="20103"/>
    <cellStyle name="Cálculo 3 3 5 5 2 2" xfId="49284"/>
    <cellStyle name="Cálculo 3 3 5 5 3" xfId="38742"/>
    <cellStyle name="Cálculo 3 3 5 6" xfId="15634"/>
    <cellStyle name="Cálculo 3 3 5 6 2" xfId="44815"/>
    <cellStyle name="Cálculo 3 3 5 7" xfId="30494"/>
    <cellStyle name="Cálculo 3 3 6" xfId="1491"/>
    <cellStyle name="Cálculo 3 3 6 2" xfId="3291"/>
    <cellStyle name="Cálculo 3 3 6 2 2" xfId="6333"/>
    <cellStyle name="Cálculo 3 3 6 2 2 2" xfId="18243"/>
    <cellStyle name="Cálculo 3 3 6 2 2 2 2" xfId="47424"/>
    <cellStyle name="Cálculo 3 3 6 2 2 3" xfId="35516"/>
    <cellStyle name="Cálculo 3 3 6 2 3" xfId="9184"/>
    <cellStyle name="Cálculo 3 3 6 2 3 2" xfId="19878"/>
    <cellStyle name="Cálculo 3 3 6 2 3 2 2" xfId="49059"/>
    <cellStyle name="Cálculo 3 3 6 2 3 3" xfId="38367"/>
    <cellStyle name="Cálculo 3 3 6 2 4" xfId="13434"/>
    <cellStyle name="Cálculo 3 3 6 2 4 2" xfId="42615"/>
    <cellStyle name="Cálculo 3 3 6 2 5" xfId="32474"/>
    <cellStyle name="Cálculo 3 3 6 3" xfId="4893"/>
    <cellStyle name="Cálculo 3 3 6 3 2" xfId="14792"/>
    <cellStyle name="Cálculo 3 3 6 3 2 2" xfId="43973"/>
    <cellStyle name="Cálculo 3 3 6 3 3" xfId="34076"/>
    <cellStyle name="Cálculo 3 3 6 4" xfId="8092"/>
    <cellStyle name="Cálculo 3 3 6 4 2" xfId="19215"/>
    <cellStyle name="Cálculo 3 3 6 4 2 2" xfId="48396"/>
    <cellStyle name="Cálculo 3 3 6 4 3" xfId="37275"/>
    <cellStyle name="Cálculo 3 3 6 5" xfId="17491"/>
    <cellStyle name="Cálculo 3 3 6 5 2" xfId="46672"/>
    <cellStyle name="Cálculo 3 3 6 6" xfId="30674"/>
    <cellStyle name="Cálculo 3 3 7" xfId="2391"/>
    <cellStyle name="Cálculo 3 3 7 2" xfId="5613"/>
    <cellStyle name="Cálculo 3 3 7 2 2" xfId="14227"/>
    <cellStyle name="Cálculo 3 3 7 2 2 2" xfId="43408"/>
    <cellStyle name="Cálculo 3 3 7 2 3" xfId="34796"/>
    <cellStyle name="Cálculo 3 3 7 3" xfId="8103"/>
    <cellStyle name="Cálculo 3 3 7 3 2" xfId="19223"/>
    <cellStyle name="Cálculo 3 3 7 3 2 2" xfId="48404"/>
    <cellStyle name="Cálculo 3 3 7 3 3" xfId="37286"/>
    <cellStyle name="Cálculo 3 3 7 4" xfId="11716"/>
    <cellStyle name="Cálculo 3 3 7 4 2" xfId="40897"/>
    <cellStyle name="Cálculo 3 3 7 5" xfId="31574"/>
    <cellStyle name="Cálculo 3 3 8" xfId="4173"/>
    <cellStyle name="Cálculo 3 3 8 2" xfId="17391"/>
    <cellStyle name="Cálculo 3 3 8 2 2" xfId="46572"/>
    <cellStyle name="Cálculo 3 3 8 3" xfId="33356"/>
    <cellStyle name="Cálculo 3 3 9" xfId="8102"/>
    <cellStyle name="Cálculo 3 3 9 2" xfId="19222"/>
    <cellStyle name="Cálculo 3 3 9 2 2" xfId="48403"/>
    <cellStyle name="Cálculo 3 3 9 3" xfId="37285"/>
    <cellStyle name="Cálculo 3 4" xfId="639"/>
    <cellStyle name="Cálculo 3 4 2" xfId="1631"/>
    <cellStyle name="Cálculo 3 4 2 2" xfId="3431"/>
    <cellStyle name="Cálculo 3 4 2 2 2" xfId="6446"/>
    <cellStyle name="Cálculo 3 4 2 2 2 2" xfId="18313"/>
    <cellStyle name="Cálculo 3 4 2 2 2 2 2" xfId="47494"/>
    <cellStyle name="Cálculo 3 4 2 2 2 3" xfId="35629"/>
    <cellStyle name="Cálculo 3 4 2 2 3" xfId="8965"/>
    <cellStyle name="Cálculo 3 4 2 2 3 2" xfId="19749"/>
    <cellStyle name="Cálculo 3 4 2 2 3 2 2" xfId="48930"/>
    <cellStyle name="Cálculo 3 4 2 2 3 3" xfId="38148"/>
    <cellStyle name="Cálculo 3 4 2 2 4" xfId="16278"/>
    <cellStyle name="Cálculo 3 4 2 2 4 2" xfId="45459"/>
    <cellStyle name="Cálculo 3 4 2 2 5" xfId="32614"/>
    <cellStyle name="Cálculo 3 4 2 3" xfId="5006"/>
    <cellStyle name="Cálculo 3 4 2 3 2" xfId="16791"/>
    <cellStyle name="Cálculo 3 4 2 3 2 2" xfId="45972"/>
    <cellStyle name="Cálculo 3 4 2 3 3" xfId="34189"/>
    <cellStyle name="Cálculo 3 4 2 4" xfId="8569"/>
    <cellStyle name="Cálculo 3 4 2 4 2" xfId="19514"/>
    <cellStyle name="Cálculo 3 4 2 4 2 2" xfId="48695"/>
    <cellStyle name="Cálculo 3 4 2 4 3" xfId="37752"/>
    <cellStyle name="Cálculo 3 4 2 5" xfId="15007"/>
    <cellStyle name="Cálculo 3 4 2 5 2" xfId="44188"/>
    <cellStyle name="Cálculo 3 4 2 6" xfId="30814"/>
    <cellStyle name="Cálculo 3 4 3" xfId="2531"/>
    <cellStyle name="Cálculo 3 4 3 2" xfId="5726"/>
    <cellStyle name="Cálculo 3 4 3 2 2" xfId="11608"/>
    <cellStyle name="Cálculo 3 4 3 2 2 2" xfId="40789"/>
    <cellStyle name="Cálculo 3 4 3 2 3" xfId="34909"/>
    <cellStyle name="Cálculo 3 4 3 3" xfId="10095"/>
    <cellStyle name="Cálculo 3 4 3 3 2" xfId="20428"/>
    <cellStyle name="Cálculo 3 4 3 3 2 2" xfId="49609"/>
    <cellStyle name="Cálculo 3 4 3 3 3" xfId="39278"/>
    <cellStyle name="Cálculo 3 4 3 4" xfId="14045"/>
    <cellStyle name="Cálculo 3 4 3 4 2" xfId="43226"/>
    <cellStyle name="Cálculo 3 4 3 5" xfId="31714"/>
    <cellStyle name="Cálculo 3 4 4" xfId="4286"/>
    <cellStyle name="Cálculo 3 4 4 2" xfId="12263"/>
    <cellStyle name="Cálculo 3 4 4 2 2" xfId="41444"/>
    <cellStyle name="Cálculo 3 4 4 3" xfId="33469"/>
    <cellStyle name="Cálculo 3 4 5" xfId="7367"/>
    <cellStyle name="Cálculo 3 4 5 2" xfId="18775"/>
    <cellStyle name="Cálculo 3 4 5 2 2" xfId="47956"/>
    <cellStyle name="Cálculo 3 4 5 3" xfId="36550"/>
    <cellStyle name="Cálculo 3 4 6" xfId="17976"/>
    <cellStyle name="Cálculo 3 4 6 2" xfId="47157"/>
    <cellStyle name="Cálculo 3 4 7" xfId="29842"/>
    <cellStyle name="Cálculo 3 5" xfId="636"/>
    <cellStyle name="Cálculo 3 5 2" xfId="1628"/>
    <cellStyle name="Cálculo 3 5 2 2" xfId="3428"/>
    <cellStyle name="Cálculo 3 5 2 2 2" xfId="6443"/>
    <cellStyle name="Cálculo 3 5 2 2 2 2" xfId="18310"/>
    <cellStyle name="Cálculo 3 5 2 2 2 2 2" xfId="47491"/>
    <cellStyle name="Cálculo 3 5 2 2 2 3" xfId="35626"/>
    <cellStyle name="Cálculo 3 5 2 2 3" xfId="8347"/>
    <cellStyle name="Cálculo 3 5 2 2 3 2" xfId="19372"/>
    <cellStyle name="Cálculo 3 5 2 2 3 2 2" xfId="48553"/>
    <cellStyle name="Cálculo 3 5 2 2 3 3" xfId="37530"/>
    <cellStyle name="Cálculo 3 5 2 2 4" xfId="13344"/>
    <cellStyle name="Cálculo 3 5 2 2 4 2" xfId="42525"/>
    <cellStyle name="Cálculo 3 5 2 2 5" xfId="32611"/>
    <cellStyle name="Cálculo 3 5 2 3" xfId="5003"/>
    <cellStyle name="Cálculo 3 5 2 3 2" xfId="12247"/>
    <cellStyle name="Cálculo 3 5 2 3 2 2" xfId="41428"/>
    <cellStyle name="Cálculo 3 5 2 3 3" xfId="34186"/>
    <cellStyle name="Cálculo 3 5 2 4" xfId="7926"/>
    <cellStyle name="Cálculo 3 5 2 4 2" xfId="19114"/>
    <cellStyle name="Cálculo 3 5 2 4 2 2" xfId="48295"/>
    <cellStyle name="Cálculo 3 5 2 4 3" xfId="37109"/>
    <cellStyle name="Cálculo 3 5 2 5" xfId="17587"/>
    <cellStyle name="Cálculo 3 5 2 5 2" xfId="46768"/>
    <cellStyle name="Cálculo 3 5 2 6" xfId="30811"/>
    <cellStyle name="Cálculo 3 5 3" xfId="2528"/>
    <cellStyle name="Cálculo 3 5 3 2" xfId="5723"/>
    <cellStyle name="Cálculo 3 5 3 2 2" xfId="16322"/>
    <cellStyle name="Cálculo 3 5 3 2 2 2" xfId="45503"/>
    <cellStyle name="Cálculo 3 5 3 2 3" xfId="34906"/>
    <cellStyle name="Cálculo 3 5 3 3" xfId="8699"/>
    <cellStyle name="Cálculo 3 5 3 3 2" xfId="19586"/>
    <cellStyle name="Cálculo 3 5 3 3 2 2" xfId="48767"/>
    <cellStyle name="Cálculo 3 5 3 3 3" xfId="37882"/>
    <cellStyle name="Cálculo 3 5 3 4" xfId="14613"/>
    <cellStyle name="Cálculo 3 5 3 4 2" xfId="43794"/>
    <cellStyle name="Cálculo 3 5 3 5" xfId="31711"/>
    <cellStyle name="Cálculo 3 5 4" xfId="4283"/>
    <cellStyle name="Cálculo 3 5 4 2" xfId="13520"/>
    <cellStyle name="Cálculo 3 5 4 2 2" xfId="42701"/>
    <cellStyle name="Cálculo 3 5 4 3" xfId="33466"/>
    <cellStyle name="Cálculo 3 5 5" xfId="7810"/>
    <cellStyle name="Cálculo 3 5 5 2" xfId="19047"/>
    <cellStyle name="Cálculo 3 5 5 2 2" xfId="48228"/>
    <cellStyle name="Cálculo 3 5 5 3" xfId="36993"/>
    <cellStyle name="Cálculo 3 5 6" xfId="12014"/>
    <cellStyle name="Cálculo 3 5 6 2" xfId="41195"/>
    <cellStyle name="Cálculo 3 5 7" xfId="29839"/>
    <cellStyle name="Cálculo 3 6" xfId="627"/>
    <cellStyle name="Cálculo 3 6 2" xfId="1619"/>
    <cellStyle name="Cálculo 3 6 2 2" xfId="3419"/>
    <cellStyle name="Cálculo 3 6 2 2 2" xfId="6434"/>
    <cellStyle name="Cálculo 3 6 2 2 2 2" xfId="18301"/>
    <cellStyle name="Cálculo 3 6 2 2 2 2 2" xfId="47482"/>
    <cellStyle name="Cálculo 3 6 2 2 2 3" xfId="35617"/>
    <cellStyle name="Cálculo 3 6 2 2 3" xfId="10186"/>
    <cellStyle name="Cálculo 3 6 2 2 3 2" xfId="20481"/>
    <cellStyle name="Cálculo 3 6 2 2 3 2 2" xfId="49662"/>
    <cellStyle name="Cálculo 3 6 2 2 3 3" xfId="39369"/>
    <cellStyle name="Cálculo 3 6 2 2 4" xfId="17122"/>
    <cellStyle name="Cálculo 3 6 2 2 4 2" xfId="46303"/>
    <cellStyle name="Cálculo 3 6 2 2 5" xfId="32602"/>
    <cellStyle name="Cálculo 3 6 2 3" xfId="4994"/>
    <cellStyle name="Cálculo 3 6 2 3 2" xfId="15942"/>
    <cellStyle name="Cálculo 3 6 2 3 2 2" xfId="45123"/>
    <cellStyle name="Cálculo 3 6 2 3 3" xfId="34177"/>
    <cellStyle name="Cálculo 3 6 2 4" xfId="8945"/>
    <cellStyle name="Cálculo 3 6 2 4 2" xfId="19736"/>
    <cellStyle name="Cálculo 3 6 2 4 2 2" xfId="48917"/>
    <cellStyle name="Cálculo 3 6 2 4 3" xfId="38128"/>
    <cellStyle name="Cálculo 3 6 2 5" xfId="15806"/>
    <cellStyle name="Cálculo 3 6 2 5 2" xfId="44987"/>
    <cellStyle name="Cálculo 3 6 2 6" xfId="30802"/>
    <cellStyle name="Cálculo 3 6 3" xfId="2519"/>
    <cellStyle name="Cálculo 3 6 3 2" xfId="5714"/>
    <cellStyle name="Cálculo 3 6 3 2 2" xfId="11630"/>
    <cellStyle name="Cálculo 3 6 3 2 2 2" xfId="40811"/>
    <cellStyle name="Cálculo 3 6 3 2 3" xfId="34897"/>
    <cellStyle name="Cálculo 3 6 3 3" xfId="10472"/>
    <cellStyle name="Cálculo 3 6 3 3 2" xfId="20659"/>
    <cellStyle name="Cálculo 3 6 3 3 2 2" xfId="49840"/>
    <cellStyle name="Cálculo 3 6 3 3 3" xfId="39655"/>
    <cellStyle name="Cálculo 3 6 3 4" xfId="17416"/>
    <cellStyle name="Cálculo 3 6 3 4 2" xfId="46597"/>
    <cellStyle name="Cálculo 3 6 3 5" xfId="31702"/>
    <cellStyle name="Cálculo 3 6 4" xfId="4274"/>
    <cellStyle name="Cálculo 3 6 4 2" xfId="12242"/>
    <cellStyle name="Cálculo 3 6 4 2 2" xfId="41423"/>
    <cellStyle name="Cálculo 3 6 4 3" xfId="33457"/>
    <cellStyle name="Cálculo 3 6 5" xfId="8875"/>
    <cellStyle name="Cálculo 3 6 5 2" xfId="19691"/>
    <cellStyle name="Cálculo 3 6 5 2 2" xfId="48872"/>
    <cellStyle name="Cálculo 3 6 5 3" xfId="38058"/>
    <cellStyle name="Cálculo 3 6 6" xfId="17682"/>
    <cellStyle name="Cálculo 3 6 6 2" xfId="46863"/>
    <cellStyle name="Cálculo 3 6 7" xfId="29830"/>
    <cellStyle name="Cálculo 3 7" xfId="654"/>
    <cellStyle name="Cálculo 3 7 2" xfId="1646"/>
    <cellStyle name="Cálculo 3 7 2 2" xfId="3446"/>
    <cellStyle name="Cálculo 3 7 2 2 2" xfId="6461"/>
    <cellStyle name="Cálculo 3 7 2 2 2 2" xfId="18328"/>
    <cellStyle name="Cálculo 3 7 2 2 2 2 2" xfId="47509"/>
    <cellStyle name="Cálculo 3 7 2 2 2 3" xfId="35644"/>
    <cellStyle name="Cálculo 3 7 2 2 3" xfId="7375"/>
    <cellStyle name="Cálculo 3 7 2 2 3 2" xfId="18783"/>
    <cellStyle name="Cálculo 3 7 2 2 3 2 2" xfId="47964"/>
    <cellStyle name="Cálculo 3 7 2 2 3 3" xfId="36558"/>
    <cellStyle name="Cálculo 3 7 2 2 4" xfId="14848"/>
    <cellStyle name="Cálculo 3 7 2 2 4 2" xfId="44029"/>
    <cellStyle name="Cálculo 3 7 2 2 5" xfId="32629"/>
    <cellStyle name="Cálculo 3 7 2 3" xfId="5021"/>
    <cellStyle name="Cálculo 3 7 2 3 2" xfId="11614"/>
    <cellStyle name="Cálculo 3 7 2 3 2 2" xfId="40795"/>
    <cellStyle name="Cálculo 3 7 2 3 3" xfId="34204"/>
    <cellStyle name="Cálculo 3 7 2 4" xfId="10205"/>
    <cellStyle name="Cálculo 3 7 2 4 2" xfId="20496"/>
    <cellStyle name="Cálculo 3 7 2 4 2 2" xfId="49677"/>
    <cellStyle name="Cálculo 3 7 2 4 3" xfId="39388"/>
    <cellStyle name="Cálculo 3 7 2 5" xfId="14355"/>
    <cellStyle name="Cálculo 3 7 2 5 2" xfId="43536"/>
    <cellStyle name="Cálculo 3 7 2 6" xfId="30829"/>
    <cellStyle name="Cálculo 3 7 3" xfId="2546"/>
    <cellStyle name="Cálculo 3 7 3 2" xfId="5741"/>
    <cellStyle name="Cálculo 3 7 3 2 2" xfId="13512"/>
    <cellStyle name="Cálculo 3 7 3 2 2 2" xfId="42693"/>
    <cellStyle name="Cálculo 3 7 3 2 3" xfId="34924"/>
    <cellStyle name="Cálculo 3 7 3 3" xfId="9429"/>
    <cellStyle name="Cálculo 3 7 3 3 2" xfId="20029"/>
    <cellStyle name="Cálculo 3 7 3 3 2 2" xfId="49210"/>
    <cellStyle name="Cálculo 3 7 3 3 3" xfId="38612"/>
    <cellStyle name="Cálculo 3 7 3 4" xfId="12911"/>
    <cellStyle name="Cálculo 3 7 3 4 2" xfId="42092"/>
    <cellStyle name="Cálculo 3 7 3 5" xfId="31729"/>
    <cellStyle name="Cálculo 3 7 4" xfId="4301"/>
    <cellStyle name="Cálculo 3 7 4 2" xfId="16690"/>
    <cellStyle name="Cálculo 3 7 4 2 2" xfId="45871"/>
    <cellStyle name="Cálculo 3 7 4 3" xfId="33484"/>
    <cellStyle name="Cálculo 3 7 5" xfId="7860"/>
    <cellStyle name="Cálculo 3 7 5 2" xfId="19078"/>
    <cellStyle name="Cálculo 3 7 5 2 2" xfId="48259"/>
    <cellStyle name="Cálculo 3 7 5 3" xfId="37043"/>
    <cellStyle name="Cálculo 3 7 6" xfId="16195"/>
    <cellStyle name="Cálculo 3 7 6 2" xfId="45376"/>
    <cellStyle name="Cálculo 3 7 7" xfId="29857"/>
    <cellStyle name="Cálculo 3 8" xfId="1401"/>
    <cellStyle name="Cálculo 3 8 2" xfId="3201"/>
    <cellStyle name="Cálculo 3 8 2 2" xfId="6261"/>
    <cellStyle name="Cálculo 3 8 2 2 2" xfId="18207"/>
    <cellStyle name="Cálculo 3 8 2 2 2 2" xfId="47388"/>
    <cellStyle name="Cálculo 3 8 2 2 3" xfId="35444"/>
    <cellStyle name="Cálculo 3 8 2 3" xfId="7168"/>
    <cellStyle name="Cálculo 3 8 2 3 2" xfId="18669"/>
    <cellStyle name="Cálculo 3 8 2 3 2 2" xfId="47850"/>
    <cellStyle name="Cálculo 3 8 2 3 3" xfId="36351"/>
    <cellStyle name="Cálculo 3 8 2 4" xfId="13242"/>
    <cellStyle name="Cálculo 3 8 2 4 2" xfId="42423"/>
    <cellStyle name="Cálculo 3 8 2 5" xfId="32384"/>
    <cellStyle name="Cálculo 3 8 3" xfId="4821"/>
    <cellStyle name="Cálculo 3 8 3 2" xfId="17311"/>
    <cellStyle name="Cálculo 3 8 3 2 2" xfId="46492"/>
    <cellStyle name="Cálculo 3 8 3 3" xfId="34004"/>
    <cellStyle name="Cálculo 3 8 4" xfId="9140"/>
    <cellStyle name="Cálculo 3 8 4 2" xfId="19853"/>
    <cellStyle name="Cálculo 3 8 4 2 2" xfId="49034"/>
    <cellStyle name="Cálculo 3 8 4 3" xfId="38323"/>
    <cellStyle name="Cálculo 3 8 5" xfId="16221"/>
    <cellStyle name="Cálculo 3 8 5 2" xfId="45402"/>
    <cellStyle name="Cálculo 3 8 6" xfId="30584"/>
    <cellStyle name="Cálculo 3 9" xfId="2301"/>
    <cellStyle name="Cálculo 3 9 2" xfId="5541"/>
    <cellStyle name="Cálculo 3 9 2 2" xfId="16854"/>
    <cellStyle name="Cálculo 3 9 2 2 2" xfId="46035"/>
    <cellStyle name="Cálculo 3 9 2 3" xfId="34724"/>
    <cellStyle name="Cálculo 3 9 3" xfId="7814"/>
    <cellStyle name="Cálculo 3 9 3 2" xfId="19051"/>
    <cellStyle name="Cálculo 3 9 3 2 2" xfId="48232"/>
    <cellStyle name="Cálculo 3 9 3 3" xfId="36997"/>
    <cellStyle name="Cálculo 3 9 4" xfId="14655"/>
    <cellStyle name="Cálculo 3 9 4 2" xfId="43836"/>
    <cellStyle name="Cálculo 3 9 5" xfId="31484"/>
    <cellStyle name="Cálculo 4" xfId="177"/>
    <cellStyle name="Cálculo 4 10" xfId="4102"/>
    <cellStyle name="Cálculo 4 10 2" xfId="17498"/>
    <cellStyle name="Cálculo 4 10 2 2" xfId="46679"/>
    <cellStyle name="Cálculo 4 10 3" xfId="33285"/>
    <cellStyle name="Cálculo 4 11" xfId="16669"/>
    <cellStyle name="Cálculo 4 11 2" xfId="45850"/>
    <cellStyle name="Cálculo 4 12" xfId="29562"/>
    <cellStyle name="Cálculo 4 2" xfId="424"/>
    <cellStyle name="Cálculo 4 2 10" xfId="8958"/>
    <cellStyle name="Cálculo 4 2 10 2" xfId="19746"/>
    <cellStyle name="Cálculo 4 2 10 2 2" xfId="48927"/>
    <cellStyle name="Cálculo 4 2 10 3" xfId="38141"/>
    <cellStyle name="Cálculo 4 2 11" xfId="16317"/>
    <cellStyle name="Cálculo 4 2 11 2" xfId="45498"/>
    <cellStyle name="Cálculo 4 2 12" xfId="58767"/>
    <cellStyle name="Cálculo 4 2 13" xfId="29630"/>
    <cellStyle name="Cálculo 4 2 2" xfId="514"/>
    <cellStyle name="Cálculo 4 2 2 10" xfId="15630"/>
    <cellStyle name="Cálculo 4 2 2 10 2" xfId="44811"/>
    <cellStyle name="Cálculo 4 2 2 11" xfId="29720"/>
    <cellStyle name="Cálculo 4 2 2 2" xfId="867"/>
    <cellStyle name="Cálculo 4 2 2 2 2" xfId="1805"/>
    <cellStyle name="Cálculo 4 2 2 2 2 2" xfId="3605"/>
    <cellStyle name="Cálculo 4 2 2 2 2 2 2" xfId="6584"/>
    <cellStyle name="Cálculo 4 2 2 2 2 2 2 2" xfId="18388"/>
    <cellStyle name="Cálculo 4 2 2 2 2 2 2 2 2" xfId="47569"/>
    <cellStyle name="Cálculo 4 2 2 2 2 2 2 3" xfId="35767"/>
    <cellStyle name="Cálculo 4 2 2 2 2 2 3" xfId="7450"/>
    <cellStyle name="Cálculo 4 2 2 2 2 2 3 2" xfId="18826"/>
    <cellStyle name="Cálculo 4 2 2 2 2 2 3 2 2" xfId="48007"/>
    <cellStyle name="Cálculo 4 2 2 2 2 2 3 3" xfId="36633"/>
    <cellStyle name="Cálculo 4 2 2 2 2 2 4" xfId="14416"/>
    <cellStyle name="Cálculo 4 2 2 2 2 2 4 2" xfId="43597"/>
    <cellStyle name="Cálculo 4 2 2 2 2 2 5" xfId="32788"/>
    <cellStyle name="Cálculo 4 2 2 2 2 3" xfId="5144"/>
    <cellStyle name="Cálculo 4 2 2 2 2 3 2" xfId="14686"/>
    <cellStyle name="Cálculo 4 2 2 2 2 3 2 2" xfId="43867"/>
    <cellStyle name="Cálculo 4 2 2 2 2 3 3" xfId="34327"/>
    <cellStyle name="Cálculo 4 2 2 2 2 4" xfId="9436"/>
    <cellStyle name="Cálculo 4 2 2 2 2 4 2" xfId="20033"/>
    <cellStyle name="Cálculo 4 2 2 2 2 4 2 2" xfId="49214"/>
    <cellStyle name="Cálculo 4 2 2 2 2 4 3" xfId="38619"/>
    <cellStyle name="Cálculo 4 2 2 2 2 5" xfId="15059"/>
    <cellStyle name="Cálculo 4 2 2 2 2 5 2" xfId="44240"/>
    <cellStyle name="Cálculo 4 2 2 2 2 6" xfId="30988"/>
    <cellStyle name="Cálculo 4 2 2 2 3" xfId="2705"/>
    <cellStyle name="Cálculo 4 2 2 2 3 2" xfId="5864"/>
    <cellStyle name="Cálculo 4 2 2 2 3 2 2" xfId="14119"/>
    <cellStyle name="Cálculo 4 2 2 2 3 2 2 2" xfId="43300"/>
    <cellStyle name="Cálculo 4 2 2 2 3 2 3" xfId="35047"/>
    <cellStyle name="Cálculo 4 2 2 2 3 3" xfId="8002"/>
    <cellStyle name="Cálculo 4 2 2 2 3 3 2" xfId="19165"/>
    <cellStyle name="Cálculo 4 2 2 2 3 3 2 2" xfId="48346"/>
    <cellStyle name="Cálculo 4 2 2 2 3 3 3" xfId="37185"/>
    <cellStyle name="Cálculo 4 2 2 2 3 4" xfId="15031"/>
    <cellStyle name="Cálculo 4 2 2 2 3 4 2" xfId="44212"/>
    <cellStyle name="Cálculo 4 2 2 2 3 5" xfId="31888"/>
    <cellStyle name="Cálculo 4 2 2 2 4" xfId="4424"/>
    <cellStyle name="Cálculo 4 2 2 2 4 2" xfId="15859"/>
    <cellStyle name="Cálculo 4 2 2 2 4 2 2" xfId="45040"/>
    <cellStyle name="Cálculo 4 2 2 2 4 3" xfId="33607"/>
    <cellStyle name="Cálculo 4 2 2 2 5" xfId="10175"/>
    <cellStyle name="Cálculo 4 2 2 2 5 2" xfId="20474"/>
    <cellStyle name="Cálculo 4 2 2 2 5 2 2" xfId="49655"/>
    <cellStyle name="Cálculo 4 2 2 2 5 3" xfId="39358"/>
    <cellStyle name="Cálculo 4 2 2 2 6" xfId="12743"/>
    <cellStyle name="Cálculo 4 2 2 2 6 2" xfId="41924"/>
    <cellStyle name="Cálculo 4 2 2 2 7" xfId="30064"/>
    <cellStyle name="Cálculo 4 2 2 3" xfId="1059"/>
    <cellStyle name="Cálculo 4 2 2 3 2" xfId="1969"/>
    <cellStyle name="Cálculo 4 2 2 3 2 2" xfId="3769"/>
    <cellStyle name="Cálculo 4 2 2 3 2 2 2" xfId="6712"/>
    <cellStyle name="Cálculo 4 2 2 3 2 2 2 2" xfId="18442"/>
    <cellStyle name="Cálculo 4 2 2 3 2 2 2 2 2" xfId="47623"/>
    <cellStyle name="Cálculo 4 2 2 3 2 2 2 3" xfId="35895"/>
    <cellStyle name="Cálculo 4 2 2 3 2 2 3" xfId="9766"/>
    <cellStyle name="Cálculo 4 2 2 3 2 2 3 2" xfId="20229"/>
    <cellStyle name="Cálculo 4 2 2 3 2 2 3 2 2" xfId="49410"/>
    <cellStyle name="Cálculo 4 2 2 3 2 2 3 3" xfId="38949"/>
    <cellStyle name="Cálculo 4 2 2 3 2 2 4" xfId="10630"/>
    <cellStyle name="Cálculo 4 2 2 3 2 2 4 2" xfId="39811"/>
    <cellStyle name="Cálculo 4 2 2 3 2 2 5" xfId="32952"/>
    <cellStyle name="Cálculo 4 2 2 3 2 3" xfId="5272"/>
    <cellStyle name="Cálculo 4 2 2 3 2 3 2" xfId="11617"/>
    <cellStyle name="Cálculo 4 2 2 3 2 3 2 2" xfId="40798"/>
    <cellStyle name="Cálculo 4 2 2 3 2 3 3" xfId="34455"/>
    <cellStyle name="Cálculo 4 2 2 3 2 4" xfId="9297"/>
    <cellStyle name="Cálculo 4 2 2 3 2 4 2" xfId="19950"/>
    <cellStyle name="Cálculo 4 2 2 3 2 4 2 2" xfId="49131"/>
    <cellStyle name="Cálculo 4 2 2 3 2 4 3" xfId="38480"/>
    <cellStyle name="Cálculo 4 2 2 3 2 5" xfId="17054"/>
    <cellStyle name="Cálculo 4 2 2 3 2 5 2" xfId="46235"/>
    <cellStyle name="Cálculo 4 2 2 3 2 6" xfId="31152"/>
    <cellStyle name="Cálculo 4 2 2 3 3" xfId="2869"/>
    <cellStyle name="Cálculo 4 2 2 3 3 2" xfId="5992"/>
    <cellStyle name="Cálculo 4 2 2 3 3 2 2" xfId="10589"/>
    <cellStyle name="Cálculo 4 2 2 3 3 2 2 2" xfId="39770"/>
    <cellStyle name="Cálculo 4 2 2 3 3 2 3" xfId="35175"/>
    <cellStyle name="Cálculo 4 2 2 3 3 3" xfId="7875"/>
    <cellStyle name="Cálculo 4 2 2 3 3 3 2" xfId="19088"/>
    <cellStyle name="Cálculo 4 2 2 3 3 3 2 2" xfId="48269"/>
    <cellStyle name="Cálculo 4 2 2 3 3 3 3" xfId="37058"/>
    <cellStyle name="Cálculo 4 2 2 3 3 4" xfId="11714"/>
    <cellStyle name="Cálculo 4 2 2 3 3 4 2" xfId="40895"/>
    <cellStyle name="Cálculo 4 2 2 3 3 5" xfId="32052"/>
    <cellStyle name="Cálculo 4 2 2 3 4" xfId="4552"/>
    <cellStyle name="Cálculo 4 2 2 3 4 2" xfId="18023"/>
    <cellStyle name="Cálculo 4 2 2 3 4 2 2" xfId="47204"/>
    <cellStyle name="Cálculo 4 2 2 3 4 3" xfId="33735"/>
    <cellStyle name="Cálculo 4 2 2 3 5" xfId="8576"/>
    <cellStyle name="Cálculo 4 2 2 3 5 2" xfId="19519"/>
    <cellStyle name="Cálculo 4 2 2 3 5 2 2" xfId="48700"/>
    <cellStyle name="Cálculo 4 2 2 3 5 3" xfId="37759"/>
    <cellStyle name="Cálculo 4 2 2 3 6" xfId="10958"/>
    <cellStyle name="Cálculo 4 2 2 3 6 2" xfId="40139"/>
    <cellStyle name="Cálculo 4 2 2 3 7" xfId="30249"/>
    <cellStyle name="Cálculo 4 2 2 4" xfId="1209"/>
    <cellStyle name="Cálculo 4 2 2 4 2" xfId="2113"/>
    <cellStyle name="Cálculo 4 2 2 4 2 2" xfId="3913"/>
    <cellStyle name="Cálculo 4 2 2 4 2 2 2" xfId="6829"/>
    <cellStyle name="Cálculo 4 2 2 4 2 2 2 2" xfId="18496"/>
    <cellStyle name="Cálculo 4 2 2 4 2 2 2 2 2" xfId="47677"/>
    <cellStyle name="Cálculo 4 2 2 4 2 2 2 3" xfId="36012"/>
    <cellStyle name="Cálculo 4 2 2 4 2 2 3" xfId="9607"/>
    <cellStyle name="Cálculo 4 2 2 4 2 2 3 2" xfId="20135"/>
    <cellStyle name="Cálculo 4 2 2 4 2 2 3 2 2" xfId="49316"/>
    <cellStyle name="Cálculo 4 2 2 4 2 2 3 3" xfId="38790"/>
    <cellStyle name="Cálculo 4 2 2 4 2 2 4" xfId="14976"/>
    <cellStyle name="Cálculo 4 2 2 4 2 2 4 2" xfId="44157"/>
    <cellStyle name="Cálculo 4 2 2 4 2 2 5" xfId="33096"/>
    <cellStyle name="Cálculo 4 2 2 4 2 3" xfId="5389"/>
    <cellStyle name="Cálculo 4 2 2 4 2 3 2" xfId="12951"/>
    <cellStyle name="Cálculo 4 2 2 4 2 3 2 2" xfId="42132"/>
    <cellStyle name="Cálculo 4 2 2 4 2 3 3" xfId="34572"/>
    <cellStyle name="Cálculo 4 2 2 4 2 4" xfId="7427"/>
    <cellStyle name="Cálculo 4 2 2 4 2 4 2" xfId="18810"/>
    <cellStyle name="Cálculo 4 2 2 4 2 4 2 2" xfId="47991"/>
    <cellStyle name="Cálculo 4 2 2 4 2 4 3" xfId="36610"/>
    <cellStyle name="Cálculo 4 2 2 4 2 5" xfId="15666"/>
    <cellStyle name="Cálculo 4 2 2 4 2 5 2" xfId="44847"/>
    <cellStyle name="Cálculo 4 2 2 4 2 6" xfId="31296"/>
    <cellStyle name="Cálculo 4 2 2 4 3" xfId="3013"/>
    <cellStyle name="Cálculo 4 2 2 4 3 2" xfId="6109"/>
    <cellStyle name="Cálculo 4 2 2 4 3 2 2" xfId="18136"/>
    <cellStyle name="Cálculo 4 2 2 4 3 2 2 2" xfId="47317"/>
    <cellStyle name="Cálculo 4 2 2 4 3 2 3" xfId="35292"/>
    <cellStyle name="Cálculo 4 2 2 4 3 3" xfId="7745"/>
    <cellStyle name="Cálculo 4 2 2 4 3 3 2" xfId="19008"/>
    <cellStyle name="Cálculo 4 2 2 4 3 3 2 2" xfId="48189"/>
    <cellStyle name="Cálculo 4 2 2 4 3 3 3" xfId="36928"/>
    <cellStyle name="Cálculo 4 2 2 4 3 4" xfId="11597"/>
    <cellStyle name="Cálculo 4 2 2 4 3 4 2" xfId="40778"/>
    <cellStyle name="Cálculo 4 2 2 4 3 5" xfId="32196"/>
    <cellStyle name="Cálculo 4 2 2 4 4" xfId="4669"/>
    <cellStyle name="Cálculo 4 2 2 4 4 2" xfId="14124"/>
    <cellStyle name="Cálculo 4 2 2 4 4 2 2" xfId="43305"/>
    <cellStyle name="Cálculo 4 2 2 4 4 3" xfId="33852"/>
    <cellStyle name="Cálculo 4 2 2 4 5" xfId="9598"/>
    <cellStyle name="Cálculo 4 2 2 4 5 2" xfId="20129"/>
    <cellStyle name="Cálculo 4 2 2 4 5 2 2" xfId="49310"/>
    <cellStyle name="Cálculo 4 2 2 4 5 3" xfId="38781"/>
    <cellStyle name="Cálculo 4 2 2 4 6" xfId="11593"/>
    <cellStyle name="Cálculo 4 2 2 4 6 2" xfId="40774"/>
    <cellStyle name="Cálculo 4 2 2 4 7" xfId="30396"/>
    <cellStyle name="Cálculo 4 2 2 5" xfId="1355"/>
    <cellStyle name="Cálculo 4 2 2 5 2" xfId="2257"/>
    <cellStyle name="Cálculo 4 2 2 5 2 2" xfId="4057"/>
    <cellStyle name="Cálculo 4 2 2 5 2 2 2" xfId="6946"/>
    <cellStyle name="Cálculo 4 2 2 5 2 2 2 2" xfId="18550"/>
    <cellStyle name="Cálculo 4 2 2 5 2 2 2 2 2" xfId="47731"/>
    <cellStyle name="Cálculo 4 2 2 5 2 2 2 3" xfId="36129"/>
    <cellStyle name="Cálculo 4 2 2 5 2 2 3" xfId="7023"/>
    <cellStyle name="Cálculo 4 2 2 5 2 2 3 2" xfId="18590"/>
    <cellStyle name="Cálculo 4 2 2 5 2 2 3 2 2" xfId="47771"/>
    <cellStyle name="Cálculo 4 2 2 5 2 2 3 3" xfId="36206"/>
    <cellStyle name="Cálculo 4 2 2 5 2 2 4" xfId="18004"/>
    <cellStyle name="Cálculo 4 2 2 5 2 2 4 2" xfId="47185"/>
    <cellStyle name="Cálculo 4 2 2 5 2 2 5" xfId="33240"/>
    <cellStyle name="Cálculo 4 2 2 5 2 3" xfId="5506"/>
    <cellStyle name="Cálculo 4 2 2 5 2 3 2" xfId="17831"/>
    <cellStyle name="Cálculo 4 2 2 5 2 3 2 2" xfId="47012"/>
    <cellStyle name="Cálculo 4 2 2 5 2 3 3" xfId="34689"/>
    <cellStyle name="Cálculo 4 2 2 5 2 4" xfId="7510"/>
    <cellStyle name="Cálculo 4 2 2 5 2 4 2" xfId="18860"/>
    <cellStyle name="Cálculo 4 2 2 5 2 4 2 2" xfId="48041"/>
    <cellStyle name="Cálculo 4 2 2 5 2 4 3" xfId="36693"/>
    <cellStyle name="Cálculo 4 2 2 5 2 5" xfId="13145"/>
    <cellStyle name="Cálculo 4 2 2 5 2 5 2" xfId="42326"/>
    <cellStyle name="Cálculo 4 2 2 5 2 6" xfId="31440"/>
    <cellStyle name="Cálculo 4 2 2 5 3" xfId="3157"/>
    <cellStyle name="Cálculo 4 2 2 5 3 2" xfId="6226"/>
    <cellStyle name="Cálculo 4 2 2 5 3 2 2" xfId="18190"/>
    <cellStyle name="Cálculo 4 2 2 5 3 2 2 2" xfId="47371"/>
    <cellStyle name="Cálculo 4 2 2 5 3 2 3" xfId="35409"/>
    <cellStyle name="Cálculo 4 2 2 5 3 3" xfId="7212"/>
    <cellStyle name="Cálculo 4 2 2 5 3 3 2" xfId="18695"/>
    <cellStyle name="Cálculo 4 2 2 5 3 3 2 2" xfId="47876"/>
    <cellStyle name="Cálculo 4 2 2 5 3 3 3" xfId="36395"/>
    <cellStyle name="Cálculo 4 2 2 5 3 4" xfId="16513"/>
    <cellStyle name="Cálculo 4 2 2 5 3 4 2" xfId="45694"/>
    <cellStyle name="Cálculo 4 2 2 5 3 5" xfId="32340"/>
    <cellStyle name="Cálculo 4 2 2 5 4" xfId="4786"/>
    <cellStyle name="Cálculo 4 2 2 5 4 2" xfId="16151"/>
    <cellStyle name="Cálculo 4 2 2 5 4 2 2" xfId="45332"/>
    <cellStyle name="Cálculo 4 2 2 5 4 3" xfId="33969"/>
    <cellStyle name="Cálculo 4 2 2 5 5" xfId="9920"/>
    <cellStyle name="Cálculo 4 2 2 5 5 2" xfId="20323"/>
    <cellStyle name="Cálculo 4 2 2 5 5 2 2" xfId="49504"/>
    <cellStyle name="Cálculo 4 2 2 5 5 3" xfId="39103"/>
    <cellStyle name="Cálculo 4 2 2 5 6" xfId="16655"/>
    <cellStyle name="Cálculo 4 2 2 5 6 2" xfId="45836"/>
    <cellStyle name="Cálculo 4 2 2 5 7" xfId="30540"/>
    <cellStyle name="Cálculo 4 2 2 6" xfId="1537"/>
    <cellStyle name="Cálculo 4 2 2 6 2" xfId="3337"/>
    <cellStyle name="Cálculo 4 2 2 6 2 2" xfId="6370"/>
    <cellStyle name="Cálculo 4 2 2 6 2 2 2" xfId="18262"/>
    <cellStyle name="Cálculo 4 2 2 6 2 2 2 2" xfId="47443"/>
    <cellStyle name="Cálculo 4 2 2 6 2 2 3" xfId="35553"/>
    <cellStyle name="Cálculo 4 2 2 6 2 3" xfId="7995"/>
    <cellStyle name="Cálculo 4 2 2 6 2 3 2" xfId="19160"/>
    <cellStyle name="Cálculo 4 2 2 6 2 3 2 2" xfId="48341"/>
    <cellStyle name="Cálculo 4 2 2 6 2 3 3" xfId="37178"/>
    <cellStyle name="Cálculo 4 2 2 6 2 4" xfId="17448"/>
    <cellStyle name="Cálculo 4 2 2 6 2 4 2" xfId="46629"/>
    <cellStyle name="Cálculo 4 2 2 6 2 5" xfId="32520"/>
    <cellStyle name="Cálculo 4 2 2 6 3" xfId="4930"/>
    <cellStyle name="Cálculo 4 2 2 6 3 2" xfId="16064"/>
    <cellStyle name="Cálculo 4 2 2 6 3 2 2" xfId="45245"/>
    <cellStyle name="Cálculo 4 2 2 6 3 3" xfId="34113"/>
    <cellStyle name="Cálculo 4 2 2 6 4" xfId="9713"/>
    <cellStyle name="Cálculo 4 2 2 6 4 2" xfId="20198"/>
    <cellStyle name="Cálculo 4 2 2 6 4 2 2" xfId="49379"/>
    <cellStyle name="Cálculo 4 2 2 6 4 3" xfId="38896"/>
    <cellStyle name="Cálculo 4 2 2 6 5" xfId="11361"/>
    <cellStyle name="Cálculo 4 2 2 6 5 2" xfId="40542"/>
    <cellStyle name="Cálculo 4 2 2 6 6" xfId="30720"/>
    <cellStyle name="Cálculo 4 2 2 7" xfId="2437"/>
    <cellStyle name="Cálculo 4 2 2 7 2" xfId="5650"/>
    <cellStyle name="Cálculo 4 2 2 7 2 2" xfId="15586"/>
    <cellStyle name="Cálculo 4 2 2 7 2 2 2" xfId="44767"/>
    <cellStyle name="Cálculo 4 2 2 7 2 3" xfId="34833"/>
    <cellStyle name="Cálculo 4 2 2 7 3" xfId="8319"/>
    <cellStyle name="Cálculo 4 2 2 7 3 2" xfId="19357"/>
    <cellStyle name="Cálculo 4 2 2 7 3 2 2" xfId="48538"/>
    <cellStyle name="Cálculo 4 2 2 7 3 3" xfId="37502"/>
    <cellStyle name="Cálculo 4 2 2 7 4" xfId="13077"/>
    <cellStyle name="Cálculo 4 2 2 7 4 2" xfId="42258"/>
    <cellStyle name="Cálculo 4 2 2 7 5" xfId="31620"/>
    <cellStyle name="Cálculo 4 2 2 8" xfId="4210"/>
    <cellStyle name="Cálculo 4 2 2 8 2" xfId="15776"/>
    <cellStyle name="Cálculo 4 2 2 8 2 2" xfId="44957"/>
    <cellStyle name="Cálculo 4 2 2 8 3" xfId="33393"/>
    <cellStyle name="Cálculo 4 2 2 9" xfId="9350"/>
    <cellStyle name="Cálculo 4 2 2 9 2" xfId="19980"/>
    <cellStyle name="Cálculo 4 2 2 9 2 2" xfId="49161"/>
    <cellStyle name="Cálculo 4 2 2 9 3" xfId="38533"/>
    <cellStyle name="Cálculo 4 2 3" xfId="777"/>
    <cellStyle name="Cálculo 4 2 3 2" xfId="1715"/>
    <cellStyle name="Cálculo 4 2 3 2 2" xfId="3515"/>
    <cellStyle name="Cálculo 4 2 3 2 2 2" xfId="6512"/>
    <cellStyle name="Cálculo 4 2 3 2 2 2 2" xfId="18352"/>
    <cellStyle name="Cálculo 4 2 3 2 2 2 2 2" xfId="47533"/>
    <cellStyle name="Cálculo 4 2 3 2 2 2 3" xfId="35695"/>
    <cellStyle name="Cálculo 4 2 3 2 2 3" xfId="8844"/>
    <cellStyle name="Cálculo 4 2 3 2 2 3 2" xfId="19674"/>
    <cellStyle name="Cálculo 4 2 3 2 2 3 2 2" xfId="48855"/>
    <cellStyle name="Cálculo 4 2 3 2 2 3 3" xfId="38027"/>
    <cellStyle name="Cálculo 4 2 3 2 2 4" xfId="11605"/>
    <cellStyle name="Cálculo 4 2 3 2 2 4 2" xfId="40786"/>
    <cellStyle name="Cálculo 4 2 3 2 2 5" xfId="32698"/>
    <cellStyle name="Cálculo 4 2 3 2 3" xfId="5072"/>
    <cellStyle name="Cálculo 4 2 3 2 3 2" xfId="17760"/>
    <cellStyle name="Cálculo 4 2 3 2 3 2 2" xfId="46941"/>
    <cellStyle name="Cálculo 4 2 3 2 3 3" xfId="34255"/>
    <cellStyle name="Cálculo 4 2 3 2 4" xfId="9826"/>
    <cellStyle name="Cálculo 4 2 3 2 4 2" xfId="20263"/>
    <cellStyle name="Cálculo 4 2 3 2 4 2 2" xfId="49444"/>
    <cellStyle name="Cálculo 4 2 3 2 4 3" xfId="39009"/>
    <cellStyle name="Cálculo 4 2 3 2 5" xfId="12441"/>
    <cellStyle name="Cálculo 4 2 3 2 5 2" xfId="41622"/>
    <cellStyle name="Cálculo 4 2 3 2 6" xfId="30898"/>
    <cellStyle name="Cálculo 4 2 3 3" xfId="2615"/>
    <cellStyle name="Cálculo 4 2 3 3 2" xfId="5792"/>
    <cellStyle name="Cálculo 4 2 3 3 2 2" xfId="16212"/>
    <cellStyle name="Cálculo 4 2 3 3 2 2 2" xfId="45393"/>
    <cellStyle name="Cálculo 4 2 3 3 2 3" xfId="34975"/>
    <cellStyle name="Cálculo 4 2 3 3 3" xfId="9051"/>
    <cellStyle name="Cálculo 4 2 3 3 3 2" xfId="19795"/>
    <cellStyle name="Cálculo 4 2 3 3 3 2 2" xfId="48976"/>
    <cellStyle name="Cálculo 4 2 3 3 3 3" xfId="38234"/>
    <cellStyle name="Cálculo 4 2 3 3 4" xfId="17427"/>
    <cellStyle name="Cálculo 4 2 3 3 4 2" xfId="46608"/>
    <cellStyle name="Cálculo 4 2 3 3 5" xfId="31798"/>
    <cellStyle name="Cálculo 4 2 3 4" xfId="4352"/>
    <cellStyle name="Cálculo 4 2 3 4 2" xfId="11301"/>
    <cellStyle name="Cálculo 4 2 3 4 2 2" xfId="40482"/>
    <cellStyle name="Cálculo 4 2 3 4 3" xfId="33535"/>
    <cellStyle name="Cálculo 4 2 3 5" xfId="7332"/>
    <cellStyle name="Cálculo 4 2 3 5 2" xfId="18762"/>
    <cellStyle name="Cálculo 4 2 3 5 2 2" xfId="47943"/>
    <cellStyle name="Cálculo 4 2 3 5 3" xfId="36515"/>
    <cellStyle name="Cálculo 4 2 3 6" xfId="17890"/>
    <cellStyle name="Cálculo 4 2 3 6 2" xfId="47071"/>
    <cellStyle name="Cálculo 4 2 3 7" xfId="29974"/>
    <cellStyle name="Cálculo 4 2 4" xfId="969"/>
    <cellStyle name="Cálculo 4 2 4 2" xfId="1879"/>
    <cellStyle name="Cálculo 4 2 4 2 2" xfId="3679"/>
    <cellStyle name="Cálculo 4 2 4 2 2 2" xfId="6640"/>
    <cellStyle name="Cálculo 4 2 4 2 2 2 2" xfId="18406"/>
    <cellStyle name="Cálculo 4 2 4 2 2 2 2 2" xfId="47587"/>
    <cellStyle name="Cálculo 4 2 4 2 2 2 3" xfId="35823"/>
    <cellStyle name="Cálculo 4 2 4 2 2 3" xfId="8725"/>
    <cellStyle name="Cálculo 4 2 4 2 2 3 2" xfId="19603"/>
    <cellStyle name="Cálculo 4 2 4 2 2 3 2 2" xfId="48784"/>
    <cellStyle name="Cálculo 4 2 4 2 2 3 3" xfId="37908"/>
    <cellStyle name="Cálculo 4 2 4 2 2 4" xfId="13240"/>
    <cellStyle name="Cálculo 4 2 4 2 2 4 2" xfId="42421"/>
    <cellStyle name="Cálculo 4 2 4 2 2 5" xfId="32862"/>
    <cellStyle name="Cálculo 4 2 4 2 3" xfId="5200"/>
    <cellStyle name="Cálculo 4 2 4 2 3 2" xfId="17883"/>
    <cellStyle name="Cálculo 4 2 4 2 3 2 2" xfId="47064"/>
    <cellStyle name="Cálculo 4 2 4 2 3 3" xfId="34383"/>
    <cellStyle name="Cálculo 4 2 4 2 4" xfId="8903"/>
    <cellStyle name="Cálculo 4 2 4 2 4 2" xfId="19709"/>
    <cellStyle name="Cálculo 4 2 4 2 4 2 2" xfId="48890"/>
    <cellStyle name="Cálculo 4 2 4 2 4 3" xfId="38086"/>
    <cellStyle name="Cálculo 4 2 4 2 5" xfId="17859"/>
    <cellStyle name="Cálculo 4 2 4 2 5 2" xfId="47040"/>
    <cellStyle name="Cálculo 4 2 4 2 6" xfId="31062"/>
    <cellStyle name="Cálculo 4 2 4 3" xfId="2779"/>
    <cellStyle name="Cálculo 4 2 4 3 2" xfId="5920"/>
    <cellStyle name="Cálculo 4 2 4 3 2 2" xfId="14742"/>
    <cellStyle name="Cálculo 4 2 4 3 2 2 2" xfId="43923"/>
    <cellStyle name="Cálculo 4 2 4 3 2 3" xfId="35103"/>
    <cellStyle name="Cálculo 4 2 4 3 3" xfId="10430"/>
    <cellStyle name="Cálculo 4 2 4 3 3 2" xfId="20633"/>
    <cellStyle name="Cálculo 4 2 4 3 3 2 2" xfId="49814"/>
    <cellStyle name="Cálculo 4 2 4 3 3 3" xfId="39613"/>
    <cellStyle name="Cálculo 4 2 4 3 4" xfId="14653"/>
    <cellStyle name="Cálculo 4 2 4 3 4 2" xfId="43834"/>
    <cellStyle name="Cálculo 4 2 4 3 5" xfId="31962"/>
    <cellStyle name="Cálculo 4 2 4 4" xfId="4480"/>
    <cellStyle name="Cálculo 4 2 4 4 2" xfId="13139"/>
    <cellStyle name="Cálculo 4 2 4 4 2 2" xfId="42320"/>
    <cellStyle name="Cálculo 4 2 4 4 3" xfId="33663"/>
    <cellStyle name="Cálculo 4 2 4 5" xfId="9601"/>
    <cellStyle name="Cálculo 4 2 4 5 2" xfId="20131"/>
    <cellStyle name="Cálculo 4 2 4 5 2 2" xfId="49312"/>
    <cellStyle name="Cálculo 4 2 4 5 3" xfId="38784"/>
    <cellStyle name="Cálculo 4 2 4 6" xfId="13082"/>
    <cellStyle name="Cálculo 4 2 4 6 2" xfId="42263"/>
    <cellStyle name="Cálculo 4 2 4 7" xfId="30159"/>
    <cellStyle name="Cálculo 4 2 5" xfId="1119"/>
    <cellStyle name="Cálculo 4 2 5 2" xfId="2023"/>
    <cellStyle name="Cálculo 4 2 5 2 2" xfId="3823"/>
    <cellStyle name="Cálculo 4 2 5 2 2 2" xfId="6757"/>
    <cellStyle name="Cálculo 4 2 5 2 2 2 2" xfId="18460"/>
    <cellStyle name="Cálculo 4 2 5 2 2 2 2 2" xfId="47641"/>
    <cellStyle name="Cálculo 4 2 5 2 2 2 3" xfId="35940"/>
    <cellStyle name="Cálculo 4 2 5 2 2 3" xfId="10043"/>
    <cellStyle name="Cálculo 4 2 5 2 2 3 2" xfId="20397"/>
    <cellStyle name="Cálculo 4 2 5 2 2 3 2 2" xfId="49578"/>
    <cellStyle name="Cálculo 4 2 5 2 2 3 3" xfId="39226"/>
    <cellStyle name="Cálculo 4 2 5 2 2 4" xfId="17253"/>
    <cellStyle name="Cálculo 4 2 5 2 2 4 2" xfId="46434"/>
    <cellStyle name="Cálculo 4 2 5 2 2 5" xfId="33006"/>
    <cellStyle name="Cálculo 4 2 5 2 3" xfId="5317"/>
    <cellStyle name="Cálculo 4 2 5 2 3 2" xfId="15376"/>
    <cellStyle name="Cálculo 4 2 5 2 3 2 2" xfId="44557"/>
    <cellStyle name="Cálculo 4 2 5 2 3 3" xfId="34500"/>
    <cellStyle name="Cálculo 4 2 5 2 4" xfId="8820"/>
    <cellStyle name="Cálculo 4 2 5 2 4 2" xfId="19660"/>
    <cellStyle name="Cálculo 4 2 5 2 4 2 2" xfId="48841"/>
    <cellStyle name="Cálculo 4 2 5 2 4 3" xfId="38003"/>
    <cellStyle name="Cálculo 4 2 5 2 5" xfId="18113"/>
    <cellStyle name="Cálculo 4 2 5 2 5 2" xfId="47294"/>
    <cellStyle name="Cálculo 4 2 5 2 6" xfId="31206"/>
    <cellStyle name="Cálculo 4 2 5 3" xfId="2923"/>
    <cellStyle name="Cálculo 4 2 5 3 2" xfId="6037"/>
    <cellStyle name="Cálculo 4 2 5 3 2 2" xfId="10571"/>
    <cellStyle name="Cálculo 4 2 5 3 2 2 2" xfId="39752"/>
    <cellStyle name="Cálculo 4 2 5 3 2 3" xfId="35220"/>
    <cellStyle name="Cálculo 4 2 5 3 3" xfId="10347"/>
    <cellStyle name="Cálculo 4 2 5 3 3 2" xfId="20581"/>
    <cellStyle name="Cálculo 4 2 5 3 3 2 2" xfId="49762"/>
    <cellStyle name="Cálculo 4 2 5 3 3 3" xfId="39530"/>
    <cellStyle name="Cálculo 4 2 5 3 4" xfId="16334"/>
    <cellStyle name="Cálculo 4 2 5 3 4 2" xfId="45515"/>
    <cellStyle name="Cálculo 4 2 5 3 5" xfId="32106"/>
    <cellStyle name="Cálculo 4 2 5 4" xfId="4597"/>
    <cellStyle name="Cálculo 4 2 5 4 2" xfId="17163"/>
    <cellStyle name="Cálculo 4 2 5 4 2 2" xfId="46344"/>
    <cellStyle name="Cálculo 4 2 5 4 3" xfId="33780"/>
    <cellStyle name="Cálculo 4 2 5 5" xfId="10016"/>
    <cellStyle name="Cálculo 4 2 5 5 2" xfId="20384"/>
    <cellStyle name="Cálculo 4 2 5 5 2 2" xfId="49565"/>
    <cellStyle name="Cálculo 4 2 5 5 3" xfId="39199"/>
    <cellStyle name="Cálculo 4 2 5 6" xfId="16285"/>
    <cellStyle name="Cálculo 4 2 5 6 2" xfId="45466"/>
    <cellStyle name="Cálculo 4 2 5 7" xfId="30306"/>
    <cellStyle name="Cálculo 4 2 6" xfId="1265"/>
    <cellStyle name="Cálculo 4 2 6 2" xfId="2167"/>
    <cellStyle name="Cálculo 4 2 6 2 2" xfId="3967"/>
    <cellStyle name="Cálculo 4 2 6 2 2 2" xfId="6874"/>
    <cellStyle name="Cálculo 4 2 6 2 2 2 2" xfId="18514"/>
    <cellStyle name="Cálculo 4 2 6 2 2 2 2 2" xfId="47695"/>
    <cellStyle name="Cálculo 4 2 6 2 2 2 3" xfId="36057"/>
    <cellStyle name="Cálculo 4 2 6 2 2 3" xfId="7113"/>
    <cellStyle name="Cálculo 4 2 6 2 2 3 2" xfId="18644"/>
    <cellStyle name="Cálculo 4 2 6 2 2 3 2 2" xfId="47825"/>
    <cellStyle name="Cálculo 4 2 6 2 2 3 3" xfId="36296"/>
    <cellStyle name="Cálculo 4 2 6 2 2 4" xfId="12826"/>
    <cellStyle name="Cálculo 4 2 6 2 2 4 2" xfId="42007"/>
    <cellStyle name="Cálculo 4 2 6 2 2 5" xfId="33150"/>
    <cellStyle name="Cálculo 4 2 6 2 3" xfId="5434"/>
    <cellStyle name="Cálculo 4 2 6 2 3 2" xfId="17052"/>
    <cellStyle name="Cálculo 4 2 6 2 3 2 2" xfId="46233"/>
    <cellStyle name="Cálculo 4 2 6 2 3 3" xfId="34617"/>
    <cellStyle name="Cálculo 4 2 6 2 4" xfId="9930"/>
    <cellStyle name="Cálculo 4 2 6 2 4 2" xfId="20329"/>
    <cellStyle name="Cálculo 4 2 6 2 4 2 2" xfId="49510"/>
    <cellStyle name="Cálculo 4 2 6 2 4 3" xfId="39113"/>
    <cellStyle name="Cálculo 4 2 6 2 5" xfId="18082"/>
    <cellStyle name="Cálculo 4 2 6 2 5 2" xfId="47263"/>
    <cellStyle name="Cálculo 4 2 6 2 6" xfId="31350"/>
    <cellStyle name="Cálculo 4 2 6 3" xfId="3067"/>
    <cellStyle name="Cálculo 4 2 6 3 2" xfId="6154"/>
    <cellStyle name="Cálculo 4 2 6 3 2 2" xfId="18154"/>
    <cellStyle name="Cálculo 4 2 6 3 2 2 2" xfId="47335"/>
    <cellStyle name="Cálculo 4 2 6 3 2 3" xfId="35337"/>
    <cellStyle name="Cálculo 4 2 6 3 3" xfId="9182"/>
    <cellStyle name="Cálculo 4 2 6 3 3 2" xfId="19876"/>
    <cellStyle name="Cálculo 4 2 6 3 3 2 2" xfId="49057"/>
    <cellStyle name="Cálculo 4 2 6 3 3 3" xfId="38365"/>
    <cellStyle name="Cálculo 4 2 6 3 4" xfId="17486"/>
    <cellStyle name="Cálculo 4 2 6 3 4 2" xfId="46667"/>
    <cellStyle name="Cálculo 4 2 6 3 5" xfId="32250"/>
    <cellStyle name="Cálculo 4 2 6 4" xfId="4714"/>
    <cellStyle name="Cálculo 4 2 6 4 2" xfId="12500"/>
    <cellStyle name="Cálculo 4 2 6 4 2 2" xfId="41681"/>
    <cellStyle name="Cálculo 4 2 6 4 3" xfId="33897"/>
    <cellStyle name="Cálculo 4 2 6 5" xfId="8255"/>
    <cellStyle name="Cálculo 4 2 6 5 2" xfId="19314"/>
    <cellStyle name="Cálculo 4 2 6 5 2 2" xfId="48495"/>
    <cellStyle name="Cálculo 4 2 6 5 3" xfId="37438"/>
    <cellStyle name="Cálculo 4 2 6 6" xfId="11504"/>
    <cellStyle name="Cálculo 4 2 6 6 2" xfId="40685"/>
    <cellStyle name="Cálculo 4 2 6 7" xfId="30450"/>
    <cellStyle name="Cálculo 4 2 7" xfId="1447"/>
    <cellStyle name="Cálculo 4 2 7 2" xfId="3247"/>
    <cellStyle name="Cálculo 4 2 7 2 2" xfId="6298"/>
    <cellStyle name="Cálculo 4 2 7 2 2 2" xfId="18226"/>
    <cellStyle name="Cálculo 4 2 7 2 2 2 2" xfId="47407"/>
    <cellStyle name="Cálculo 4 2 7 2 2 3" xfId="35481"/>
    <cellStyle name="Cálculo 4 2 7 2 3" xfId="9044"/>
    <cellStyle name="Cálculo 4 2 7 2 3 2" xfId="19792"/>
    <cellStyle name="Cálculo 4 2 7 2 3 2 2" xfId="48973"/>
    <cellStyle name="Cálculo 4 2 7 2 3 3" xfId="38227"/>
    <cellStyle name="Cálculo 4 2 7 2 4" xfId="17238"/>
    <cellStyle name="Cálculo 4 2 7 2 4 2" xfId="46419"/>
    <cellStyle name="Cálculo 4 2 7 2 5" xfId="32430"/>
    <cellStyle name="Cálculo 4 2 7 3" xfId="4858"/>
    <cellStyle name="Cálculo 4 2 7 3 2" xfId="14521"/>
    <cellStyle name="Cálculo 4 2 7 3 2 2" xfId="43702"/>
    <cellStyle name="Cálculo 4 2 7 3 3" xfId="34041"/>
    <cellStyle name="Cálculo 4 2 7 4" xfId="8947"/>
    <cellStyle name="Cálculo 4 2 7 4 2" xfId="19738"/>
    <cellStyle name="Cálculo 4 2 7 4 2 2" xfId="48919"/>
    <cellStyle name="Cálculo 4 2 7 4 3" xfId="38130"/>
    <cellStyle name="Cálculo 4 2 7 5" xfId="11804"/>
    <cellStyle name="Cálculo 4 2 7 5 2" xfId="40985"/>
    <cellStyle name="Cálculo 4 2 7 6" xfId="30630"/>
    <cellStyle name="Cálculo 4 2 8" xfId="2347"/>
    <cellStyle name="Cálculo 4 2 8 2" xfId="5578"/>
    <cellStyle name="Cálculo 4 2 8 2 2" xfId="13954"/>
    <cellStyle name="Cálculo 4 2 8 2 2 2" xfId="43135"/>
    <cellStyle name="Cálculo 4 2 8 2 3" xfId="34761"/>
    <cellStyle name="Cálculo 4 2 8 3" xfId="7611"/>
    <cellStyle name="Cálculo 4 2 8 3 2" xfId="18927"/>
    <cellStyle name="Cálculo 4 2 8 3 2 2" xfId="48108"/>
    <cellStyle name="Cálculo 4 2 8 3 3" xfId="36794"/>
    <cellStyle name="Cálculo 4 2 8 4" xfId="16938"/>
    <cellStyle name="Cálculo 4 2 8 4 2" xfId="46119"/>
    <cellStyle name="Cálculo 4 2 8 5" xfId="31530"/>
    <cellStyle name="Cálculo 4 2 9" xfId="4138"/>
    <cellStyle name="Cálculo 4 2 9 2" xfId="10781"/>
    <cellStyle name="Cálculo 4 2 9 2 2" xfId="39962"/>
    <cellStyle name="Cálculo 4 2 9 3" xfId="33321"/>
    <cellStyle name="Cálculo 4 3" xfId="469"/>
    <cellStyle name="Cálculo 4 3 10" xfId="12777"/>
    <cellStyle name="Cálculo 4 3 10 2" xfId="41958"/>
    <cellStyle name="Cálculo 4 3 11" xfId="29675"/>
    <cellStyle name="Cálculo 4 3 2" xfId="822"/>
    <cellStyle name="Cálculo 4 3 2 2" xfId="1760"/>
    <cellStyle name="Cálculo 4 3 2 2 2" xfId="3560"/>
    <cellStyle name="Cálculo 4 3 2 2 2 2" xfId="6548"/>
    <cellStyle name="Cálculo 4 3 2 2 2 2 2" xfId="18370"/>
    <cellStyle name="Cálculo 4 3 2 2 2 2 2 2" xfId="47551"/>
    <cellStyle name="Cálculo 4 3 2 2 2 2 3" xfId="35731"/>
    <cellStyle name="Cálculo 4 3 2 2 2 3" xfId="8687"/>
    <cellStyle name="Cálculo 4 3 2 2 2 3 2" xfId="19582"/>
    <cellStyle name="Cálculo 4 3 2 2 2 3 2 2" xfId="48763"/>
    <cellStyle name="Cálculo 4 3 2 2 2 3 3" xfId="37870"/>
    <cellStyle name="Cálculo 4 3 2 2 2 4" xfId="15471"/>
    <cellStyle name="Cálculo 4 3 2 2 2 4 2" xfId="44652"/>
    <cellStyle name="Cálculo 4 3 2 2 2 5" xfId="32743"/>
    <cellStyle name="Cálculo 4 3 2 2 3" xfId="5108"/>
    <cellStyle name="Cálculo 4 3 2 2 3 2" xfId="14971"/>
    <cellStyle name="Cálculo 4 3 2 2 3 2 2" xfId="44152"/>
    <cellStyle name="Cálculo 4 3 2 2 3 3" xfId="34291"/>
    <cellStyle name="Cálculo 4 3 2 2 4" xfId="8629"/>
    <cellStyle name="Cálculo 4 3 2 2 4 2" xfId="19550"/>
    <cellStyle name="Cálculo 4 3 2 2 4 2 2" xfId="48731"/>
    <cellStyle name="Cálculo 4 3 2 2 4 3" xfId="37812"/>
    <cellStyle name="Cálculo 4 3 2 2 5" xfId="17895"/>
    <cellStyle name="Cálculo 4 3 2 2 5 2" xfId="47076"/>
    <cellStyle name="Cálculo 4 3 2 2 6" xfId="30943"/>
    <cellStyle name="Cálculo 4 3 2 3" xfId="2660"/>
    <cellStyle name="Cálculo 4 3 2 3 2" xfId="5828"/>
    <cellStyle name="Cálculo 4 3 2 3 2 2" xfId="14408"/>
    <cellStyle name="Cálculo 4 3 2 3 2 2 2" xfId="43589"/>
    <cellStyle name="Cálculo 4 3 2 3 2 3" xfId="35011"/>
    <cellStyle name="Cálculo 4 3 2 3 3" xfId="9934"/>
    <cellStyle name="Cálculo 4 3 2 3 3 2" xfId="20331"/>
    <cellStyle name="Cálculo 4 3 2 3 3 2 2" xfId="49512"/>
    <cellStyle name="Cálculo 4 3 2 3 3 3" xfId="39117"/>
    <cellStyle name="Cálculo 4 3 2 3 4" xfId="15929"/>
    <cellStyle name="Cálculo 4 3 2 3 4 2" xfId="45110"/>
    <cellStyle name="Cálculo 4 3 2 3 5" xfId="31843"/>
    <cellStyle name="Cálculo 4 3 2 4" xfId="4388"/>
    <cellStyle name="Cálculo 4 3 2 4 2" xfId="16778"/>
    <cellStyle name="Cálculo 4 3 2 4 2 2" xfId="45959"/>
    <cellStyle name="Cálculo 4 3 2 4 3" xfId="33571"/>
    <cellStyle name="Cálculo 4 3 2 5" xfId="9071"/>
    <cellStyle name="Cálculo 4 3 2 5 2" xfId="19808"/>
    <cellStyle name="Cálculo 4 3 2 5 2 2" xfId="48989"/>
    <cellStyle name="Cálculo 4 3 2 5 3" xfId="38254"/>
    <cellStyle name="Cálculo 4 3 2 6" xfId="17636"/>
    <cellStyle name="Cálculo 4 3 2 6 2" xfId="46817"/>
    <cellStyle name="Cálculo 4 3 2 7" xfId="30019"/>
    <cellStyle name="Cálculo 4 3 3" xfId="1014"/>
    <cellStyle name="Cálculo 4 3 3 2" xfId="1924"/>
    <cellStyle name="Cálculo 4 3 3 2 2" xfId="3724"/>
    <cellStyle name="Cálculo 4 3 3 2 2 2" xfId="6676"/>
    <cellStyle name="Cálculo 4 3 3 2 2 2 2" xfId="18424"/>
    <cellStyle name="Cálculo 4 3 3 2 2 2 2 2" xfId="47605"/>
    <cellStyle name="Cálculo 4 3 3 2 2 2 3" xfId="35859"/>
    <cellStyle name="Cálculo 4 3 3 2 2 3" xfId="8546"/>
    <cellStyle name="Cálculo 4 3 3 2 2 3 2" xfId="19503"/>
    <cellStyle name="Cálculo 4 3 3 2 2 3 2 2" xfId="48684"/>
    <cellStyle name="Cálculo 4 3 3 2 2 3 3" xfId="37729"/>
    <cellStyle name="Cálculo 4 3 3 2 2 4" xfId="10657"/>
    <cellStyle name="Cálculo 4 3 3 2 2 4 2" xfId="39838"/>
    <cellStyle name="Cálculo 4 3 3 2 2 5" xfId="32907"/>
    <cellStyle name="Cálculo 4 3 3 2 3" xfId="5236"/>
    <cellStyle name="Cálculo 4 3 3 2 3 2" xfId="11628"/>
    <cellStyle name="Cálculo 4 3 3 2 3 2 2" xfId="40809"/>
    <cellStyle name="Cálculo 4 3 3 2 3 3" xfId="34419"/>
    <cellStyle name="Cálculo 4 3 3 2 4" xfId="8488"/>
    <cellStyle name="Cálculo 4 3 3 2 4 2" xfId="19467"/>
    <cellStyle name="Cálculo 4 3 3 2 4 2 2" xfId="48648"/>
    <cellStyle name="Cálculo 4 3 3 2 4 3" xfId="37671"/>
    <cellStyle name="Cálculo 4 3 3 2 5" xfId="12771"/>
    <cellStyle name="Cálculo 4 3 3 2 5 2" xfId="41952"/>
    <cellStyle name="Cálculo 4 3 3 2 6" xfId="31107"/>
    <cellStyle name="Cálculo 4 3 3 3" xfId="2824"/>
    <cellStyle name="Cálculo 4 3 3 3 2" xfId="5956"/>
    <cellStyle name="Cálculo 4 3 3 3 2 2" xfId="10607"/>
    <cellStyle name="Cálculo 4 3 3 3 2 2 2" xfId="39788"/>
    <cellStyle name="Cálculo 4 3 3 3 2 3" xfId="35139"/>
    <cellStyle name="Cálculo 4 3 3 3 3" xfId="9997"/>
    <cellStyle name="Cálculo 4 3 3 3 3 2" xfId="20372"/>
    <cellStyle name="Cálculo 4 3 3 3 3 2 2" xfId="49553"/>
    <cellStyle name="Cálculo 4 3 3 3 3 3" xfId="39180"/>
    <cellStyle name="Cálculo 4 3 3 3 4" xfId="13881"/>
    <cellStyle name="Cálculo 4 3 3 3 4 2" xfId="43062"/>
    <cellStyle name="Cálculo 4 3 3 3 5" xfId="32007"/>
    <cellStyle name="Cálculo 4 3 3 4" xfId="4516"/>
    <cellStyle name="Cálculo 4 3 3 4 2" xfId="16874"/>
    <cellStyle name="Cálculo 4 3 3 4 2 2" xfId="46055"/>
    <cellStyle name="Cálculo 4 3 3 4 3" xfId="33699"/>
    <cellStyle name="Cálculo 4 3 3 5" xfId="8755"/>
    <cellStyle name="Cálculo 4 3 3 5 2" xfId="19622"/>
    <cellStyle name="Cálculo 4 3 3 5 2 2" xfId="48803"/>
    <cellStyle name="Cálculo 4 3 3 5 3" xfId="37938"/>
    <cellStyle name="Cálculo 4 3 3 6" xfId="16388"/>
    <cellStyle name="Cálculo 4 3 3 6 2" xfId="45569"/>
    <cellStyle name="Cálculo 4 3 3 7" xfId="30204"/>
    <cellStyle name="Cálculo 4 3 4" xfId="1164"/>
    <cellStyle name="Cálculo 4 3 4 2" xfId="2068"/>
    <cellStyle name="Cálculo 4 3 4 2 2" xfId="3868"/>
    <cellStyle name="Cálculo 4 3 4 2 2 2" xfId="6793"/>
    <cellStyle name="Cálculo 4 3 4 2 2 2 2" xfId="18478"/>
    <cellStyle name="Cálculo 4 3 4 2 2 2 2 2" xfId="47659"/>
    <cellStyle name="Cálculo 4 3 4 2 2 2 3" xfId="35976"/>
    <cellStyle name="Cálculo 4 3 4 2 2 3" xfId="9840"/>
    <cellStyle name="Cálculo 4 3 4 2 2 3 2" xfId="20273"/>
    <cellStyle name="Cálculo 4 3 4 2 2 3 2 2" xfId="49454"/>
    <cellStyle name="Cálculo 4 3 4 2 2 3 3" xfId="39023"/>
    <cellStyle name="Cálculo 4 3 4 2 2 4" xfId="15903"/>
    <cellStyle name="Cálculo 4 3 4 2 2 4 2" xfId="45084"/>
    <cellStyle name="Cálculo 4 3 4 2 2 5" xfId="33051"/>
    <cellStyle name="Cálculo 4 3 4 2 3" xfId="5353"/>
    <cellStyle name="Cálculo 4 3 4 2 3 2" xfId="13277"/>
    <cellStyle name="Cálculo 4 3 4 2 3 2 2" xfId="42458"/>
    <cellStyle name="Cálculo 4 3 4 2 3 3" xfId="34536"/>
    <cellStyle name="Cálculo 4 3 4 2 4" xfId="9372"/>
    <cellStyle name="Cálculo 4 3 4 2 4 2" xfId="19993"/>
    <cellStyle name="Cálculo 4 3 4 2 4 2 2" xfId="49174"/>
    <cellStyle name="Cálculo 4 3 4 2 4 3" xfId="38555"/>
    <cellStyle name="Cálculo 4 3 4 2 5" xfId="12913"/>
    <cellStyle name="Cálculo 4 3 4 2 5 2" xfId="42094"/>
    <cellStyle name="Cálculo 4 3 4 2 6" xfId="31251"/>
    <cellStyle name="Cálculo 4 3 4 3" xfId="2968"/>
    <cellStyle name="Cálculo 4 3 4 3 2" xfId="6073"/>
    <cellStyle name="Cálculo 4 3 4 3 2 2" xfId="10553"/>
    <cellStyle name="Cálculo 4 3 4 3 2 2 2" xfId="39734"/>
    <cellStyle name="Cálculo 4 3 4 3 2 3" xfId="35256"/>
    <cellStyle name="Cálculo 4 3 4 3 3" xfId="7951"/>
    <cellStyle name="Cálculo 4 3 4 3 3 2" xfId="19132"/>
    <cellStyle name="Cálculo 4 3 4 3 3 2 2" xfId="48313"/>
    <cellStyle name="Cálculo 4 3 4 3 3 3" xfId="37134"/>
    <cellStyle name="Cálculo 4 3 4 3 4" xfId="14850"/>
    <cellStyle name="Cálculo 4 3 4 3 4 2" xfId="44031"/>
    <cellStyle name="Cálculo 4 3 4 3 5" xfId="32151"/>
    <cellStyle name="Cálculo 4 3 4 4" xfId="4633"/>
    <cellStyle name="Cálculo 4 3 4 4 2" xfId="14413"/>
    <cellStyle name="Cálculo 4 3 4 4 2 2" xfId="43594"/>
    <cellStyle name="Cálculo 4 3 4 4 3" xfId="33816"/>
    <cellStyle name="Cálculo 4 3 4 5" xfId="9757"/>
    <cellStyle name="Cálculo 4 3 4 5 2" xfId="20225"/>
    <cellStyle name="Cálculo 4 3 4 5 2 2" xfId="49406"/>
    <cellStyle name="Cálculo 4 3 4 5 3" xfId="38940"/>
    <cellStyle name="Cálculo 4 3 4 6" xfId="12508"/>
    <cellStyle name="Cálculo 4 3 4 6 2" xfId="41689"/>
    <cellStyle name="Cálculo 4 3 4 7" xfId="30351"/>
    <cellStyle name="Cálculo 4 3 5" xfId="1310"/>
    <cellStyle name="Cálculo 4 3 5 2" xfId="2212"/>
    <cellStyle name="Cálculo 4 3 5 2 2" xfId="4012"/>
    <cellStyle name="Cálculo 4 3 5 2 2 2" xfId="6910"/>
    <cellStyle name="Cálculo 4 3 5 2 2 2 2" xfId="18532"/>
    <cellStyle name="Cálculo 4 3 5 2 2 2 2 2" xfId="47713"/>
    <cellStyle name="Cálculo 4 3 5 2 2 2 3" xfId="36093"/>
    <cellStyle name="Cálculo 4 3 5 2 2 3" xfId="7068"/>
    <cellStyle name="Cálculo 4 3 5 2 2 3 2" xfId="18617"/>
    <cellStyle name="Cálculo 4 3 5 2 2 3 2 2" xfId="47798"/>
    <cellStyle name="Cálculo 4 3 5 2 2 3 3" xfId="36251"/>
    <cellStyle name="Cálculo 4 3 5 2 2 4" xfId="16490"/>
    <cellStyle name="Cálculo 4 3 5 2 2 4 2" xfId="45671"/>
    <cellStyle name="Cálculo 4 3 5 2 2 5" xfId="33195"/>
    <cellStyle name="Cálculo 4 3 5 2 3" xfId="5470"/>
    <cellStyle name="Cálculo 4 3 5 2 3 2" xfId="16802"/>
    <cellStyle name="Cálculo 4 3 5 2 3 2 2" xfId="45983"/>
    <cellStyle name="Cálculo 4 3 5 2 3 3" xfId="34653"/>
    <cellStyle name="Cálculo 4 3 5 2 4" xfId="7715"/>
    <cellStyle name="Cálculo 4 3 5 2 4 2" xfId="18989"/>
    <cellStyle name="Cálculo 4 3 5 2 4 2 2" xfId="48170"/>
    <cellStyle name="Cálculo 4 3 5 2 4 3" xfId="36898"/>
    <cellStyle name="Cálculo 4 3 5 2 5" xfId="11024"/>
    <cellStyle name="Cálculo 4 3 5 2 5 2" xfId="40205"/>
    <cellStyle name="Cálculo 4 3 5 2 6" xfId="31395"/>
    <cellStyle name="Cálculo 4 3 5 3" xfId="3112"/>
    <cellStyle name="Cálculo 4 3 5 3 2" xfId="6190"/>
    <cellStyle name="Cálculo 4 3 5 3 2 2" xfId="18172"/>
    <cellStyle name="Cálculo 4 3 5 3 2 2 2" xfId="47353"/>
    <cellStyle name="Cálculo 4 3 5 3 2 3" xfId="35373"/>
    <cellStyle name="Cálculo 4 3 5 3 3" xfId="8515"/>
    <cellStyle name="Cálculo 4 3 5 3 3 2" xfId="19482"/>
    <cellStyle name="Cálculo 4 3 5 3 3 2 2" xfId="48663"/>
    <cellStyle name="Cálculo 4 3 5 3 3 3" xfId="37698"/>
    <cellStyle name="Cálculo 4 3 5 3 4" xfId="16196"/>
    <cellStyle name="Cálculo 4 3 5 3 4 2" xfId="45377"/>
    <cellStyle name="Cálculo 4 3 5 3 5" xfId="32295"/>
    <cellStyle name="Cálculo 4 3 5 4" xfId="4750"/>
    <cellStyle name="Cálculo 4 3 5 4 2" xfId="16883"/>
    <cellStyle name="Cálculo 4 3 5 4 2 2" xfId="46064"/>
    <cellStyle name="Cálculo 4 3 5 4 3" xfId="33933"/>
    <cellStyle name="Cálculo 4 3 5 5" xfId="10327"/>
    <cellStyle name="Cálculo 4 3 5 5 2" xfId="20568"/>
    <cellStyle name="Cálculo 4 3 5 5 2 2" xfId="49749"/>
    <cellStyle name="Cálculo 4 3 5 5 3" xfId="39510"/>
    <cellStyle name="Cálculo 4 3 5 6" xfId="13348"/>
    <cellStyle name="Cálculo 4 3 5 6 2" xfId="42529"/>
    <cellStyle name="Cálculo 4 3 5 7" xfId="30495"/>
    <cellStyle name="Cálculo 4 3 6" xfId="1492"/>
    <cellStyle name="Cálculo 4 3 6 2" xfId="3292"/>
    <cellStyle name="Cálculo 4 3 6 2 2" xfId="6334"/>
    <cellStyle name="Cálculo 4 3 6 2 2 2" xfId="18244"/>
    <cellStyle name="Cálculo 4 3 6 2 2 2 2" xfId="47425"/>
    <cellStyle name="Cálculo 4 3 6 2 2 3" xfId="35517"/>
    <cellStyle name="Cálculo 4 3 6 2 3" xfId="9950"/>
    <cellStyle name="Cálculo 4 3 6 2 3 2" xfId="20340"/>
    <cellStyle name="Cálculo 4 3 6 2 3 2 2" xfId="49521"/>
    <cellStyle name="Cálculo 4 3 6 2 3 3" xfId="39133"/>
    <cellStyle name="Cálculo 4 3 6 2 4" xfId="15808"/>
    <cellStyle name="Cálculo 4 3 6 2 4 2" xfId="44989"/>
    <cellStyle name="Cálculo 4 3 6 2 5" xfId="32475"/>
    <cellStyle name="Cálculo 4 3 6 3" xfId="4894"/>
    <cellStyle name="Cálculo 4 3 6 3 2" xfId="12436"/>
    <cellStyle name="Cálculo 4 3 6 3 2 2" xfId="41617"/>
    <cellStyle name="Cálculo 4 3 6 3 3" xfId="34077"/>
    <cellStyle name="Cálculo 4 3 6 4" xfId="9518"/>
    <cellStyle name="Cálculo 4 3 6 4 2" xfId="20076"/>
    <cellStyle name="Cálculo 4 3 6 4 2 2" xfId="49257"/>
    <cellStyle name="Cálculo 4 3 6 4 3" xfId="38701"/>
    <cellStyle name="Cálculo 4 3 6 5" xfId="17738"/>
    <cellStyle name="Cálculo 4 3 6 5 2" xfId="46919"/>
    <cellStyle name="Cálculo 4 3 6 6" xfId="30675"/>
    <cellStyle name="Cálculo 4 3 7" xfId="2392"/>
    <cellStyle name="Cálculo 4 3 7 2" xfId="5614"/>
    <cellStyle name="Cálculo 4 3 7 2 2" xfId="17397"/>
    <cellStyle name="Cálculo 4 3 7 2 2 2" xfId="46578"/>
    <cellStyle name="Cálculo 4 3 7 2 3" xfId="34797"/>
    <cellStyle name="Cálculo 4 3 7 3" xfId="7979"/>
    <cellStyle name="Cálculo 4 3 7 3 2" xfId="19150"/>
    <cellStyle name="Cálculo 4 3 7 3 2 2" xfId="48331"/>
    <cellStyle name="Cálculo 4 3 7 3 3" xfId="37162"/>
    <cellStyle name="Cálculo 4 3 7 4" xfId="11055"/>
    <cellStyle name="Cálculo 4 3 7 4 2" xfId="40236"/>
    <cellStyle name="Cálculo 4 3 7 5" xfId="31575"/>
    <cellStyle name="Cálculo 4 3 8" xfId="4174"/>
    <cellStyle name="Cálculo 4 3 8 2" xfId="13671"/>
    <cellStyle name="Cálculo 4 3 8 2 2" xfId="42852"/>
    <cellStyle name="Cálculo 4 3 8 3" xfId="33357"/>
    <cellStyle name="Cálculo 4 3 9" xfId="9527"/>
    <cellStyle name="Cálculo 4 3 9 2" xfId="20082"/>
    <cellStyle name="Cálculo 4 3 9 2 2" xfId="49263"/>
    <cellStyle name="Cálculo 4 3 9 3" xfId="38710"/>
    <cellStyle name="Cálculo 4 4" xfId="640"/>
    <cellStyle name="Cálculo 4 4 2" xfId="1632"/>
    <cellStyle name="Cálculo 4 4 2 2" xfId="3432"/>
    <cellStyle name="Cálculo 4 4 2 2 2" xfId="6447"/>
    <cellStyle name="Cálculo 4 4 2 2 2 2" xfId="18314"/>
    <cellStyle name="Cálculo 4 4 2 2 2 2 2" xfId="47495"/>
    <cellStyle name="Cálculo 4 4 2 2 2 3" xfId="35630"/>
    <cellStyle name="Cálculo 4 4 2 2 3" xfId="8191"/>
    <cellStyle name="Cálculo 4 4 2 2 3 2" xfId="19281"/>
    <cellStyle name="Cálculo 4 4 2 2 3 2 2" xfId="48462"/>
    <cellStyle name="Cálculo 4 4 2 2 3 3" xfId="37374"/>
    <cellStyle name="Cálculo 4 4 2 2 4" xfId="13819"/>
    <cellStyle name="Cálculo 4 4 2 2 4 2" xfId="43000"/>
    <cellStyle name="Cálculo 4 4 2 2 5" xfId="32615"/>
    <cellStyle name="Cálculo 4 4 2 3" xfId="5007"/>
    <cellStyle name="Cálculo 4 4 2 3 2" xfId="15181"/>
    <cellStyle name="Cálculo 4 4 2 3 2 2" xfId="44362"/>
    <cellStyle name="Cálculo 4 4 2 3 3" xfId="34190"/>
    <cellStyle name="Cálculo 4 4 2 4" xfId="7760"/>
    <cellStyle name="Cálculo 4 4 2 4 2" xfId="19016"/>
    <cellStyle name="Cálculo 4 4 2 4 2 2" xfId="48197"/>
    <cellStyle name="Cálculo 4 4 2 4 3" xfId="36943"/>
    <cellStyle name="Cálculo 4 4 2 5" xfId="12678"/>
    <cellStyle name="Cálculo 4 4 2 5 2" xfId="41859"/>
    <cellStyle name="Cálculo 4 4 2 6" xfId="30815"/>
    <cellStyle name="Cálculo 4 4 3" xfId="2532"/>
    <cellStyle name="Cálculo 4 4 3 2" xfId="5727"/>
    <cellStyle name="Cálculo 4 4 3 2 2" xfId="10896"/>
    <cellStyle name="Cálculo 4 4 3 2 2 2" xfId="40077"/>
    <cellStyle name="Cálculo 4 4 3 2 3" xfId="34910"/>
    <cellStyle name="Cálculo 4 4 3 3" xfId="8560"/>
    <cellStyle name="Cálculo 4 4 3 3 2" xfId="19510"/>
    <cellStyle name="Cálculo 4 4 3 3 2 2" xfId="48691"/>
    <cellStyle name="Cálculo 4 4 3 3 3" xfId="37743"/>
    <cellStyle name="Cálculo 4 4 3 4" xfId="17918"/>
    <cellStyle name="Cálculo 4 4 3 4 2" xfId="47099"/>
    <cellStyle name="Cálculo 4 4 3 5" xfId="31715"/>
    <cellStyle name="Cálculo 4 4 4" xfId="4287"/>
    <cellStyle name="Cálculo 4 4 4 2" xfId="17441"/>
    <cellStyle name="Cálculo 4 4 4 2 2" xfId="46622"/>
    <cellStyle name="Cálculo 4 4 4 3" xfId="33470"/>
    <cellStyle name="Cálculo 4 4 5" xfId="9033"/>
    <cellStyle name="Cálculo 4 4 5 2" xfId="19785"/>
    <cellStyle name="Cálculo 4 4 5 2 2" xfId="48966"/>
    <cellStyle name="Cálculo 4 4 5 3" xfId="38216"/>
    <cellStyle name="Cálculo 4 4 6" xfId="12549"/>
    <cellStyle name="Cálculo 4 4 6 2" xfId="41730"/>
    <cellStyle name="Cálculo 4 4 7" xfId="29843"/>
    <cellStyle name="Cálculo 4 5" xfId="635"/>
    <cellStyle name="Cálculo 4 5 2" xfId="1627"/>
    <cellStyle name="Cálculo 4 5 2 2" xfId="3427"/>
    <cellStyle name="Cálculo 4 5 2 2 2" xfId="6442"/>
    <cellStyle name="Cálculo 4 5 2 2 2 2" xfId="18309"/>
    <cellStyle name="Cálculo 4 5 2 2 2 2 2" xfId="47490"/>
    <cellStyle name="Cálculo 4 5 2 2 2 3" xfId="35625"/>
    <cellStyle name="Cálculo 4 5 2 2 3" xfId="9884"/>
    <cellStyle name="Cálculo 4 5 2 2 3 2" xfId="20298"/>
    <cellStyle name="Cálculo 4 5 2 2 3 2 2" xfId="49479"/>
    <cellStyle name="Cálculo 4 5 2 2 3 3" xfId="39067"/>
    <cellStyle name="Cálculo 4 5 2 2 4" xfId="15590"/>
    <cellStyle name="Cálculo 4 5 2 2 4 2" xfId="44771"/>
    <cellStyle name="Cálculo 4 5 2 2 5" xfId="32610"/>
    <cellStyle name="Cálculo 4 5 2 3" xfId="5002"/>
    <cellStyle name="Cálculo 4 5 2 3 2" xfId="14627"/>
    <cellStyle name="Cálculo 4 5 2 3 2 2" xfId="43808"/>
    <cellStyle name="Cálculo 4 5 2 3 3" xfId="34185"/>
    <cellStyle name="Cálculo 4 5 2 4" xfId="8708"/>
    <cellStyle name="Cálculo 4 5 2 4 2" xfId="19591"/>
    <cellStyle name="Cálculo 4 5 2 4 2 2" xfId="48772"/>
    <cellStyle name="Cálculo 4 5 2 4 3" xfId="37891"/>
    <cellStyle name="Cálculo 4 5 2 5" xfId="11530"/>
    <cellStyle name="Cálculo 4 5 2 5 2" xfId="40711"/>
    <cellStyle name="Cálculo 4 5 2 6" xfId="30810"/>
    <cellStyle name="Cálculo 4 5 3" xfId="2527"/>
    <cellStyle name="Cálculo 4 5 3 2" xfId="5722"/>
    <cellStyle name="Cálculo 4 5 3 2 2" xfId="14056"/>
    <cellStyle name="Cálculo 4 5 3 2 2 2" xfId="43237"/>
    <cellStyle name="Cálculo 4 5 3 2 3" xfId="34905"/>
    <cellStyle name="Cálculo 4 5 3 3" xfId="10235"/>
    <cellStyle name="Cálculo 4 5 3 3 2" xfId="20508"/>
    <cellStyle name="Cálculo 4 5 3 3 2 2" xfId="49689"/>
    <cellStyle name="Cálculo 4 5 3 3 3" xfId="39418"/>
    <cellStyle name="Cálculo 4 5 3 4" xfId="17166"/>
    <cellStyle name="Cálculo 4 5 3 4 2" xfId="46347"/>
    <cellStyle name="Cálculo 4 5 3 5" xfId="31710"/>
    <cellStyle name="Cálculo 4 5 4" xfId="4282"/>
    <cellStyle name="Cálculo 4 5 4 2" xfId="16870"/>
    <cellStyle name="Cálculo 4 5 4 2 2" xfId="46051"/>
    <cellStyle name="Cálculo 4 5 4 3" xfId="33465"/>
    <cellStyle name="Cálculo 4 5 5" xfId="8619"/>
    <cellStyle name="Cálculo 4 5 5 2" xfId="19545"/>
    <cellStyle name="Cálculo 4 5 5 2 2" xfId="48726"/>
    <cellStyle name="Cálculo 4 5 5 3" xfId="37802"/>
    <cellStyle name="Cálculo 4 5 6" xfId="13290"/>
    <cellStyle name="Cálculo 4 5 6 2" xfId="42471"/>
    <cellStyle name="Cálculo 4 5 7" xfId="29838"/>
    <cellStyle name="Cálculo 4 6" xfId="628"/>
    <cellStyle name="Cálculo 4 6 2" xfId="1620"/>
    <cellStyle name="Cálculo 4 6 2 2" xfId="3420"/>
    <cellStyle name="Cálculo 4 6 2 2 2" xfId="6435"/>
    <cellStyle name="Cálculo 4 6 2 2 2 2" xfId="18302"/>
    <cellStyle name="Cálculo 4 6 2 2 2 2 2" xfId="47483"/>
    <cellStyle name="Cálculo 4 6 2 2 2 3" xfId="35618"/>
    <cellStyle name="Cálculo 4 6 2 2 3" xfId="8651"/>
    <cellStyle name="Cálculo 4 6 2 2 3 2" xfId="19561"/>
    <cellStyle name="Cálculo 4 6 2 2 3 2 2" xfId="48742"/>
    <cellStyle name="Cálculo 4 6 2 2 3 3" xfId="37834"/>
    <cellStyle name="Cálculo 4 6 2 2 4" xfId="13905"/>
    <cellStyle name="Cálculo 4 6 2 2 4 2" xfId="43086"/>
    <cellStyle name="Cálculo 4 6 2 2 5" xfId="32603"/>
    <cellStyle name="Cálculo 4 6 2 3" xfId="4995"/>
    <cellStyle name="Cálculo 4 6 2 3 2" xfId="15199"/>
    <cellStyle name="Cálculo 4 6 2 3 2 2" xfId="44380"/>
    <cellStyle name="Cálculo 4 6 2 3 3" xfId="34178"/>
    <cellStyle name="Cálculo 4 6 2 4" xfId="8171"/>
    <cellStyle name="Cálculo 4 6 2 4 2" xfId="19267"/>
    <cellStyle name="Cálculo 4 6 2 4 2 2" xfId="48448"/>
    <cellStyle name="Cálculo 4 6 2 4 3" xfId="37354"/>
    <cellStyle name="Cálculo 4 6 2 5" xfId="14556"/>
    <cellStyle name="Cálculo 4 6 2 5 2" xfId="43737"/>
    <cellStyle name="Cálculo 4 6 2 6" xfId="30803"/>
    <cellStyle name="Cálculo 4 6 3" xfId="2520"/>
    <cellStyle name="Cálculo 4 6 3 2" xfId="5715"/>
    <cellStyle name="Cálculo 4 6 3 2 2" xfId="10920"/>
    <cellStyle name="Cálculo 4 6 3 2 2 2" xfId="40101"/>
    <cellStyle name="Cálculo 4 6 3 2 3" xfId="34898"/>
    <cellStyle name="Cálculo 4 6 3 3" xfId="8936"/>
    <cellStyle name="Cálculo 4 6 3 3 2" xfId="19731"/>
    <cellStyle name="Cálculo 4 6 3 3 2 2" xfId="48912"/>
    <cellStyle name="Cálculo 4 6 3 3 3" xfId="38119"/>
    <cellStyle name="Cálculo 4 6 3 4" xfId="13933"/>
    <cellStyle name="Cálculo 4 6 3 4 2" xfId="43114"/>
    <cellStyle name="Cálculo 4 6 3 5" xfId="31703"/>
    <cellStyle name="Cálculo 4 6 4" xfId="4275"/>
    <cellStyle name="Cálculo 4 6 4 2" xfId="17667"/>
    <cellStyle name="Cálculo 4 6 4 2 2" xfId="46848"/>
    <cellStyle name="Cálculo 4 6 4 3" xfId="33458"/>
    <cellStyle name="Cálculo 4 6 5" xfId="8100"/>
    <cellStyle name="Cálculo 4 6 5 2" xfId="19221"/>
    <cellStyle name="Cálculo 4 6 5 2 2" xfId="48402"/>
    <cellStyle name="Cálculo 4 6 5 3" xfId="37283"/>
    <cellStyle name="Cálculo 4 6 6" xfId="12776"/>
    <cellStyle name="Cálculo 4 6 6 2" xfId="41957"/>
    <cellStyle name="Cálculo 4 6 7" xfId="29831"/>
    <cellStyle name="Cálculo 4 7" xfId="653"/>
    <cellStyle name="Cálculo 4 7 2" xfId="1645"/>
    <cellStyle name="Cálculo 4 7 2 2" xfId="3445"/>
    <cellStyle name="Cálculo 4 7 2 2 2" xfId="6460"/>
    <cellStyle name="Cálculo 4 7 2 2 2 2" xfId="18327"/>
    <cellStyle name="Cálculo 4 7 2 2 2 2 2" xfId="47508"/>
    <cellStyle name="Cálculo 4 7 2 2 2 3" xfId="35643"/>
    <cellStyle name="Cálculo 4 7 2 2 3" xfId="7452"/>
    <cellStyle name="Cálculo 4 7 2 2 3 2" xfId="18828"/>
    <cellStyle name="Cálculo 4 7 2 2 3 2 2" xfId="48009"/>
    <cellStyle name="Cálculo 4 7 2 2 3 3" xfId="36635"/>
    <cellStyle name="Cálculo 4 7 2 2 4" xfId="16582"/>
    <cellStyle name="Cálculo 4 7 2 2 4 2" xfId="45763"/>
    <cellStyle name="Cálculo 4 7 2 2 5" xfId="32628"/>
    <cellStyle name="Cálculo 4 7 2 3" xfId="5020"/>
    <cellStyle name="Cálculo 4 7 2 3 2" xfId="12886"/>
    <cellStyle name="Cálculo 4 7 2 3 2 2" xfId="42067"/>
    <cellStyle name="Cálculo 4 7 2 3 3" xfId="34203"/>
    <cellStyle name="Cálculo 4 7 2 4" xfId="9438"/>
    <cellStyle name="Cálculo 4 7 2 4 2" xfId="20035"/>
    <cellStyle name="Cálculo 4 7 2 4 2 2" xfId="49216"/>
    <cellStyle name="Cálculo 4 7 2 4 3" xfId="38621"/>
    <cellStyle name="Cálculo 4 7 2 5" xfId="17232"/>
    <cellStyle name="Cálculo 4 7 2 5 2" xfId="46413"/>
    <cellStyle name="Cálculo 4 7 2 6" xfId="30828"/>
    <cellStyle name="Cálculo 4 7 3" xfId="2545"/>
    <cellStyle name="Cálculo 4 7 3 2" xfId="5740"/>
    <cellStyle name="Cálculo 4 7 3 2 2" xfId="15965"/>
    <cellStyle name="Cálculo 4 7 3 2 2 2" xfId="45146"/>
    <cellStyle name="Cálculo 4 7 3 2 3" xfId="34923"/>
    <cellStyle name="Cálculo 4 7 3 3" xfId="8004"/>
    <cellStyle name="Cálculo 4 7 3 3 2" xfId="19167"/>
    <cellStyle name="Cálculo 4 7 3 3 2 2" xfId="48348"/>
    <cellStyle name="Cálculo 4 7 3 3 3" xfId="37187"/>
    <cellStyle name="Cálculo 4 7 3 4" xfId="15211"/>
    <cellStyle name="Cálculo 4 7 3 4 2" xfId="44392"/>
    <cellStyle name="Cálculo 4 7 3 5" xfId="31728"/>
    <cellStyle name="Cálculo 4 7 4" xfId="4300"/>
    <cellStyle name="Cálculo 4 7 4 2" xfId="14062"/>
    <cellStyle name="Cálculo 4 7 4 2 2" xfId="43243"/>
    <cellStyle name="Cálculo 4 7 4 3" xfId="33483"/>
    <cellStyle name="Cálculo 4 7 5" xfId="8642"/>
    <cellStyle name="Cálculo 4 7 5 2" xfId="19556"/>
    <cellStyle name="Cálculo 4 7 5 2 2" xfId="48737"/>
    <cellStyle name="Cálculo 4 7 5 3" xfId="37825"/>
    <cellStyle name="Cálculo 4 7 6" xfId="11172"/>
    <cellStyle name="Cálculo 4 7 6 2" xfId="40353"/>
    <cellStyle name="Cálculo 4 7 7" xfId="29856"/>
    <cellStyle name="Cálculo 4 8" xfId="1402"/>
    <cellStyle name="Cálculo 4 8 2" xfId="3202"/>
    <cellStyle name="Cálculo 4 8 2 2" xfId="6262"/>
    <cellStyle name="Cálculo 4 8 2 2 2" xfId="18208"/>
    <cellStyle name="Cálculo 4 8 2 2 2 2" xfId="47389"/>
    <cellStyle name="Cálculo 4 8 2 2 3" xfId="35445"/>
    <cellStyle name="Cálculo 4 8 2 3" xfId="7167"/>
    <cellStyle name="Cálculo 4 8 2 3 2" xfId="18668"/>
    <cellStyle name="Cálculo 4 8 2 3 2 2" xfId="47849"/>
    <cellStyle name="Cálculo 4 8 2 3 3" xfId="36350"/>
    <cellStyle name="Cálculo 4 8 2 4" xfId="11967"/>
    <cellStyle name="Cálculo 4 8 2 4 2" xfId="41148"/>
    <cellStyle name="Cálculo 4 8 2 5" xfId="32385"/>
    <cellStyle name="Cálculo 4 8 3" xfId="4822"/>
    <cellStyle name="Cálculo 4 8 3 2" xfId="14908"/>
    <cellStyle name="Cálculo 4 8 3 2 2" xfId="44089"/>
    <cellStyle name="Cálculo 4 8 3 3" xfId="34005"/>
    <cellStyle name="Cálculo 4 8 4" xfId="9906"/>
    <cellStyle name="Cálculo 4 8 4 2" xfId="20315"/>
    <cellStyle name="Cálculo 4 8 4 2 2" xfId="49496"/>
    <cellStyle name="Cálculo 4 8 4 3" xfId="39089"/>
    <cellStyle name="Cálculo 4 8 5" xfId="18085"/>
    <cellStyle name="Cálculo 4 8 5 2" xfId="47266"/>
    <cellStyle name="Cálculo 4 8 6" xfId="30585"/>
    <cellStyle name="Cálculo 4 9" xfId="2302"/>
    <cellStyle name="Cálculo 4 9 2" xfId="5542"/>
    <cellStyle name="Cálculo 4 9 2 2" xfId="14345"/>
    <cellStyle name="Cálculo 4 9 2 2 2" xfId="43526"/>
    <cellStyle name="Cálculo 4 9 2 3" xfId="34725"/>
    <cellStyle name="Cálculo 4 9 3" xfId="7828"/>
    <cellStyle name="Cálculo 4 9 3 2" xfId="19061"/>
    <cellStyle name="Cálculo 4 9 3 2 2" xfId="48242"/>
    <cellStyle name="Cálculo 4 9 3 3" xfId="37011"/>
    <cellStyle name="Cálculo 4 9 4" xfId="12276"/>
    <cellStyle name="Cálculo 4 9 4 2" xfId="41457"/>
    <cellStyle name="Cálculo 4 9 5" xfId="31485"/>
    <cellStyle name="Cálculo 5" xfId="178"/>
    <cellStyle name="Cálculo 5 10" xfId="4103"/>
    <cellStyle name="Cálculo 5 10 2" xfId="13789"/>
    <cellStyle name="Cálculo 5 10 2 2" xfId="42970"/>
    <cellStyle name="Cálculo 5 10 3" xfId="33286"/>
    <cellStyle name="Cálculo 5 11" xfId="18114"/>
    <cellStyle name="Cálculo 5 11 2" xfId="47295"/>
    <cellStyle name="Cálculo 5 12" xfId="29563"/>
    <cellStyle name="Cálculo 5 2" xfId="425"/>
    <cellStyle name="Cálculo 5 2 10" xfId="8184"/>
    <cellStyle name="Cálculo 5 2 10 2" xfId="19277"/>
    <cellStyle name="Cálculo 5 2 10 2 2" xfId="48458"/>
    <cellStyle name="Cálculo 5 2 10 3" xfId="37367"/>
    <cellStyle name="Cálculo 5 2 11" xfId="15802"/>
    <cellStyle name="Cálculo 5 2 11 2" xfId="44983"/>
    <cellStyle name="Cálculo 5 2 12" xfId="58768"/>
    <cellStyle name="Cálculo 5 2 13" xfId="29631"/>
    <cellStyle name="Cálculo 5 2 2" xfId="515"/>
    <cellStyle name="Cálculo 5 2 2 10" xfId="13352"/>
    <cellStyle name="Cálculo 5 2 2 10 2" xfId="42533"/>
    <cellStyle name="Cálculo 5 2 2 11" xfId="29721"/>
    <cellStyle name="Cálculo 5 2 2 2" xfId="868"/>
    <cellStyle name="Cálculo 5 2 2 2 2" xfId="1806"/>
    <cellStyle name="Cálculo 5 2 2 2 2 2" xfId="3606"/>
    <cellStyle name="Cálculo 5 2 2 2 2 2 2" xfId="6585"/>
    <cellStyle name="Cálculo 5 2 2 2 2 2 2 2" xfId="18389"/>
    <cellStyle name="Cálculo 5 2 2 2 2 2 2 2 2" xfId="47570"/>
    <cellStyle name="Cálculo 5 2 2 2 2 2 2 3" xfId="35768"/>
    <cellStyle name="Cálculo 5 2 2 2 2 2 3" xfId="7373"/>
    <cellStyle name="Cálculo 5 2 2 2 2 2 3 2" xfId="18781"/>
    <cellStyle name="Cálculo 5 2 2 2 2 2 3 2 2" xfId="47962"/>
    <cellStyle name="Cálculo 5 2 2 2 2 2 3 3" xfId="36556"/>
    <cellStyle name="Cálculo 5 2 2 2 2 2 4" xfId="15699"/>
    <cellStyle name="Cálculo 5 2 2 2 2 2 4 2" xfId="44880"/>
    <cellStyle name="Cálculo 5 2 2 2 2 2 5" xfId="32789"/>
    <cellStyle name="Cálculo 5 2 2 2 2 3" xfId="5145"/>
    <cellStyle name="Cálculo 5 2 2 2 2 3 2" xfId="12313"/>
    <cellStyle name="Cálculo 5 2 2 2 2 3 2 2" xfId="41494"/>
    <cellStyle name="Cálculo 5 2 2 2 2 3 3" xfId="34328"/>
    <cellStyle name="Cálculo 5 2 2 2 2 4" xfId="10203"/>
    <cellStyle name="Cálculo 5 2 2 2 2 4 2" xfId="20494"/>
    <cellStyle name="Cálculo 5 2 2 2 2 4 2 2" xfId="49675"/>
    <cellStyle name="Cálculo 5 2 2 2 2 4 3" xfId="39386"/>
    <cellStyle name="Cálculo 5 2 2 2 2 5" xfId="12740"/>
    <cellStyle name="Cálculo 5 2 2 2 2 5 2" xfId="41921"/>
    <cellStyle name="Cálculo 5 2 2 2 2 6" xfId="30989"/>
    <cellStyle name="Cálculo 5 2 2 2 3" xfId="2706"/>
    <cellStyle name="Cálculo 5 2 2 2 3 2" xfId="5865"/>
    <cellStyle name="Cálculo 5 2 2 2 3 2 2" xfId="16457"/>
    <cellStyle name="Cálculo 5 2 2 2 3 2 2 2" xfId="45638"/>
    <cellStyle name="Cálculo 5 2 2 2 3 2 3" xfId="35048"/>
    <cellStyle name="Cálculo 5 2 2 2 3 3" xfId="9427"/>
    <cellStyle name="Cálculo 5 2 2 2 3 3 2" xfId="20027"/>
    <cellStyle name="Cálculo 5 2 2 2 3 3 2 2" xfId="49208"/>
    <cellStyle name="Cálculo 5 2 2 2 3 3 3" xfId="38610"/>
    <cellStyle name="Cálculo 5 2 2 2 3 4" xfId="12706"/>
    <cellStyle name="Cálculo 5 2 2 2 3 4 2" xfId="41887"/>
    <cellStyle name="Cálculo 5 2 2 2 3 5" xfId="31889"/>
    <cellStyle name="Cálculo 5 2 2 2 4" xfId="4425"/>
    <cellStyle name="Cálculo 5 2 2 2 4 2" xfId="13566"/>
    <cellStyle name="Cálculo 5 2 2 2 4 2 2" xfId="42747"/>
    <cellStyle name="Cálculo 5 2 2 2 4 3" xfId="33608"/>
    <cellStyle name="Cálculo 5 2 2 2 5" xfId="8640"/>
    <cellStyle name="Cálculo 5 2 2 2 5 2" xfId="19554"/>
    <cellStyle name="Cálculo 5 2 2 2 5 2 2" xfId="48735"/>
    <cellStyle name="Cálculo 5 2 2 2 5 3" xfId="37823"/>
    <cellStyle name="Cálculo 5 2 2 2 6" xfId="11473"/>
    <cellStyle name="Cálculo 5 2 2 2 6 2" xfId="40654"/>
    <cellStyle name="Cálculo 5 2 2 2 7" xfId="30065"/>
    <cellStyle name="Cálculo 5 2 2 3" xfId="1060"/>
    <cellStyle name="Cálculo 5 2 2 3 2" xfId="1970"/>
    <cellStyle name="Cálculo 5 2 2 3 2 2" xfId="3770"/>
    <cellStyle name="Cálculo 5 2 2 3 2 2 2" xfId="6713"/>
    <cellStyle name="Cálculo 5 2 2 3 2 2 2 2" xfId="18443"/>
    <cellStyle name="Cálculo 5 2 2 3 2 2 2 2 2" xfId="47624"/>
    <cellStyle name="Cálculo 5 2 2 3 2 2 2 3" xfId="35896"/>
    <cellStyle name="Cálculo 5 2 2 3 2 2 3" xfId="8227"/>
    <cellStyle name="Cálculo 5 2 2 3 2 2 3 2" xfId="19300"/>
    <cellStyle name="Cálculo 5 2 2 3 2 2 3 2 2" xfId="48481"/>
    <cellStyle name="Cálculo 5 2 2 3 2 2 3 3" xfId="37410"/>
    <cellStyle name="Cálculo 5 2 2 3 2 2 4" xfId="10629"/>
    <cellStyle name="Cálculo 5 2 2 3 2 2 4 2" xfId="39810"/>
    <cellStyle name="Cálculo 5 2 2 3 2 2 5" xfId="32953"/>
    <cellStyle name="Cálculo 5 2 2 3 2 3" xfId="5273"/>
    <cellStyle name="Cálculo 5 2 2 3 2 3 2" xfId="10906"/>
    <cellStyle name="Cálculo 5 2 2 3 2 3 2 2" xfId="40087"/>
    <cellStyle name="Cálculo 5 2 2 3 2 3 3" xfId="34456"/>
    <cellStyle name="Cálculo 5 2 2 3 2 4" xfId="10063"/>
    <cellStyle name="Cálculo 5 2 2 3 2 4 2" xfId="20412"/>
    <cellStyle name="Cálculo 5 2 2 3 2 4 2 2" xfId="49593"/>
    <cellStyle name="Cálculo 5 2 2 3 2 4 3" xfId="39246"/>
    <cellStyle name="Cálculo 5 2 2 3 2 5" xfId="15254"/>
    <cellStyle name="Cálculo 5 2 2 3 2 5 2" xfId="44435"/>
    <cellStyle name="Cálculo 5 2 2 3 2 6" xfId="31153"/>
    <cellStyle name="Cálculo 5 2 2 3 3" xfId="2870"/>
    <cellStyle name="Cálculo 5 2 2 3 3 2" xfId="5993"/>
    <cellStyle name="Cálculo 5 2 2 3 3 2 2" xfId="10588"/>
    <cellStyle name="Cálculo 5 2 2 3 3 2 2 2" xfId="39769"/>
    <cellStyle name="Cálculo 5 2 2 3 3 2 3" xfId="35176"/>
    <cellStyle name="Cálculo 5 2 2 3 3 3" xfId="9288"/>
    <cellStyle name="Cálculo 5 2 2 3 3 3 2" xfId="19943"/>
    <cellStyle name="Cálculo 5 2 2 3 3 3 2 2" xfId="49124"/>
    <cellStyle name="Cálculo 5 2 2 3 3 3 3" xfId="38471"/>
    <cellStyle name="Cálculo 5 2 2 3 3 4" xfId="11053"/>
    <cellStyle name="Cálculo 5 2 2 3 3 4 2" xfId="40234"/>
    <cellStyle name="Cálculo 5 2 2 3 3 5" xfId="32053"/>
    <cellStyle name="Cálculo 5 2 2 3 4" xfId="4553"/>
    <cellStyle name="Cálculo 5 2 2 3 4 2" xfId="15191"/>
    <cellStyle name="Cálculo 5 2 2 3 4 2 2" xfId="44372"/>
    <cellStyle name="Cálculo 5 2 2 3 4 3" xfId="33736"/>
    <cellStyle name="Cálculo 5 2 2 3 5" xfId="7767"/>
    <cellStyle name="Cálculo 5 2 2 3 5 2" xfId="19021"/>
    <cellStyle name="Cálculo 5 2 2 3 5 2 2" xfId="48202"/>
    <cellStyle name="Cálculo 5 2 2 3 5 3" xfId="36950"/>
    <cellStyle name="Cálculo 5 2 2 3 6" xfId="16402"/>
    <cellStyle name="Cálculo 5 2 2 3 6 2" xfId="45583"/>
    <cellStyle name="Cálculo 5 2 2 3 7" xfId="30250"/>
    <cellStyle name="Cálculo 5 2 2 4" xfId="1210"/>
    <cellStyle name="Cálculo 5 2 2 4 2" xfId="2114"/>
    <cellStyle name="Cálculo 5 2 2 4 2 2" xfId="3914"/>
    <cellStyle name="Cálculo 5 2 2 4 2 2 2" xfId="6830"/>
    <cellStyle name="Cálculo 5 2 2 4 2 2 2 2" xfId="18497"/>
    <cellStyle name="Cálculo 5 2 2 4 2 2 2 2 2" xfId="47678"/>
    <cellStyle name="Cálculo 5 2 2 4 2 2 2 3" xfId="36013"/>
    <cellStyle name="Cálculo 5 2 2 4 2 2 3" xfId="10375"/>
    <cellStyle name="Cálculo 5 2 2 4 2 2 3 2" xfId="20600"/>
    <cellStyle name="Cálculo 5 2 2 4 2 2 3 2 2" xfId="49781"/>
    <cellStyle name="Cálculo 5 2 2 4 2 2 3 3" xfId="39558"/>
    <cellStyle name="Cálculo 5 2 2 4 2 2 4" xfId="12642"/>
    <cellStyle name="Cálculo 5 2 2 4 2 2 4 2" xfId="41823"/>
    <cellStyle name="Cálculo 5 2 2 4 2 2 5" xfId="33097"/>
    <cellStyle name="Cálculo 5 2 2 4 2 3" xfId="5390"/>
    <cellStyle name="Cálculo 5 2 2 4 2 3 2" xfId="11677"/>
    <cellStyle name="Cálculo 5 2 2 4 2 3 2 2" xfId="40858"/>
    <cellStyle name="Cálculo 5 2 2 4 2 3 3" xfId="34573"/>
    <cellStyle name="Cálculo 5 2 2 4 2 4" xfId="9055"/>
    <cellStyle name="Cálculo 5 2 2 4 2 4 2" xfId="19798"/>
    <cellStyle name="Cálculo 5 2 2 4 2 4 2 2" xfId="48979"/>
    <cellStyle name="Cálculo 5 2 2 4 2 4 3" xfId="38238"/>
    <cellStyle name="Cálculo 5 2 2 4 2 5" xfId="15566"/>
    <cellStyle name="Cálculo 5 2 2 4 2 5 2" xfId="44747"/>
    <cellStyle name="Cálculo 5 2 2 4 2 6" xfId="31297"/>
    <cellStyle name="Cálculo 5 2 2 4 3" xfId="3014"/>
    <cellStyle name="Cálculo 5 2 2 4 3 2" xfId="6110"/>
    <cellStyle name="Cálculo 5 2 2 4 3 2 2" xfId="18137"/>
    <cellStyle name="Cálculo 5 2 2 4 3 2 2 2" xfId="47318"/>
    <cellStyle name="Cálculo 5 2 2 4 3 2 3" xfId="35293"/>
    <cellStyle name="Cálculo 5 2 2 4 3 3" xfId="7418"/>
    <cellStyle name="Cálculo 5 2 2 4 3 3 2" xfId="18805"/>
    <cellStyle name="Cálculo 5 2 2 4 3 3 2 2" xfId="47986"/>
    <cellStyle name="Cálculo 5 2 2 4 3 3 3" xfId="36601"/>
    <cellStyle name="Cálculo 5 2 2 4 3 4" xfId="10885"/>
    <cellStyle name="Cálculo 5 2 2 4 3 4 2" xfId="40066"/>
    <cellStyle name="Cálculo 5 2 2 4 3 5" xfId="32197"/>
    <cellStyle name="Cálculo 5 2 2 4 4" xfId="4670"/>
    <cellStyle name="Cálculo 5 2 2 4 4 2" xfId="17399"/>
    <cellStyle name="Cálculo 5 2 2 4 4 2 2" xfId="46580"/>
    <cellStyle name="Cálculo 5 2 2 4 4 3" xfId="33853"/>
    <cellStyle name="Cálculo 5 2 2 4 5" xfId="10366"/>
    <cellStyle name="Cálculo 5 2 2 4 5 2" xfId="20594"/>
    <cellStyle name="Cálculo 5 2 2 4 5 2 2" xfId="49775"/>
    <cellStyle name="Cálculo 5 2 2 4 5 3" xfId="39549"/>
    <cellStyle name="Cálculo 5 2 2 4 6" xfId="10858"/>
    <cellStyle name="Cálculo 5 2 2 4 6 2" xfId="40039"/>
    <cellStyle name="Cálculo 5 2 2 4 7" xfId="30397"/>
    <cellStyle name="Cálculo 5 2 2 5" xfId="1356"/>
    <cellStyle name="Cálculo 5 2 2 5 2" xfId="2258"/>
    <cellStyle name="Cálculo 5 2 2 5 2 2" xfId="4058"/>
    <cellStyle name="Cálculo 5 2 2 5 2 2 2" xfId="6947"/>
    <cellStyle name="Cálculo 5 2 2 5 2 2 2 2" xfId="18551"/>
    <cellStyle name="Cálculo 5 2 2 5 2 2 2 2 2" xfId="47732"/>
    <cellStyle name="Cálculo 5 2 2 5 2 2 2 3" xfId="36130"/>
    <cellStyle name="Cálculo 5 2 2 5 2 2 3" xfId="7022"/>
    <cellStyle name="Cálculo 5 2 2 5 2 2 3 2" xfId="18589"/>
    <cellStyle name="Cálculo 5 2 2 5 2 2 3 2 2" xfId="47770"/>
    <cellStyle name="Cálculo 5 2 2 5 2 2 3 3" xfId="36205"/>
    <cellStyle name="Cálculo 5 2 2 5 2 2 4" xfId="14629"/>
    <cellStyle name="Cálculo 5 2 2 5 2 2 4 2" xfId="43810"/>
    <cellStyle name="Cálculo 5 2 2 5 2 2 5" xfId="33241"/>
    <cellStyle name="Cálculo 5 2 2 5 2 3" xfId="5507"/>
    <cellStyle name="Cálculo 5 2 2 5 2 3 2" xfId="14065"/>
    <cellStyle name="Cálculo 5 2 2 5 2 3 2 2" xfId="43246"/>
    <cellStyle name="Cálculo 5 2 2 5 2 3 3" xfId="34690"/>
    <cellStyle name="Cálculo 5 2 2 5 2 4" xfId="7625"/>
    <cellStyle name="Cálculo 5 2 2 5 2 4 2" xfId="18935"/>
    <cellStyle name="Cálculo 5 2 2 5 2 4 2 2" xfId="48116"/>
    <cellStyle name="Cálculo 5 2 2 5 2 4 3" xfId="36808"/>
    <cellStyle name="Cálculo 5 2 2 5 2 5" xfId="11869"/>
    <cellStyle name="Cálculo 5 2 2 5 2 5 2" xfId="41050"/>
    <cellStyle name="Cálculo 5 2 2 5 2 6" xfId="31441"/>
    <cellStyle name="Cálculo 5 2 2 5 3" xfId="3158"/>
    <cellStyle name="Cálculo 5 2 2 5 3 2" xfId="6227"/>
    <cellStyle name="Cálculo 5 2 2 5 3 2 2" xfId="18191"/>
    <cellStyle name="Cálculo 5 2 2 5 3 2 2 2" xfId="47372"/>
    <cellStyle name="Cálculo 5 2 2 5 3 2 3" xfId="35410"/>
    <cellStyle name="Cálculo 5 2 2 5 3 3" xfId="7211"/>
    <cellStyle name="Cálculo 5 2 2 5 3 3 2" xfId="18694"/>
    <cellStyle name="Cálculo 5 2 2 5 3 3 2 2" xfId="47875"/>
    <cellStyle name="Cálculo 5 2 2 5 3 3 3" xfId="36394"/>
    <cellStyle name="Cálculo 5 2 2 5 3 4" xfId="13569"/>
    <cellStyle name="Cálculo 5 2 2 5 3 4 2" xfId="42750"/>
    <cellStyle name="Cálculo 5 2 2 5 3 5" xfId="32341"/>
    <cellStyle name="Cálculo 5 2 2 5 4" xfId="4787"/>
    <cellStyle name="Cálculo 5 2 2 5 4 2" xfId="14635"/>
    <cellStyle name="Cálculo 5 2 2 5 4 2 2" xfId="43816"/>
    <cellStyle name="Cálculo 5 2 2 5 4 3" xfId="33970"/>
    <cellStyle name="Cálculo 5 2 2 5 5" xfId="8384"/>
    <cellStyle name="Cálculo 5 2 2 5 5 2" xfId="19398"/>
    <cellStyle name="Cálculo 5 2 2 5 5 2 2" xfId="48579"/>
    <cellStyle name="Cálculo 5 2 2 5 5 3" xfId="37567"/>
    <cellStyle name="Cálculo 5 2 2 5 6" xfId="12291"/>
    <cellStyle name="Cálculo 5 2 2 5 6 2" xfId="41472"/>
    <cellStyle name="Cálculo 5 2 2 5 7" xfId="30541"/>
    <cellStyle name="Cálculo 5 2 2 6" xfId="1538"/>
    <cellStyle name="Cálculo 5 2 2 6 2" xfId="3338"/>
    <cellStyle name="Cálculo 5 2 2 6 2 2" xfId="6371"/>
    <cellStyle name="Cálculo 5 2 2 6 2 2 2" xfId="18263"/>
    <cellStyle name="Cálculo 5 2 2 6 2 2 2 2" xfId="47444"/>
    <cellStyle name="Cálculo 5 2 2 6 2 2 3" xfId="35554"/>
    <cellStyle name="Cálculo 5 2 2 6 2 3" xfId="9420"/>
    <cellStyle name="Cálculo 5 2 2 6 2 3 2" xfId="20021"/>
    <cellStyle name="Cálculo 5 2 2 6 2 3 2 2" xfId="49202"/>
    <cellStyle name="Cálculo 5 2 2 6 2 3 3" xfId="38603"/>
    <cellStyle name="Cálculo 5 2 2 6 2 4" xfId="13598"/>
    <cellStyle name="Cálculo 5 2 2 6 2 4 2" xfId="42779"/>
    <cellStyle name="Cálculo 5 2 2 6 2 5" xfId="32521"/>
    <cellStyle name="Cálculo 5 2 2 6 3" xfId="4931"/>
    <cellStyle name="Cálculo 5 2 2 6 3 2" xfId="14467"/>
    <cellStyle name="Cálculo 5 2 2 6 3 2 2" xfId="43648"/>
    <cellStyle name="Cálculo 5 2 2 6 3 3" xfId="34114"/>
    <cellStyle name="Cálculo 5 2 2 6 4" xfId="10482"/>
    <cellStyle name="Cálculo 5 2 2 6 4 2" xfId="20665"/>
    <cellStyle name="Cálculo 5 2 2 6 4 2 2" xfId="49846"/>
    <cellStyle name="Cálculo 5 2 2 6 4 3" xfId="39665"/>
    <cellStyle name="Cálculo 5 2 2 6 5" xfId="11256"/>
    <cellStyle name="Cálculo 5 2 2 6 5 2" xfId="40437"/>
    <cellStyle name="Cálculo 5 2 2 6 6" xfId="30721"/>
    <cellStyle name="Cálculo 5 2 2 7" xfId="2438"/>
    <cellStyle name="Cálculo 5 2 2 7 2" xfId="5651"/>
    <cellStyle name="Cálculo 5 2 2 7 2 2" xfId="13340"/>
    <cellStyle name="Cálculo 5 2 2 7 2 2 2" xfId="42521"/>
    <cellStyle name="Cálculo 5 2 2 7 2 3" xfId="34834"/>
    <cellStyle name="Cálculo 5 2 2 7 3" xfId="9704"/>
    <cellStyle name="Cálculo 5 2 2 7 3 2" xfId="20192"/>
    <cellStyle name="Cálculo 5 2 2 7 3 2 2" xfId="49373"/>
    <cellStyle name="Cálculo 5 2 2 7 3 3" xfId="38887"/>
    <cellStyle name="Cálculo 5 2 2 7 4" xfId="11802"/>
    <cellStyle name="Cálculo 5 2 2 7 4 2" xfId="40983"/>
    <cellStyle name="Cálculo 5 2 2 7 5" xfId="31621"/>
    <cellStyle name="Cálculo 5 2 2 8" xfId="4211"/>
    <cellStyle name="Cálculo 5 2 2 8 2" xfId="15027"/>
    <cellStyle name="Cálculo 5 2 2 8 2 2" xfId="44208"/>
    <cellStyle name="Cálculo 5 2 2 8 3" xfId="33394"/>
    <cellStyle name="Cálculo 5 2 2 9" xfId="10115"/>
    <cellStyle name="Cálculo 5 2 2 9 2" xfId="20441"/>
    <cellStyle name="Cálculo 5 2 2 9 2 2" xfId="49622"/>
    <cellStyle name="Cálculo 5 2 2 9 3" xfId="39298"/>
    <cellStyle name="Cálculo 5 2 3" xfId="778"/>
    <cellStyle name="Cálculo 5 2 3 2" xfId="1716"/>
    <cellStyle name="Cálculo 5 2 3 2 2" xfId="3516"/>
    <cellStyle name="Cálculo 5 2 3 2 2 2" xfId="6513"/>
    <cellStyle name="Cálculo 5 2 3 2 2 2 2" xfId="18353"/>
    <cellStyle name="Cálculo 5 2 3 2 2 2 2 2" xfId="47534"/>
    <cellStyle name="Cálculo 5 2 3 2 2 2 3" xfId="35696"/>
    <cellStyle name="Cálculo 5 2 3 2 2 3" xfId="8070"/>
    <cellStyle name="Cálculo 5 2 3 2 2 3 2" xfId="19204"/>
    <cellStyle name="Cálculo 5 2 3 2 2 3 2 2" xfId="48385"/>
    <cellStyle name="Cálculo 5 2 3 2 2 3 3" xfId="37253"/>
    <cellStyle name="Cálculo 5 2 3 2 2 4" xfId="10893"/>
    <cellStyle name="Cálculo 5 2 3 2 2 4 2" xfId="40074"/>
    <cellStyle name="Cálculo 5 2 3 2 2 5" xfId="32699"/>
    <cellStyle name="Cálculo 5 2 3 2 3" xfId="5073"/>
    <cellStyle name="Cálculo 5 2 3 2 3 2" xfId="14818"/>
    <cellStyle name="Cálculo 5 2 3 2 3 2 2" xfId="43999"/>
    <cellStyle name="Cálculo 5 2 3 2 3 3" xfId="34256"/>
    <cellStyle name="Cálculo 5 2 3 2 4" xfId="8288"/>
    <cellStyle name="Cálculo 5 2 3 2 4 2" xfId="19337"/>
    <cellStyle name="Cálculo 5 2 3 2 4 2 2" xfId="48518"/>
    <cellStyle name="Cálculo 5 2 3 2 4 3" xfId="37471"/>
    <cellStyle name="Cálculo 5 2 3 2 5" xfId="17141"/>
    <cellStyle name="Cálculo 5 2 3 2 5 2" xfId="46322"/>
    <cellStyle name="Cálculo 5 2 3 2 6" xfId="30899"/>
    <cellStyle name="Cálculo 5 2 3 3" xfId="2616"/>
    <cellStyle name="Cálculo 5 2 3 3 2" xfId="5793"/>
    <cellStyle name="Cálculo 5 2 3 3 2 2" xfId="14252"/>
    <cellStyle name="Cálculo 5 2 3 3 2 2 2" xfId="43433"/>
    <cellStyle name="Cálculo 5 2 3 3 2 3" xfId="34976"/>
    <cellStyle name="Cálculo 5 2 3 3 3" xfId="9817"/>
    <cellStyle name="Cálculo 5 2 3 3 3 2" xfId="20258"/>
    <cellStyle name="Cálculo 5 2 3 3 3 2 2" xfId="49439"/>
    <cellStyle name="Cálculo 5 2 3 3 3 3" xfId="39000"/>
    <cellStyle name="Cálculo 5 2 3 3 4" xfId="15382"/>
    <cellStyle name="Cálculo 5 2 3 3 4 2" xfId="44563"/>
    <cellStyle name="Cálculo 5 2 3 3 5" xfId="31799"/>
    <cellStyle name="Cálculo 5 2 3 4" xfId="4353"/>
    <cellStyle name="Cálculo 5 2 3 4 2" xfId="17861"/>
    <cellStyle name="Cálculo 5 2 3 4 2 2" xfId="47042"/>
    <cellStyle name="Cálculo 5 2 3 4 3" xfId="33536"/>
    <cellStyle name="Cálculo 5 2 3 5" xfId="7331"/>
    <cellStyle name="Cálculo 5 2 3 5 2" xfId="18761"/>
    <cellStyle name="Cálculo 5 2 3 5 2 2" xfId="47942"/>
    <cellStyle name="Cálculo 5 2 3 5 3" xfId="36514"/>
    <cellStyle name="Cálculo 5 2 3 6" xfId="12994"/>
    <cellStyle name="Cálculo 5 2 3 6 2" xfId="42175"/>
    <cellStyle name="Cálculo 5 2 3 7" xfId="29975"/>
    <cellStyle name="Cálculo 5 2 4" xfId="970"/>
    <cellStyle name="Cálculo 5 2 4 2" xfId="1880"/>
    <cellStyle name="Cálculo 5 2 4 2 2" xfId="3680"/>
    <cellStyle name="Cálculo 5 2 4 2 2 2" xfId="6641"/>
    <cellStyle name="Cálculo 5 2 4 2 2 2 2" xfId="18407"/>
    <cellStyle name="Cálculo 5 2 4 2 2 2 2 2" xfId="47588"/>
    <cellStyle name="Cálculo 5 2 4 2 2 2 3" xfId="35824"/>
    <cellStyle name="Cálculo 5 2 4 2 2 3" xfId="7943"/>
    <cellStyle name="Cálculo 5 2 4 2 2 3 2" xfId="19127"/>
    <cellStyle name="Cálculo 5 2 4 2 2 3 2 2" xfId="48308"/>
    <cellStyle name="Cálculo 5 2 4 2 2 3 3" xfId="37126"/>
    <cellStyle name="Cálculo 5 2 4 2 2 4" xfId="11965"/>
    <cellStyle name="Cálculo 5 2 4 2 2 4 2" xfId="41146"/>
    <cellStyle name="Cálculo 5 2 4 2 2 5" xfId="32863"/>
    <cellStyle name="Cálculo 5 2 4 2 3" xfId="5201"/>
    <cellStyle name="Cálculo 5 2 4 2 3 2" xfId="13621"/>
    <cellStyle name="Cálculo 5 2 4 2 3 2 2" xfId="42802"/>
    <cellStyle name="Cálculo 5 2 4 2 3 3" xfId="34384"/>
    <cellStyle name="Cálculo 5 2 4 2 4" xfId="8129"/>
    <cellStyle name="Cálculo 5 2 4 2 4 2" xfId="19240"/>
    <cellStyle name="Cálculo 5 2 4 2 4 2 2" xfId="48421"/>
    <cellStyle name="Cálculo 5 2 4 2 4 3" xfId="37312"/>
    <cellStyle name="Cálculo 5 2 4 2 5" xfId="13795"/>
    <cellStyle name="Cálculo 5 2 4 2 5 2" xfId="42976"/>
    <cellStyle name="Cálculo 5 2 4 2 6" xfId="31063"/>
    <cellStyle name="Cálculo 5 2 4 3" xfId="2780"/>
    <cellStyle name="Cálculo 5 2 4 3 2" xfId="5921"/>
    <cellStyle name="Cálculo 5 2 4 3 2 2" xfId="12377"/>
    <cellStyle name="Cálculo 5 2 4 3 2 2 2" xfId="41558"/>
    <cellStyle name="Cálculo 5 2 4 3 2 3" xfId="35104"/>
    <cellStyle name="Cálculo 5 2 4 3 3" xfId="8894"/>
    <cellStyle name="Cálculo 5 2 4 3 3 2" xfId="19703"/>
    <cellStyle name="Cálculo 5 2 4 3 3 2 2" xfId="48884"/>
    <cellStyle name="Cálculo 5 2 4 3 3 3" xfId="38077"/>
    <cellStyle name="Cálculo 5 2 4 3 4" xfId="12274"/>
    <cellStyle name="Cálculo 5 2 4 3 4 2" xfId="41455"/>
    <cellStyle name="Cálculo 5 2 4 3 5" xfId="31963"/>
    <cellStyle name="Cálculo 5 2 4 4" xfId="4481"/>
    <cellStyle name="Cálculo 5 2 4 4 2" xfId="11863"/>
    <cellStyle name="Cálculo 5 2 4 4 2 2" xfId="41044"/>
    <cellStyle name="Cálculo 5 2 4 4 3" xfId="33664"/>
    <cellStyle name="Cálculo 5 2 4 5" xfId="10369"/>
    <cellStyle name="Cálculo 5 2 4 5 2" xfId="20596"/>
    <cellStyle name="Cálculo 5 2 4 5 2 2" xfId="49777"/>
    <cellStyle name="Cálculo 5 2 4 5 3" xfId="39552"/>
    <cellStyle name="Cálculo 5 2 4 6" xfId="11807"/>
    <cellStyle name="Cálculo 5 2 4 6 2" xfId="40988"/>
    <cellStyle name="Cálculo 5 2 4 7" xfId="30160"/>
    <cellStyle name="Cálculo 5 2 5" xfId="1120"/>
    <cellStyle name="Cálculo 5 2 5 2" xfId="2024"/>
    <cellStyle name="Cálculo 5 2 5 2 2" xfId="3824"/>
    <cellStyle name="Cálculo 5 2 5 2 2 2" xfId="6758"/>
    <cellStyle name="Cálculo 5 2 5 2 2 2 2" xfId="18461"/>
    <cellStyle name="Cálculo 5 2 5 2 2 2 2 2" xfId="47642"/>
    <cellStyle name="Cálculo 5 2 5 2 2 2 3" xfId="35941"/>
    <cellStyle name="Cálculo 5 2 5 2 2 3" xfId="8507"/>
    <cellStyle name="Cálculo 5 2 5 2 2 3 2" xfId="19477"/>
    <cellStyle name="Cálculo 5 2 5 2 2 3 2 2" xfId="48658"/>
    <cellStyle name="Cálculo 5 2 5 2 2 3 3" xfId="37690"/>
    <cellStyle name="Cálculo 5 2 5 2 2 4" xfId="15182"/>
    <cellStyle name="Cálculo 5 2 5 2 2 4 2" xfId="44363"/>
    <cellStyle name="Cálculo 5 2 5 2 2 5" xfId="33007"/>
    <cellStyle name="Cálculo 5 2 5 2 3" xfId="5318"/>
    <cellStyle name="Cálculo 5 2 5 2 3 2" xfId="13106"/>
    <cellStyle name="Cálculo 5 2 5 2 3 2 2" xfId="42287"/>
    <cellStyle name="Cálculo 5 2 5 2 3 3" xfId="34501"/>
    <cellStyle name="Cálculo 5 2 5 2 4" xfId="8046"/>
    <cellStyle name="Cálculo 5 2 5 2 4 2" xfId="19190"/>
    <cellStyle name="Cálculo 5 2 5 2 4 2 2" xfId="48371"/>
    <cellStyle name="Cálculo 5 2 5 2 4 3" xfId="37229"/>
    <cellStyle name="Cálculo 5 2 5 2 5" xfId="14753"/>
    <cellStyle name="Cálculo 5 2 5 2 5 2" xfId="43934"/>
    <cellStyle name="Cálculo 5 2 5 2 6" xfId="31207"/>
    <cellStyle name="Cálculo 5 2 5 3" xfId="2924"/>
    <cellStyle name="Cálculo 5 2 5 3 2" xfId="6038"/>
    <cellStyle name="Cálculo 5 2 5 3 2 2" xfId="10570"/>
    <cellStyle name="Cálculo 5 2 5 3 2 2 2" xfId="39751"/>
    <cellStyle name="Cálculo 5 2 5 3 2 3" xfId="35221"/>
    <cellStyle name="Cálculo 5 2 5 3 3" xfId="8811"/>
    <cellStyle name="Cálculo 5 2 5 3 3 2" xfId="19655"/>
    <cellStyle name="Cálculo 5 2 5 3 3 2 2" xfId="48836"/>
    <cellStyle name="Cálculo 5 2 5 3 3 3" xfId="37994"/>
    <cellStyle name="Cálculo 5 2 5 3 4" xfId="14128"/>
    <cellStyle name="Cálculo 5 2 5 3 4 2" xfId="43309"/>
    <cellStyle name="Cálculo 5 2 5 3 5" xfId="32107"/>
    <cellStyle name="Cálculo 5 2 5 4" xfId="4598"/>
    <cellStyle name="Cálculo 5 2 5 4 2" xfId="14256"/>
    <cellStyle name="Cálculo 5 2 5 4 2 2" xfId="43437"/>
    <cellStyle name="Cálculo 5 2 5 4 3" xfId="33781"/>
    <cellStyle name="Cálculo 5 2 5 5" xfId="8480"/>
    <cellStyle name="Cálculo 5 2 5 5 2" xfId="19462"/>
    <cellStyle name="Cálculo 5 2 5 5 2 2" xfId="48643"/>
    <cellStyle name="Cálculo 5 2 5 5 3" xfId="37663"/>
    <cellStyle name="Cálculo 5 2 5 6" xfId="13184"/>
    <cellStyle name="Cálculo 5 2 5 6 2" xfId="42365"/>
    <cellStyle name="Cálculo 5 2 5 7" xfId="30307"/>
    <cellStyle name="Cálculo 5 2 6" xfId="1266"/>
    <cellStyle name="Cálculo 5 2 6 2" xfId="2168"/>
    <cellStyle name="Cálculo 5 2 6 2 2" xfId="3968"/>
    <cellStyle name="Cálculo 5 2 6 2 2 2" xfId="6875"/>
    <cellStyle name="Cálculo 5 2 6 2 2 2 2" xfId="18515"/>
    <cellStyle name="Cálculo 5 2 6 2 2 2 2 2" xfId="47696"/>
    <cellStyle name="Cálculo 5 2 6 2 2 2 3" xfId="36058"/>
    <cellStyle name="Cálculo 5 2 6 2 2 3" xfId="7112"/>
    <cellStyle name="Cálculo 5 2 6 2 2 3 2" xfId="18643"/>
    <cellStyle name="Cálculo 5 2 6 2 2 3 2 2" xfId="47824"/>
    <cellStyle name="Cálculo 5 2 6 2 2 3 3" xfId="36295"/>
    <cellStyle name="Cálculo 5 2 6 2 2 4" xfId="11555"/>
    <cellStyle name="Cálculo 5 2 6 2 2 4 2" xfId="40736"/>
    <cellStyle name="Cálculo 5 2 6 2 2 5" xfId="33151"/>
    <cellStyle name="Cálculo 5 2 6 2 3" xfId="5435"/>
    <cellStyle name="Cálculo 5 2 6 2 3 2" xfId="15403"/>
    <cellStyle name="Cálculo 5 2 6 2 3 2 2" xfId="44584"/>
    <cellStyle name="Cálculo 5 2 6 2 3 3" xfId="34618"/>
    <cellStyle name="Cálculo 5 2 6 2 4" xfId="8394"/>
    <cellStyle name="Cálculo 5 2 6 2 4 2" xfId="19404"/>
    <cellStyle name="Cálculo 5 2 6 2 4 2 2" xfId="48585"/>
    <cellStyle name="Cálculo 5 2 6 2 4 3" xfId="37577"/>
    <cellStyle name="Cálculo 5 2 6 2 5" xfId="14981"/>
    <cellStyle name="Cálculo 5 2 6 2 5 2" xfId="44162"/>
    <cellStyle name="Cálculo 5 2 6 2 6" xfId="31351"/>
    <cellStyle name="Cálculo 5 2 6 3" xfId="3068"/>
    <cellStyle name="Cálculo 5 2 6 3 2" xfId="6155"/>
    <cellStyle name="Cálculo 5 2 6 3 2 2" xfId="18155"/>
    <cellStyle name="Cálculo 5 2 6 3 2 2 2" xfId="47336"/>
    <cellStyle name="Cálculo 5 2 6 3 2 3" xfId="35338"/>
    <cellStyle name="Cálculo 5 2 6 3 3" xfId="9948"/>
    <cellStyle name="Cálculo 5 2 6 3 3 2" xfId="20338"/>
    <cellStyle name="Cálculo 5 2 6 3 3 2 2" xfId="49519"/>
    <cellStyle name="Cálculo 5 2 6 3 3 3" xfId="39131"/>
    <cellStyle name="Cálculo 5 2 6 3 4" xfId="14442"/>
    <cellStyle name="Cálculo 5 2 6 3 4 2" xfId="43623"/>
    <cellStyle name="Cálculo 5 2 6 3 5" xfId="32251"/>
    <cellStyle name="Cálculo 5 2 6 4" xfId="4715"/>
    <cellStyle name="Cálculo 5 2 6 4 2" xfId="16699"/>
    <cellStyle name="Cálculo 5 2 6 4 2 2" xfId="45880"/>
    <cellStyle name="Cálculo 5 2 6 4 3" xfId="33898"/>
    <cellStyle name="Cálculo 5 2 6 5" xfId="9404"/>
    <cellStyle name="Cálculo 5 2 6 5 2" xfId="20010"/>
    <cellStyle name="Cálculo 5 2 6 5 2 2" xfId="49191"/>
    <cellStyle name="Cálculo 5 2 6 5 3" xfId="38587"/>
    <cellStyle name="Cálculo 5 2 6 6" xfId="16077"/>
    <cellStyle name="Cálculo 5 2 6 6 2" xfId="45258"/>
    <cellStyle name="Cálculo 5 2 6 7" xfId="30451"/>
    <cellStyle name="Cálculo 5 2 7" xfId="1448"/>
    <cellStyle name="Cálculo 5 2 7 2" xfId="3248"/>
    <cellStyle name="Cálculo 5 2 7 2 2" xfId="6299"/>
    <cellStyle name="Cálculo 5 2 7 2 2 2" xfId="18227"/>
    <cellStyle name="Cálculo 5 2 7 2 2 2 2" xfId="47408"/>
    <cellStyle name="Cálculo 5 2 7 2 2 3" xfId="35482"/>
    <cellStyle name="Cálculo 5 2 7 2 3" xfId="9810"/>
    <cellStyle name="Cálculo 5 2 7 2 3 2" xfId="20254"/>
    <cellStyle name="Cálculo 5 2 7 2 3 2 2" xfId="49435"/>
    <cellStyle name="Cálculo 5 2 7 2 3 3" xfId="38993"/>
    <cellStyle name="Cálculo 5 2 7 2 4" xfId="14046"/>
    <cellStyle name="Cálculo 5 2 7 2 4 2" xfId="43227"/>
    <cellStyle name="Cálculo 5 2 7 2 5" xfId="32431"/>
    <cellStyle name="Cálculo 5 2 7 3" xfId="4859"/>
    <cellStyle name="Cálculo 5 2 7 3 2" xfId="12125"/>
    <cellStyle name="Cálculo 5 2 7 3 2 2" xfId="41306"/>
    <cellStyle name="Cálculo 5 2 7 3 3" xfId="34042"/>
    <cellStyle name="Cálculo 5 2 7 4" xfId="8173"/>
    <cellStyle name="Cálculo 5 2 7 4 2" xfId="19269"/>
    <cellStyle name="Cálculo 5 2 7 4 2 2" xfId="48450"/>
    <cellStyle name="Cálculo 5 2 7 4 3" xfId="37356"/>
    <cellStyle name="Cálculo 5 2 7 5" xfId="11169"/>
    <cellStyle name="Cálculo 5 2 7 5 2" xfId="40350"/>
    <cellStyle name="Cálculo 5 2 7 6" xfId="30631"/>
    <cellStyle name="Cálculo 5 2 8" xfId="2348"/>
    <cellStyle name="Cálculo 5 2 8 2" xfId="5579"/>
    <cellStyle name="Cálculo 5 2 8 2 2" xfId="16144"/>
    <cellStyle name="Cálculo 5 2 8 2 2 2" xfId="45325"/>
    <cellStyle name="Cálculo 5 2 8 2 3" xfId="34762"/>
    <cellStyle name="Cálculo 5 2 8 3" xfId="7274"/>
    <cellStyle name="Cálculo 5 2 8 3 2" xfId="18730"/>
    <cellStyle name="Cálculo 5 2 8 3 2 2" xfId="47911"/>
    <cellStyle name="Cálculo 5 2 8 3 3" xfId="36457"/>
    <cellStyle name="Cálculo 5 2 8 4" xfId="15006"/>
    <cellStyle name="Cálculo 5 2 8 4 2" xfId="44187"/>
    <cellStyle name="Cálculo 5 2 8 5" xfId="31531"/>
    <cellStyle name="Cálculo 5 2 9" xfId="4139"/>
    <cellStyle name="Cálculo 5 2 9 2" xfId="13400"/>
    <cellStyle name="Cálculo 5 2 9 2 2" xfId="42581"/>
    <cellStyle name="Cálculo 5 2 9 3" xfId="33322"/>
    <cellStyle name="Cálculo 5 3" xfId="470"/>
    <cellStyle name="Cálculo 5 3 10" xfId="11507"/>
    <cellStyle name="Cálculo 5 3 10 2" xfId="40688"/>
    <cellStyle name="Cálculo 5 3 11" xfId="29676"/>
    <cellStyle name="Cálculo 5 3 2" xfId="823"/>
    <cellStyle name="Cálculo 5 3 2 2" xfId="1761"/>
    <cellStyle name="Cálculo 5 3 2 2 2" xfId="3561"/>
    <cellStyle name="Cálculo 5 3 2 2 2 2" xfId="6549"/>
    <cellStyle name="Cálculo 5 3 2 2 2 2 2" xfId="18371"/>
    <cellStyle name="Cálculo 5 3 2 2 2 2 2 2" xfId="47552"/>
    <cellStyle name="Cálculo 5 3 2 2 2 2 3" xfId="35732"/>
    <cellStyle name="Cálculo 5 3 2 2 2 3" xfId="7905"/>
    <cellStyle name="Cálculo 5 3 2 2 2 3 2" xfId="19106"/>
    <cellStyle name="Cálculo 5 3 2 2 2 3 2 2" xfId="48287"/>
    <cellStyle name="Cálculo 5 3 2 2 2 3 3" xfId="37088"/>
    <cellStyle name="Cálculo 5 3 2 2 2 4" xfId="13210"/>
    <cellStyle name="Cálculo 5 3 2 2 2 4 2" xfId="42391"/>
    <cellStyle name="Cálculo 5 3 2 2 2 5" xfId="32744"/>
    <cellStyle name="Cálculo 5 3 2 2 3" xfId="5109"/>
    <cellStyle name="Cálculo 5 3 2 2 3 2" xfId="12638"/>
    <cellStyle name="Cálculo 5 3 2 2 3 2 2" xfId="41819"/>
    <cellStyle name="Cálculo 5 3 2 2 3 3" xfId="34292"/>
    <cellStyle name="Cálculo 5 3 2 2 4" xfId="7843"/>
    <cellStyle name="Cálculo 5 3 2 2 4 2" xfId="19070"/>
    <cellStyle name="Cálculo 5 3 2 2 4 2 2" xfId="48251"/>
    <cellStyle name="Cálculo 5 3 2 2 4 3" xfId="37026"/>
    <cellStyle name="Cálculo 5 3 2 2 5" xfId="14941"/>
    <cellStyle name="Cálculo 5 3 2 2 5 2" xfId="44122"/>
    <cellStyle name="Cálculo 5 3 2 2 6" xfId="30944"/>
    <cellStyle name="Cálculo 5 3 2 3" xfId="2661"/>
    <cellStyle name="Cálculo 5 3 2 3 2" xfId="5829"/>
    <cellStyle name="Cálculo 5 3 2 3 2 2" xfId="15706"/>
    <cellStyle name="Cálculo 5 3 2 3 2 2 2" xfId="44887"/>
    <cellStyle name="Cálculo 5 3 2 3 2 3" xfId="35012"/>
    <cellStyle name="Cálculo 5 3 2 3 3" xfId="8398"/>
    <cellStyle name="Cálculo 5 3 2 3 3 2" xfId="19406"/>
    <cellStyle name="Cálculo 5 3 2 3 3 2 2" xfId="48587"/>
    <cellStyle name="Cálculo 5 3 2 3 3 3" xfId="37581"/>
    <cellStyle name="Cálculo 5 3 2 3 4" xfId="14324"/>
    <cellStyle name="Cálculo 5 3 2 3 4 2" xfId="43505"/>
    <cellStyle name="Cálculo 5 3 2 3 5" xfId="31844"/>
    <cellStyle name="Cálculo 5 3 2 4" xfId="4389"/>
    <cellStyle name="Cálculo 5 3 2 4 2" xfId="13852"/>
    <cellStyle name="Cálculo 5 3 2 4 2 2" xfId="43033"/>
    <cellStyle name="Cálculo 5 3 2 4 3" xfId="33572"/>
    <cellStyle name="Cálculo 5 3 2 5" xfId="9837"/>
    <cellStyle name="Cálculo 5 3 2 5 2" xfId="20270"/>
    <cellStyle name="Cálculo 5 3 2 5 2 2" xfId="49451"/>
    <cellStyle name="Cálculo 5 3 2 5 3" xfId="39020"/>
    <cellStyle name="Cálculo 5 3 2 6" xfId="12201"/>
    <cellStyle name="Cálculo 5 3 2 6 2" xfId="41382"/>
    <cellStyle name="Cálculo 5 3 2 7" xfId="30020"/>
    <cellStyle name="Cálculo 5 3 3" xfId="1015"/>
    <cellStyle name="Cálculo 5 3 3 2" xfId="1925"/>
    <cellStyle name="Cálculo 5 3 3 2 2" xfId="3725"/>
    <cellStyle name="Cálculo 5 3 3 2 2 2" xfId="6677"/>
    <cellStyle name="Cálculo 5 3 3 2 2 2 2" xfId="18425"/>
    <cellStyle name="Cálculo 5 3 3 2 2 2 2 2" xfId="47606"/>
    <cellStyle name="Cálculo 5 3 3 2 2 2 3" xfId="35860"/>
    <cellStyle name="Cálculo 5 3 3 2 2 3" xfId="7737"/>
    <cellStyle name="Cálculo 5 3 3 2 2 3 2" xfId="19003"/>
    <cellStyle name="Cálculo 5 3 3 2 2 3 2 2" xfId="48184"/>
    <cellStyle name="Cálculo 5 3 3 2 2 3 3" xfId="36920"/>
    <cellStyle name="Cálculo 5 3 3 2 2 4" xfId="10656"/>
    <cellStyle name="Cálculo 5 3 3 2 2 4 2" xfId="39837"/>
    <cellStyle name="Cálculo 5 3 3 2 2 5" xfId="32908"/>
    <cellStyle name="Cálculo 5 3 3 2 3" xfId="5237"/>
    <cellStyle name="Cálculo 5 3 3 2 3 2" xfId="10918"/>
    <cellStyle name="Cálculo 5 3 3 2 3 2 2" xfId="40099"/>
    <cellStyle name="Cálculo 5 3 3 2 3 3" xfId="34420"/>
    <cellStyle name="Cálculo 5 3 3 2 4" xfId="7675"/>
    <cellStyle name="Cálculo 5 3 3 2 4 2" xfId="18964"/>
    <cellStyle name="Cálculo 5 3 3 2 4 2 2" xfId="48145"/>
    <cellStyle name="Cálculo 5 3 3 2 4 3" xfId="36858"/>
    <cellStyle name="Cálculo 5 3 3 2 5" xfId="11501"/>
    <cellStyle name="Cálculo 5 3 3 2 5 2" xfId="40682"/>
    <cellStyle name="Cálculo 5 3 3 2 6" xfId="31108"/>
    <cellStyle name="Cálculo 5 3 3 3" xfId="2825"/>
    <cellStyle name="Cálculo 5 3 3 3 2" xfId="5957"/>
    <cellStyle name="Cálculo 5 3 3 3 2 2" xfId="10606"/>
    <cellStyle name="Cálculo 5 3 3 3 2 2 2" xfId="39787"/>
    <cellStyle name="Cálculo 5 3 3 3 2 3" xfId="35140"/>
    <cellStyle name="Cálculo 5 3 3 3 3" xfId="8461"/>
    <cellStyle name="Cálculo 5 3 3 3 3 2" xfId="19450"/>
    <cellStyle name="Cálculo 5 3 3 3 3 2 2" xfId="48631"/>
    <cellStyle name="Cálculo 5 3 3 3 3 3" xfId="37644"/>
    <cellStyle name="Cálculo 5 3 3 3 4" xfId="17478"/>
    <cellStyle name="Cálculo 5 3 3 3 4 2" xfId="46659"/>
    <cellStyle name="Cálculo 5 3 3 3 5" xfId="32008"/>
    <cellStyle name="Cálculo 5 3 3 4" xfId="4517"/>
    <cellStyle name="Cálculo 5 3 3 4 2" xfId="15178"/>
    <cellStyle name="Cálculo 5 3 3 4 2 2" xfId="44359"/>
    <cellStyle name="Cálculo 5 3 3 4 3" xfId="33700"/>
    <cellStyle name="Cálculo 5 3 3 5" xfId="7973"/>
    <cellStyle name="Cálculo 5 3 3 5 2" xfId="19146"/>
    <cellStyle name="Cálculo 5 3 3 5 2 2" xfId="48327"/>
    <cellStyle name="Cálculo 5 3 3 5 3" xfId="37156"/>
    <cellStyle name="Cálculo 5 3 3 6" xfId="17197"/>
    <cellStyle name="Cálculo 5 3 3 6 2" xfId="46378"/>
    <cellStyle name="Cálculo 5 3 3 7" xfId="30205"/>
    <cellStyle name="Cálculo 5 3 4" xfId="1165"/>
    <cellStyle name="Cálculo 5 3 4 2" xfId="2069"/>
    <cellStyle name="Cálculo 5 3 4 2 2" xfId="3869"/>
    <cellStyle name="Cálculo 5 3 4 2 2 2" xfId="6794"/>
    <cellStyle name="Cálculo 5 3 4 2 2 2 2" xfId="18479"/>
    <cellStyle name="Cálculo 5 3 4 2 2 2 2 2" xfId="47660"/>
    <cellStyle name="Cálculo 5 3 4 2 2 2 3" xfId="35977"/>
    <cellStyle name="Cálculo 5 3 4 2 2 3" xfId="8302"/>
    <cellStyle name="Cálculo 5 3 4 2 2 3 2" xfId="19347"/>
    <cellStyle name="Cálculo 5 3 4 2 2 3 2 2" xfId="48528"/>
    <cellStyle name="Cálculo 5 3 4 2 2 3 3" xfId="37485"/>
    <cellStyle name="Cálculo 5 3 4 2 2 4" xfId="14348"/>
    <cellStyle name="Cálculo 5 3 4 2 2 4 2" xfId="43529"/>
    <cellStyle name="Cálculo 5 3 4 2 2 5" xfId="33052"/>
    <cellStyle name="Cálculo 5 3 4 2 3" xfId="5354"/>
    <cellStyle name="Cálculo 5 3 4 2 3 2" xfId="12001"/>
    <cellStyle name="Cálculo 5 3 4 2 3 2 2" xfId="41182"/>
    <cellStyle name="Cálculo 5 3 4 2 3 3" xfId="34537"/>
    <cellStyle name="Cálculo 5 3 4 2 4" xfId="10137"/>
    <cellStyle name="Cálculo 5 3 4 2 4 2" xfId="20455"/>
    <cellStyle name="Cálculo 5 3 4 2 4 2 2" xfId="49636"/>
    <cellStyle name="Cálculo 5 3 4 2 4 3" xfId="39320"/>
    <cellStyle name="Cálculo 5 3 4 2 5" xfId="11640"/>
    <cellStyle name="Cálculo 5 3 4 2 5 2" xfId="40821"/>
    <cellStyle name="Cálculo 5 3 4 2 6" xfId="31252"/>
    <cellStyle name="Cálculo 5 3 4 3" xfId="2969"/>
    <cellStyle name="Cálculo 5 3 4 3 2" xfId="6074"/>
    <cellStyle name="Cálculo 5 3 4 3 2 2" xfId="10552"/>
    <cellStyle name="Cálculo 5 3 4 3 2 2 2" xfId="39733"/>
    <cellStyle name="Cálculo 5 3 4 3 2 3" xfId="35257"/>
    <cellStyle name="Cálculo 5 3 4 3 3" xfId="9363"/>
    <cellStyle name="Cálculo 5 3 4 3 3 2" xfId="19988"/>
    <cellStyle name="Cálculo 5 3 4 3 3 2 2" xfId="49169"/>
    <cellStyle name="Cálculo 5 3 4 3 3 3" xfId="38546"/>
    <cellStyle name="Cálculo 5 3 4 3 4" xfId="12504"/>
    <cellStyle name="Cálculo 5 3 4 3 4 2" xfId="41685"/>
    <cellStyle name="Cálculo 5 3 4 3 5" xfId="32152"/>
    <cellStyle name="Cálculo 5 3 4 4" xfId="4634"/>
    <cellStyle name="Cálculo 5 3 4 4 2" xfId="15702"/>
    <cellStyle name="Cálculo 5 3 4 4 2 2" xfId="44883"/>
    <cellStyle name="Cálculo 5 3 4 4 3" xfId="33817"/>
    <cellStyle name="Cálculo 5 3 4 5" xfId="10526"/>
    <cellStyle name="Cálculo 5 3 4 5 2" xfId="20694"/>
    <cellStyle name="Cálculo 5 3 4 5 2 2" xfId="49875"/>
    <cellStyle name="Cálculo 5 3 4 5 3" xfId="39709"/>
    <cellStyle name="Cálculo 5 3 4 6" xfId="16855"/>
    <cellStyle name="Cálculo 5 3 4 6 2" xfId="46036"/>
    <cellStyle name="Cálculo 5 3 4 7" xfId="30352"/>
    <cellStyle name="Cálculo 5 3 5" xfId="1311"/>
    <cellStyle name="Cálculo 5 3 5 2" xfId="2213"/>
    <cellStyle name="Cálculo 5 3 5 2 2" xfId="4013"/>
    <cellStyle name="Cálculo 5 3 5 2 2 2" xfId="6911"/>
    <cellStyle name="Cálculo 5 3 5 2 2 2 2" xfId="18533"/>
    <cellStyle name="Cálculo 5 3 5 2 2 2 2 2" xfId="47714"/>
    <cellStyle name="Cálculo 5 3 5 2 2 2 3" xfId="36094"/>
    <cellStyle name="Cálculo 5 3 5 2 2 3" xfId="7067"/>
    <cellStyle name="Cálculo 5 3 5 2 2 3 2" xfId="18616"/>
    <cellStyle name="Cálculo 5 3 5 2 2 3 2 2" xfId="47797"/>
    <cellStyle name="Cálculo 5 3 5 2 2 3 3" xfId="36250"/>
    <cellStyle name="Cálculo 5 3 5 2 2 4" xfId="15303"/>
    <cellStyle name="Cálculo 5 3 5 2 2 4 2" xfId="44484"/>
    <cellStyle name="Cálculo 5 3 5 2 2 5" xfId="33196"/>
    <cellStyle name="Cálculo 5 3 5 2 3" xfId="5471"/>
    <cellStyle name="Cálculo 5 3 5 2 3 2" xfId="14077"/>
    <cellStyle name="Cálculo 5 3 5 2 3 2 2" xfId="43258"/>
    <cellStyle name="Cálculo 5 3 5 2 3 3" xfId="34654"/>
    <cellStyle name="Cálculo 5 3 5 2 4" xfId="9130"/>
    <cellStyle name="Cálculo 5 3 5 2 4 2" xfId="19846"/>
    <cellStyle name="Cálculo 5 3 5 2 4 2 2" xfId="49027"/>
    <cellStyle name="Cálculo 5 3 5 2 4 3" xfId="38313"/>
    <cellStyle name="Cálculo 5 3 5 2 5" xfId="17449"/>
    <cellStyle name="Cálculo 5 3 5 2 5 2" xfId="46630"/>
    <cellStyle name="Cálculo 5 3 5 2 6" xfId="31396"/>
    <cellStyle name="Cálculo 5 3 5 3" xfId="3113"/>
    <cellStyle name="Cálculo 5 3 5 3 2" xfId="6191"/>
    <cellStyle name="Cálculo 5 3 5 3 2 2" xfId="18173"/>
    <cellStyle name="Cálculo 5 3 5 3 2 2 2" xfId="47354"/>
    <cellStyle name="Cálculo 5 3 5 3 2 3" xfId="35374"/>
    <cellStyle name="Cálculo 5 3 5 3 3" xfId="7706"/>
    <cellStyle name="Cálculo 5 3 5 3 3 2" xfId="18982"/>
    <cellStyle name="Cálculo 5 3 5 3 3 2 2" xfId="48163"/>
    <cellStyle name="Cálculo 5 3 5 3 3 3" xfId="36889"/>
    <cellStyle name="Cálculo 5 3 5 3 4" xfId="14524"/>
    <cellStyle name="Cálculo 5 3 5 3 4 2" xfId="43705"/>
    <cellStyle name="Cálculo 5 3 5 3 5" xfId="32296"/>
    <cellStyle name="Cálculo 5 3 5 4" xfId="4751"/>
    <cellStyle name="Cálculo 5 3 5 4 2" xfId="14642"/>
    <cellStyle name="Cálculo 5 3 5 4 2 2" xfId="43823"/>
    <cellStyle name="Cálculo 5 3 5 4 3" xfId="33934"/>
    <cellStyle name="Cálculo 5 3 5 5" xfId="8791"/>
    <cellStyle name="Cálculo 5 3 5 5 2" xfId="19645"/>
    <cellStyle name="Cálculo 5 3 5 5 2 2" xfId="48826"/>
    <cellStyle name="Cálculo 5 3 5 5 3" xfId="37974"/>
    <cellStyle name="Cálculo 5 3 5 6" xfId="12071"/>
    <cellStyle name="Cálculo 5 3 5 6 2" xfId="41252"/>
    <cellStyle name="Cálculo 5 3 5 7" xfId="30496"/>
    <cellStyle name="Cálculo 5 3 6" xfId="1493"/>
    <cellStyle name="Cálculo 5 3 6 2" xfId="3293"/>
    <cellStyle name="Cálculo 5 3 6 2 2" xfId="6335"/>
    <cellStyle name="Cálculo 5 3 6 2 2 2" xfId="18245"/>
    <cellStyle name="Cálculo 5 3 6 2 2 2 2" xfId="47426"/>
    <cellStyle name="Cálculo 5 3 6 2 2 3" xfId="35518"/>
    <cellStyle name="Cálculo 5 3 6 2 3" xfId="8414"/>
    <cellStyle name="Cálculo 5 3 6 2 3 2" xfId="19417"/>
    <cellStyle name="Cálculo 5 3 6 2 3 2 2" xfId="48598"/>
    <cellStyle name="Cálculo 5 3 6 2 3 3" xfId="37597"/>
    <cellStyle name="Cálculo 5 3 6 2 4" xfId="14555"/>
    <cellStyle name="Cálculo 5 3 6 2 4 2" xfId="43736"/>
    <cellStyle name="Cálculo 5 3 6 2 5" xfId="32476"/>
    <cellStyle name="Cálculo 5 3 6 3" xfId="4895"/>
    <cellStyle name="Cálculo 5 3 6 3 2" xfId="16415"/>
    <cellStyle name="Cálculo 5 3 6 3 2 2" xfId="45596"/>
    <cellStyle name="Cálculo 5 3 6 3 3" xfId="34078"/>
    <cellStyle name="Cálculo 5 3 6 4" xfId="10285"/>
    <cellStyle name="Cálculo 5 3 6 4 2" xfId="20540"/>
    <cellStyle name="Cálculo 5 3 6 4 2 2" xfId="49721"/>
    <cellStyle name="Cálculo 5 3 6 4 3" xfId="39468"/>
    <cellStyle name="Cálculo 5 3 6 5" xfId="13027"/>
    <cellStyle name="Cálculo 5 3 6 5 2" xfId="42208"/>
    <cellStyle name="Cálculo 5 3 6 6" xfId="30676"/>
    <cellStyle name="Cálculo 5 3 7" xfId="2393"/>
    <cellStyle name="Cálculo 5 3 7 2" xfId="5615"/>
    <cellStyle name="Cálculo 5 3 7 2 2" xfId="15349"/>
    <cellStyle name="Cálculo 5 3 7 2 2 2" xfId="44530"/>
    <cellStyle name="Cálculo 5 3 7 2 3" xfId="34798"/>
    <cellStyle name="Cálculo 5 3 7 3" xfId="7812"/>
    <cellStyle name="Cálculo 5 3 7 3 2" xfId="19049"/>
    <cellStyle name="Cálculo 5 3 7 3 2 2" xfId="48230"/>
    <cellStyle name="Cálculo 5 3 7 3 3" xfId="36995"/>
    <cellStyle name="Cálculo 5 3 7 4" xfId="10786"/>
    <cellStyle name="Cálculo 5 3 7 4 2" xfId="39967"/>
    <cellStyle name="Cálculo 5 3 7 5" xfId="31576"/>
    <cellStyle name="Cálculo 5 3 8" xfId="4175"/>
    <cellStyle name="Cálculo 5 3 8 2" xfId="17978"/>
    <cellStyle name="Cálculo 5 3 8 2 2" xfId="47159"/>
    <cellStyle name="Cálculo 5 3 8 3" xfId="33358"/>
    <cellStyle name="Cálculo 5 3 9" xfId="10295"/>
    <cellStyle name="Cálculo 5 3 9 2" xfId="20546"/>
    <cellStyle name="Cálculo 5 3 9 2 2" xfId="49727"/>
    <cellStyle name="Cálculo 5 3 9 3" xfId="39478"/>
    <cellStyle name="Cálculo 5 4" xfId="641"/>
    <cellStyle name="Cálculo 5 4 2" xfId="1633"/>
    <cellStyle name="Cálculo 5 4 2 2" xfId="3433"/>
    <cellStyle name="Cálculo 5 4 2 2 2" xfId="6448"/>
    <cellStyle name="Cálculo 5 4 2 2 2 2" xfId="18315"/>
    <cellStyle name="Cálculo 5 4 2 2 2 2 2" xfId="47496"/>
    <cellStyle name="Cálculo 5 4 2 2 2 3" xfId="35631"/>
    <cellStyle name="Cálculo 5 4 2 2 3" xfId="9613"/>
    <cellStyle name="Cálculo 5 4 2 2 3 2" xfId="20138"/>
    <cellStyle name="Cálculo 5 4 2 2 3 2 2" xfId="49319"/>
    <cellStyle name="Cálculo 5 4 2 2 3 3" xfId="38796"/>
    <cellStyle name="Cálculo 5 4 2 2 4" xfId="16972"/>
    <cellStyle name="Cálculo 5 4 2 2 4 2" xfId="46153"/>
    <cellStyle name="Cálculo 5 4 2 2 5" xfId="32616"/>
    <cellStyle name="Cálculo 5 4 2 3" xfId="5008"/>
    <cellStyle name="Cálculo 5 4 2 3 2" xfId="12882"/>
    <cellStyle name="Cálculo 5 4 2 3 2 2" xfId="42063"/>
    <cellStyle name="Cálculo 5 4 2 3 3" xfId="34191"/>
    <cellStyle name="Cálculo 5 4 2 4" xfId="7433"/>
    <cellStyle name="Cálculo 5 4 2 4 2" xfId="18813"/>
    <cellStyle name="Cálculo 5 4 2 4 2 2" xfId="47994"/>
    <cellStyle name="Cálculo 5 4 2 4 3" xfId="36616"/>
    <cellStyle name="Cálculo 5 4 2 5" xfId="16852"/>
    <cellStyle name="Cálculo 5 4 2 5 2" xfId="46033"/>
    <cellStyle name="Cálculo 5 4 2 6" xfId="30816"/>
    <cellStyle name="Cálculo 5 4 3" xfId="2533"/>
    <cellStyle name="Cálculo 5 4 3 2" xfId="5728"/>
    <cellStyle name="Cálculo 5 4 3 2 2" xfId="17424"/>
    <cellStyle name="Cálculo 5 4 3 2 2 2" xfId="46605"/>
    <cellStyle name="Cálculo 5 4 3 2 3" xfId="34911"/>
    <cellStyle name="Cálculo 5 4 3 3" xfId="7751"/>
    <cellStyle name="Cálculo 5 4 3 3 2" xfId="19011"/>
    <cellStyle name="Cálculo 5 4 3 3 2 2" xfId="48192"/>
    <cellStyle name="Cálculo 5 4 3 3 3" xfId="36934"/>
    <cellStyle name="Cálculo 5 4 3 4" xfId="15166"/>
    <cellStyle name="Cálculo 5 4 3 4 2" xfId="44347"/>
    <cellStyle name="Cálculo 5 4 3 5" xfId="31716"/>
    <cellStyle name="Cálculo 5 4 4" xfId="4288"/>
    <cellStyle name="Cálculo 5 4 4 2" xfId="14074"/>
    <cellStyle name="Cálculo 5 4 4 2 2" xfId="43255"/>
    <cellStyle name="Cálculo 5 4 4 3" xfId="33471"/>
    <cellStyle name="Cálculo 5 4 5" xfId="9799"/>
    <cellStyle name="Cálculo 5 4 5 2" xfId="20247"/>
    <cellStyle name="Cálculo 5 4 5 2 2" xfId="49428"/>
    <cellStyle name="Cálculo 5 4 5 3" xfId="38982"/>
    <cellStyle name="Cálculo 5 4 6" xfId="16887"/>
    <cellStyle name="Cálculo 5 4 6 2" xfId="46068"/>
    <cellStyle name="Cálculo 5 4 7" xfId="29844"/>
    <cellStyle name="Cálculo 5 5" xfId="634"/>
    <cellStyle name="Cálculo 5 5 2" xfId="1626"/>
    <cellStyle name="Cálculo 5 5 2 2" xfId="3426"/>
    <cellStyle name="Cálculo 5 5 2 2 2" xfId="6441"/>
    <cellStyle name="Cálculo 5 5 2 2 2 2" xfId="18308"/>
    <cellStyle name="Cálculo 5 5 2 2 2 2 2" xfId="47489"/>
    <cellStyle name="Cálculo 5 5 2 2 2 3" xfId="35624"/>
    <cellStyle name="Cálculo 5 5 2 2 3" xfId="9118"/>
    <cellStyle name="Cálculo 5 5 2 2 3 2" xfId="19836"/>
    <cellStyle name="Cálculo 5 5 2 2 3 2 2" xfId="49017"/>
    <cellStyle name="Cálculo 5 5 2 2 3 3" xfId="38301"/>
    <cellStyle name="Cálculo 5 5 2 2 4" xfId="15639"/>
    <cellStyle name="Cálculo 5 5 2 2 4 2" xfId="44820"/>
    <cellStyle name="Cálculo 5 5 2 2 5" xfId="32609"/>
    <cellStyle name="Cálculo 5 5 2 3" xfId="5001"/>
    <cellStyle name="Cálculo 5 5 2 3 2" xfId="17002"/>
    <cellStyle name="Cálculo 5 5 2 3 2 2" xfId="46183"/>
    <cellStyle name="Cálculo 5 5 2 3 3" xfId="34184"/>
    <cellStyle name="Cálculo 5 5 2 4" xfId="10244"/>
    <cellStyle name="Cálculo 5 5 2 4 2" xfId="20513"/>
    <cellStyle name="Cálculo 5 5 2 4 2 2" xfId="49694"/>
    <cellStyle name="Cálculo 5 5 2 4 3" xfId="39427"/>
    <cellStyle name="Cálculo 5 5 2 5" xfId="12802"/>
    <cellStyle name="Cálculo 5 5 2 5 2" xfId="41983"/>
    <cellStyle name="Cálculo 5 5 2 6" xfId="30809"/>
    <cellStyle name="Cálculo 5 5 3" xfId="2526"/>
    <cellStyle name="Cálculo 5 5 3 2" xfId="5721"/>
    <cellStyle name="Cálculo 5 5 3 2 2" xfId="17552"/>
    <cellStyle name="Cálculo 5 5 3 2 2 2" xfId="46733"/>
    <cellStyle name="Cálculo 5 5 3 2 3" xfId="34904"/>
    <cellStyle name="Cálculo 5 5 3 3" xfId="9468"/>
    <cellStyle name="Cálculo 5 5 3 3 2" xfId="20047"/>
    <cellStyle name="Cálculo 5 5 3 3 2 2" xfId="49228"/>
    <cellStyle name="Cálculo 5 5 3 3 3" xfId="38651"/>
    <cellStyle name="Cálculo 5 5 3 4" xfId="13494"/>
    <cellStyle name="Cálculo 5 5 3 4 2" xfId="42675"/>
    <cellStyle name="Cálculo 5 5 3 5" xfId="31709"/>
    <cellStyle name="Cálculo 5 5 4" xfId="4281"/>
    <cellStyle name="Cálculo 5 5 4 2" xfId="10894"/>
    <cellStyle name="Cálculo 5 5 4 2 2" xfId="40075"/>
    <cellStyle name="Cálculo 5 5 4 3" xfId="33464"/>
    <cellStyle name="Cálculo 5 5 5" xfId="10154"/>
    <cellStyle name="Cálculo 5 5 5 2" xfId="20464"/>
    <cellStyle name="Cálculo 5 5 5 2 2" xfId="49645"/>
    <cellStyle name="Cálculo 5 5 5 3" xfId="39337"/>
    <cellStyle name="Cálculo 5 5 6" xfId="15691"/>
    <cellStyle name="Cálculo 5 5 6 2" xfId="44872"/>
    <cellStyle name="Cálculo 5 5 7" xfId="29837"/>
    <cellStyle name="Cálculo 5 6" xfId="629"/>
    <cellStyle name="Cálculo 5 6 2" xfId="1621"/>
    <cellStyle name="Cálculo 5 6 2 2" xfId="3421"/>
    <cellStyle name="Cálculo 5 6 2 2 2" xfId="6436"/>
    <cellStyle name="Cálculo 5 6 2 2 2 2" xfId="18303"/>
    <cellStyle name="Cálculo 5 6 2 2 2 2 2" xfId="47484"/>
    <cellStyle name="Cálculo 5 6 2 2 2 3" xfId="35619"/>
    <cellStyle name="Cálculo 5 6 2 2 3" xfId="7869"/>
    <cellStyle name="Cálculo 5 6 2 2 3 2" xfId="19083"/>
    <cellStyle name="Cálculo 5 6 2 2 3 2 2" xfId="48264"/>
    <cellStyle name="Cálculo 5 6 2 2 3 3" xfId="37052"/>
    <cellStyle name="Cálculo 5 6 2 2 4" xfId="15774"/>
    <cellStyle name="Cálculo 5 6 2 2 4 2" xfId="44955"/>
    <cellStyle name="Cálculo 5 6 2 2 5" xfId="32604"/>
    <cellStyle name="Cálculo 5 6 2 3" xfId="4996"/>
    <cellStyle name="Cálculo 5 6 2 3 2" xfId="12900"/>
    <cellStyle name="Cálculo 5 6 2 3 2 2" xfId="42081"/>
    <cellStyle name="Cálculo 5 6 2 3 3" xfId="34179"/>
    <cellStyle name="Cálculo 5 6 2 4" xfId="9593"/>
    <cellStyle name="Cálculo 5 6 2 4 2" xfId="20125"/>
    <cellStyle name="Cálculo 5 6 2 4 2 2" xfId="49306"/>
    <cellStyle name="Cálculo 5 6 2 4 3" xfId="38776"/>
    <cellStyle name="Cálculo 5 6 2 5" xfId="12164"/>
    <cellStyle name="Cálculo 5 6 2 5 2" xfId="41345"/>
    <cellStyle name="Cálculo 5 6 2 6" xfId="30804"/>
    <cellStyle name="Cálculo 5 6 3" xfId="2521"/>
    <cellStyle name="Cálculo 5 6 3 2" xfId="5716"/>
    <cellStyle name="Cálculo 5 6 3 2 2" xfId="17503"/>
    <cellStyle name="Cálculo 5 6 3 2 2 2" xfId="46684"/>
    <cellStyle name="Cálculo 5 6 3 2 3" xfId="34899"/>
    <cellStyle name="Cálculo 5 6 3 3" xfId="8162"/>
    <cellStyle name="Cálculo 5 6 3 3 2" xfId="19261"/>
    <cellStyle name="Cálculo 5 6 3 3 2 2" xfId="48442"/>
    <cellStyle name="Cálculo 5 6 3 3 3" xfId="37345"/>
    <cellStyle name="Cálculo 5 6 3 4" xfId="17728"/>
    <cellStyle name="Cálculo 5 6 3 4 2" xfId="46909"/>
    <cellStyle name="Cálculo 5 6 3 5" xfId="31704"/>
    <cellStyle name="Cálculo 5 6 4" xfId="4276"/>
    <cellStyle name="Cálculo 5 6 4 2" xfId="14054"/>
    <cellStyle name="Cálculo 5 6 4 2 2" xfId="43235"/>
    <cellStyle name="Cálculo 5 6 4 3" xfId="33459"/>
    <cellStyle name="Cálculo 5 6 5" xfId="9525"/>
    <cellStyle name="Cálculo 5 6 5 2" xfId="20081"/>
    <cellStyle name="Cálculo 5 6 5 2 2" xfId="49262"/>
    <cellStyle name="Cálculo 5 6 5 3" xfId="38708"/>
    <cellStyle name="Cálculo 5 6 6" xfId="11506"/>
    <cellStyle name="Cálculo 5 6 6 2" xfId="40687"/>
    <cellStyle name="Cálculo 5 6 7" xfId="29832"/>
    <cellStyle name="Cálculo 5 7" xfId="652"/>
    <cellStyle name="Cálculo 5 7 2" xfId="1644"/>
    <cellStyle name="Cálculo 5 7 2 2" xfId="3444"/>
    <cellStyle name="Cálculo 5 7 2 2 2" xfId="6459"/>
    <cellStyle name="Cálculo 5 7 2 2 2 2" xfId="18326"/>
    <cellStyle name="Cálculo 5 7 2 2 2 2 2" xfId="47507"/>
    <cellStyle name="Cálculo 5 7 2 2 2 3" xfId="35642"/>
    <cellStyle name="Cálculo 5 7 2 2 3" xfId="7779"/>
    <cellStyle name="Cálculo 5 7 2 2 3 2" xfId="19031"/>
    <cellStyle name="Cálculo 5 7 2 2 3 2 2" xfId="48212"/>
    <cellStyle name="Cálculo 5 7 2 2 3 3" xfId="36962"/>
    <cellStyle name="Cálculo 5 7 2 2 4" xfId="13727"/>
    <cellStyle name="Cálculo 5 7 2 2 4 2" xfId="42908"/>
    <cellStyle name="Cálculo 5 7 2 2 5" xfId="32627"/>
    <cellStyle name="Cálculo 5 7 2 3" xfId="5019"/>
    <cellStyle name="Cálculo 5 7 2 3 2" xfId="15185"/>
    <cellStyle name="Cálculo 5 7 2 3 2 2" xfId="44366"/>
    <cellStyle name="Cálculo 5 7 2 3 3" xfId="34202"/>
    <cellStyle name="Cálculo 5 7 2 4" xfId="8013"/>
    <cellStyle name="Cálculo 5 7 2 4 2" xfId="19173"/>
    <cellStyle name="Cálculo 5 7 2 4 2 2" xfId="48354"/>
    <cellStyle name="Cálculo 5 7 2 4 3" xfId="37196"/>
    <cellStyle name="Cálculo 5 7 2 5" xfId="12578"/>
    <cellStyle name="Cálculo 5 7 2 5 2" xfId="41759"/>
    <cellStyle name="Cálculo 5 7 2 6" xfId="30827"/>
    <cellStyle name="Cálculo 5 7 3" xfId="2544"/>
    <cellStyle name="Cálculo 5 7 3 2" xfId="5739"/>
    <cellStyle name="Cálculo 5 7 3 2 2" xfId="10913"/>
    <cellStyle name="Cálculo 5 7 3 2 2 2" xfId="40094"/>
    <cellStyle name="Cálculo 5 7 3 2 3" xfId="34922"/>
    <cellStyle name="Cálculo 5 7 3 3" xfId="8778"/>
    <cellStyle name="Cálculo 5 7 3 3 2" xfId="19638"/>
    <cellStyle name="Cálculo 5 7 3 3 2 2" xfId="48819"/>
    <cellStyle name="Cálculo 5 7 3 3 3" xfId="37961"/>
    <cellStyle name="Cálculo 5 7 3 4" xfId="16021"/>
    <cellStyle name="Cálculo 5 7 3 4 2" xfId="45202"/>
    <cellStyle name="Cálculo 5 7 3 5" xfId="31727"/>
    <cellStyle name="Cálculo 5 7 4" xfId="4299"/>
    <cellStyle name="Cálculo 5 7 4 2" xfId="16362"/>
    <cellStyle name="Cálculo 5 7 4 2 2" xfId="45543"/>
    <cellStyle name="Cálculo 5 7 4 3" xfId="33482"/>
    <cellStyle name="Cálculo 5 7 5" xfId="10177"/>
    <cellStyle name="Cálculo 5 7 5 2" xfId="20476"/>
    <cellStyle name="Cálculo 5 7 5 2 2" xfId="49657"/>
    <cellStyle name="Cálculo 5 7 5 3" xfId="39360"/>
    <cellStyle name="Cálculo 5 7 6" xfId="11808"/>
    <cellStyle name="Cálculo 5 7 6 2" xfId="40989"/>
    <cellStyle name="Cálculo 5 7 7" xfId="29855"/>
    <cellStyle name="Cálculo 5 8" xfId="1403"/>
    <cellStyle name="Cálculo 5 8 2" xfId="3203"/>
    <cellStyle name="Cálculo 5 8 2 2" xfId="6263"/>
    <cellStyle name="Cálculo 5 8 2 2 2" xfId="18209"/>
    <cellStyle name="Cálculo 5 8 2 2 2 2" xfId="47390"/>
    <cellStyle name="Cálculo 5 8 2 2 3" xfId="35446"/>
    <cellStyle name="Cálculo 5 8 2 3" xfId="7166"/>
    <cellStyle name="Cálculo 5 8 2 3 2" xfId="18667"/>
    <cellStyle name="Cálculo 5 8 2 3 2 2" xfId="47848"/>
    <cellStyle name="Cálculo 5 8 2 3 3" xfId="36349"/>
    <cellStyle name="Cálculo 5 8 2 4" xfId="11335"/>
    <cellStyle name="Cálculo 5 8 2 4 2" xfId="40516"/>
    <cellStyle name="Cálculo 5 8 2 5" xfId="32386"/>
    <cellStyle name="Cálculo 5 8 3" xfId="4823"/>
    <cellStyle name="Cálculo 5 8 3 2" xfId="12570"/>
    <cellStyle name="Cálculo 5 8 3 2 2" xfId="41751"/>
    <cellStyle name="Cálculo 5 8 3 3" xfId="34006"/>
    <cellStyle name="Cálculo 5 8 4" xfId="8369"/>
    <cellStyle name="Cálculo 5 8 4 2" xfId="19389"/>
    <cellStyle name="Cálculo 5 8 4 2 2" xfId="48570"/>
    <cellStyle name="Cálculo 5 8 4 3" xfId="37552"/>
    <cellStyle name="Cálculo 5 8 5" xfId="12479"/>
    <cellStyle name="Cálculo 5 8 5 2" xfId="41660"/>
    <cellStyle name="Cálculo 5 8 6" xfId="30586"/>
    <cellStyle name="Cálculo 5 9" xfId="2303"/>
    <cellStyle name="Cálculo 5 9 2" xfId="5543"/>
    <cellStyle name="Cálculo 5 9 2 2" xfId="16024"/>
    <cellStyle name="Cálculo 5 9 2 2 2" xfId="45205"/>
    <cellStyle name="Cálculo 5 9 2 3" xfId="34726"/>
    <cellStyle name="Cálculo 5 9 3" xfId="7662"/>
    <cellStyle name="Cálculo 5 9 3 2" xfId="18956"/>
    <cellStyle name="Cálculo 5 9 3 2 2" xfId="48137"/>
    <cellStyle name="Cálculo 5 9 3 3" xfId="36845"/>
    <cellStyle name="Cálculo 5 9 4" xfId="16390"/>
    <cellStyle name="Cálculo 5 9 4 2" xfId="45571"/>
    <cellStyle name="Cálculo 5 9 5" xfId="31486"/>
    <cellStyle name="Cálculo 6" xfId="179"/>
    <cellStyle name="Cálculo 6 10" xfId="4104"/>
    <cellStyle name="Cálculo 6 10 2" xfId="16173"/>
    <cellStyle name="Cálculo 6 10 2 2" xfId="45354"/>
    <cellStyle name="Cálculo 6 10 3" xfId="33287"/>
    <cellStyle name="Cálculo 6 11" xfId="12328"/>
    <cellStyle name="Cálculo 6 11 2" xfId="41509"/>
    <cellStyle name="Cálculo 6 12" xfId="29564"/>
    <cellStyle name="Cálculo 6 2" xfId="426"/>
    <cellStyle name="Cálculo 6 2 10" xfId="9606"/>
    <cellStyle name="Cálculo 6 2 10 2" xfId="20134"/>
    <cellStyle name="Cálculo 6 2 10 2 2" xfId="49315"/>
    <cellStyle name="Cálculo 6 2 10 3" xfId="38789"/>
    <cellStyle name="Cálculo 6 2 11" xfId="12168"/>
    <cellStyle name="Cálculo 6 2 11 2" xfId="41349"/>
    <cellStyle name="Cálculo 6 2 12" xfId="58769"/>
    <cellStyle name="Cálculo 6 2 13" xfId="29632"/>
    <cellStyle name="Cálculo 6 2 2" xfId="516"/>
    <cellStyle name="Cálculo 6 2 2 10" xfId="12073"/>
    <cellStyle name="Cálculo 6 2 2 10 2" xfId="41254"/>
    <cellStyle name="Cálculo 6 2 2 11" xfId="29722"/>
    <cellStyle name="Cálculo 6 2 2 2" xfId="869"/>
    <cellStyle name="Cálculo 6 2 2 2 2" xfId="1807"/>
    <cellStyle name="Cálculo 6 2 2 2 2 2" xfId="3607"/>
    <cellStyle name="Cálculo 6 2 2 2 2 2 2" xfId="6586"/>
    <cellStyle name="Cálculo 6 2 2 2 2 2 2 2" xfId="18390"/>
    <cellStyle name="Cálculo 6 2 2 2 2 2 2 2 2" xfId="47571"/>
    <cellStyle name="Cálculo 6 2 2 2 2 2 2 3" xfId="35769"/>
    <cellStyle name="Cálculo 6 2 2 2 2 2 3" xfId="7157"/>
    <cellStyle name="Cálculo 6 2 2 2 2 2 3 2" xfId="18660"/>
    <cellStyle name="Cálculo 6 2 2 2 2 2 3 2 2" xfId="47841"/>
    <cellStyle name="Cálculo 6 2 2 2 2 2 3 3" xfId="36340"/>
    <cellStyle name="Cálculo 6 2 2 2 2 2 4" xfId="15537"/>
    <cellStyle name="Cálculo 6 2 2 2 2 2 4 2" xfId="44718"/>
    <cellStyle name="Cálculo 6 2 2 2 2 2 5" xfId="32790"/>
    <cellStyle name="Cálculo 6 2 2 2 2 3" xfId="5146"/>
    <cellStyle name="Cálculo 6 2 2 2 2 3 2" xfId="17642"/>
    <cellStyle name="Cálculo 6 2 2 2 2 3 2 2" xfId="46823"/>
    <cellStyle name="Cálculo 6 2 2 2 2 3 3" xfId="34329"/>
    <cellStyle name="Cálculo 6 2 2 2 2 4" xfId="8668"/>
    <cellStyle name="Cálculo 6 2 2 2 2 4 2" xfId="19573"/>
    <cellStyle name="Cálculo 6 2 2 2 2 4 2 2" xfId="48754"/>
    <cellStyle name="Cálculo 6 2 2 2 2 4 3" xfId="37851"/>
    <cellStyle name="Cálculo 6 2 2 2 2 5" xfId="11470"/>
    <cellStyle name="Cálculo 6 2 2 2 2 5 2" xfId="40651"/>
    <cellStyle name="Cálculo 6 2 2 2 2 6" xfId="30990"/>
    <cellStyle name="Cálculo 6 2 2 2 3" xfId="2707"/>
    <cellStyle name="Cálculo 6 2 2 2 3 2" xfId="5866"/>
    <cellStyle name="Cálculo 6 2 2 2 3 2 2" xfId="15243"/>
    <cellStyle name="Cálculo 6 2 2 2 3 2 2 2" xfId="44424"/>
    <cellStyle name="Cálculo 6 2 2 2 3 2 3" xfId="35049"/>
    <cellStyle name="Cálculo 6 2 2 2 3 3" xfId="10194"/>
    <cellStyle name="Cálculo 6 2 2 2 3 3 2" xfId="20487"/>
    <cellStyle name="Cálculo 6 2 2 2 3 3 2 2" xfId="49668"/>
    <cellStyle name="Cálculo 6 2 2 2 3 3 3" xfId="39377"/>
    <cellStyle name="Cálculo 6 2 2 2 3 4" xfId="16094"/>
    <cellStyle name="Cálculo 6 2 2 2 3 4 2" xfId="45275"/>
    <cellStyle name="Cálculo 6 2 2 2 3 5" xfId="31890"/>
    <cellStyle name="Cálculo 6 2 2 2 4" xfId="4426"/>
    <cellStyle name="Cálculo 6 2 2 2 4 2" xfId="17518"/>
    <cellStyle name="Cálculo 6 2 2 2 4 2 2" xfId="46699"/>
    <cellStyle name="Cálculo 6 2 2 2 4 3" xfId="33609"/>
    <cellStyle name="Cálculo 6 2 2 2 5" xfId="7855"/>
    <cellStyle name="Cálculo 6 2 2 2 5 2" xfId="19075"/>
    <cellStyle name="Cálculo 6 2 2 2 5 2 2" xfId="48256"/>
    <cellStyle name="Cálculo 6 2 2 2 5 3" xfId="37038"/>
    <cellStyle name="Cálculo 6 2 2 2 6" xfId="16762"/>
    <cellStyle name="Cálculo 6 2 2 2 6 2" xfId="45943"/>
    <cellStyle name="Cálculo 6 2 2 2 7" xfId="30066"/>
    <cellStyle name="Cálculo 6 2 2 3" xfId="1061"/>
    <cellStyle name="Cálculo 6 2 2 3 2" xfId="1971"/>
    <cellStyle name="Cálculo 6 2 2 3 2 2" xfId="3771"/>
    <cellStyle name="Cálculo 6 2 2 3 2 2 2" xfId="6714"/>
    <cellStyle name="Cálculo 6 2 2 3 2 2 2 2" xfId="18444"/>
    <cellStyle name="Cálculo 6 2 2 3 2 2 2 2 2" xfId="47625"/>
    <cellStyle name="Cálculo 6 2 2 3 2 2 2 3" xfId="35897"/>
    <cellStyle name="Cálculo 6 2 2 3 2 2 3" xfId="9217"/>
    <cellStyle name="Cálculo 6 2 2 3 2 2 3 2" xfId="19901"/>
    <cellStyle name="Cálculo 6 2 2 3 2 2 3 2 2" xfId="49082"/>
    <cellStyle name="Cálculo 6 2 2 3 2 2 3 3" xfId="38400"/>
    <cellStyle name="Cálculo 6 2 2 3 2 2 4" xfId="10628"/>
    <cellStyle name="Cálculo 6 2 2 3 2 2 4 2" xfId="39809"/>
    <cellStyle name="Cálculo 6 2 2 3 2 2 5" xfId="32954"/>
    <cellStyle name="Cálculo 6 2 2 3 2 3" xfId="5274"/>
    <cellStyle name="Cálculo 6 2 2 3 2 3 2" xfId="16399"/>
    <cellStyle name="Cálculo 6 2 2 3 2 3 2 2" xfId="45580"/>
    <cellStyle name="Cálculo 6 2 2 3 2 3 3" xfId="34457"/>
    <cellStyle name="Cálculo 6 2 2 3 2 4" xfId="8527"/>
    <cellStyle name="Cálculo 6 2 2 3 2 4 2" xfId="19491"/>
    <cellStyle name="Cálculo 6 2 2 3 2 4 2 2" xfId="48672"/>
    <cellStyle name="Cálculo 6 2 2 3 2 4 3" xfId="37710"/>
    <cellStyle name="Cálculo 6 2 2 3 2 5" xfId="12960"/>
    <cellStyle name="Cálculo 6 2 2 3 2 5 2" xfId="42141"/>
    <cellStyle name="Cálculo 6 2 2 3 2 6" xfId="31154"/>
    <cellStyle name="Cálculo 6 2 2 3 3" xfId="2871"/>
    <cellStyle name="Cálculo 6 2 2 3 3 2" xfId="5994"/>
    <cellStyle name="Cálculo 6 2 2 3 3 2 2" xfId="10587"/>
    <cellStyle name="Cálculo 6 2 2 3 3 2 2 2" xfId="39768"/>
    <cellStyle name="Cálculo 6 2 2 3 3 2 3" xfId="35177"/>
    <cellStyle name="Cálculo 6 2 2 3 3 3" xfId="10054"/>
    <cellStyle name="Cálculo 6 2 2 3 3 3 2" xfId="20405"/>
    <cellStyle name="Cálculo 6 2 2 3 3 3 2 2" xfId="49586"/>
    <cellStyle name="Cálculo 6 2 2 3 3 3 3" xfId="39237"/>
    <cellStyle name="Cálculo 6 2 2 3 3 4" xfId="10784"/>
    <cellStyle name="Cálculo 6 2 2 3 3 4 2" xfId="39965"/>
    <cellStyle name="Cálculo 6 2 2 3 3 5" xfId="32054"/>
    <cellStyle name="Cálculo 6 2 2 3 4" xfId="4554"/>
    <cellStyle name="Cálculo 6 2 2 3 4 2" xfId="12892"/>
    <cellStyle name="Cálculo 6 2 2 3 4 2 2" xfId="42073"/>
    <cellStyle name="Cálculo 6 2 2 3 4 3" xfId="33737"/>
    <cellStyle name="Cálculo 6 2 2 3 5" xfId="7440"/>
    <cellStyle name="Cálculo 6 2 2 3 5 2" xfId="18818"/>
    <cellStyle name="Cálculo 6 2 2 3 5 2 2" xfId="47999"/>
    <cellStyle name="Cálculo 6 2 2 3 5 3" xfId="36623"/>
    <cellStyle name="Cálculo 6 2 2 3 6" xfId="15804"/>
    <cellStyle name="Cálculo 6 2 2 3 6 2" xfId="44985"/>
    <cellStyle name="Cálculo 6 2 2 3 7" xfId="30251"/>
    <cellStyle name="Cálculo 6 2 2 4" xfId="1211"/>
    <cellStyle name="Cálculo 6 2 2 4 2" xfId="2115"/>
    <cellStyle name="Cálculo 6 2 2 4 2 2" xfId="3915"/>
    <cellStyle name="Cálculo 6 2 2 4 2 2 2" xfId="6831"/>
    <cellStyle name="Cálculo 6 2 2 4 2 2 2 2" xfId="18498"/>
    <cellStyle name="Cálculo 6 2 2 4 2 2 2 2 2" xfId="47679"/>
    <cellStyle name="Cálculo 6 2 2 4 2 2 2 3" xfId="36014"/>
    <cellStyle name="Cálculo 6 2 2 4 2 2 3" xfId="8839"/>
    <cellStyle name="Cálculo 6 2 2 4 2 2 3 2" xfId="19672"/>
    <cellStyle name="Cálculo 6 2 2 4 2 2 3 2 2" xfId="48853"/>
    <cellStyle name="Cálculo 6 2 2 4 2 2 3 3" xfId="38022"/>
    <cellStyle name="Cálculo 6 2 2 4 2 2 4" xfId="16657"/>
    <cellStyle name="Cálculo 6 2 2 4 2 2 4 2" xfId="45838"/>
    <cellStyle name="Cálculo 6 2 2 4 2 2 5" xfId="33098"/>
    <cellStyle name="Cálculo 6 2 2 4 2 3" xfId="5391"/>
    <cellStyle name="Cálculo 6 2 2 4 2 3 2" xfId="11016"/>
    <cellStyle name="Cálculo 6 2 2 4 2 3 2 2" xfId="40197"/>
    <cellStyle name="Cálculo 6 2 2 4 2 3 3" xfId="34574"/>
    <cellStyle name="Cálculo 6 2 2 4 2 4" xfId="9821"/>
    <cellStyle name="Cálculo 6 2 2 4 2 4 2" xfId="20261"/>
    <cellStyle name="Cálculo 6 2 2 4 2 4 2 2" xfId="49442"/>
    <cellStyle name="Cálculo 6 2 2 4 2 4 3" xfId="39004"/>
    <cellStyle name="Cálculo 6 2 2 4 2 5" xfId="13316"/>
    <cellStyle name="Cálculo 6 2 2 4 2 5 2" xfId="42497"/>
    <cellStyle name="Cálculo 6 2 2 4 2 6" xfId="31298"/>
    <cellStyle name="Cálculo 6 2 2 4 3" xfId="3015"/>
    <cellStyle name="Cálculo 6 2 2 4 3 2" xfId="6111"/>
    <cellStyle name="Cálculo 6 2 2 4 3 2 2" xfId="18138"/>
    <cellStyle name="Cálculo 6 2 2 4 3 2 2 2" xfId="47319"/>
    <cellStyle name="Cálculo 6 2 2 4 3 2 3" xfId="35294"/>
    <cellStyle name="Cálculo 6 2 2 4 3 3" xfId="9046"/>
    <cellStyle name="Cálculo 6 2 2 4 3 3 2" xfId="19793"/>
    <cellStyle name="Cálculo 6 2 2 4 3 3 2 2" xfId="48974"/>
    <cellStyle name="Cálculo 6 2 2 4 3 3 3" xfId="38229"/>
    <cellStyle name="Cálculo 6 2 2 4 3 4" xfId="16927"/>
    <cellStyle name="Cálculo 6 2 2 4 3 4 2" xfId="46108"/>
    <cellStyle name="Cálculo 6 2 2 4 3 5" xfId="32198"/>
    <cellStyle name="Cálculo 6 2 2 4 4" xfId="4671"/>
    <cellStyle name="Cálculo 6 2 2 4 4 2" xfId="15247"/>
    <cellStyle name="Cálculo 6 2 2 4 4 2 2" xfId="44428"/>
    <cellStyle name="Cálculo 6 2 2 4 4 3" xfId="33854"/>
    <cellStyle name="Cálculo 6 2 2 4 5" xfId="8830"/>
    <cellStyle name="Cálculo 6 2 2 4 5 2" xfId="19667"/>
    <cellStyle name="Cálculo 6 2 2 4 5 2 2" xfId="48848"/>
    <cellStyle name="Cálculo 6 2 2 4 5 3" xfId="38013"/>
    <cellStyle name="Cálculo 6 2 2 4 6" xfId="17591"/>
    <cellStyle name="Cálculo 6 2 2 4 6 2" xfId="46772"/>
    <cellStyle name="Cálculo 6 2 2 4 7" xfId="30398"/>
    <cellStyle name="Cálculo 6 2 2 5" xfId="1357"/>
    <cellStyle name="Cálculo 6 2 2 5 2" xfId="2259"/>
    <cellStyle name="Cálculo 6 2 2 5 2 2" xfId="4059"/>
    <cellStyle name="Cálculo 6 2 2 5 2 2 2" xfId="6948"/>
    <cellStyle name="Cálculo 6 2 2 5 2 2 2 2" xfId="18552"/>
    <cellStyle name="Cálculo 6 2 2 5 2 2 2 2 2" xfId="47733"/>
    <cellStyle name="Cálculo 6 2 2 5 2 2 2 3" xfId="36131"/>
    <cellStyle name="Cálculo 6 2 2 5 2 2 3" xfId="7021"/>
    <cellStyle name="Cálculo 6 2 2 5 2 2 3 2" xfId="18588"/>
    <cellStyle name="Cálculo 6 2 2 5 2 2 3 2 2" xfId="47769"/>
    <cellStyle name="Cálculo 6 2 2 5 2 2 3 3" xfId="36204"/>
    <cellStyle name="Cálculo 6 2 2 5 2 2 4" xfId="12250"/>
    <cellStyle name="Cálculo 6 2 2 5 2 2 4 2" xfId="41431"/>
    <cellStyle name="Cálculo 6 2 2 5 2 2 5" xfId="33242"/>
    <cellStyle name="Cálculo 6 2 2 5 2 3" xfId="5508"/>
    <cellStyle name="Cálculo 6 2 2 5 2 3 2" xfId="18108"/>
    <cellStyle name="Cálculo 6 2 2 5 2 3 2 2" xfId="47289"/>
    <cellStyle name="Cálculo 6 2 2 5 2 3 3" xfId="34691"/>
    <cellStyle name="Cálculo 6 2 2 5 2 4" xfId="7297"/>
    <cellStyle name="Cálculo 6 2 2 5 2 4 2" xfId="18739"/>
    <cellStyle name="Cálculo 6 2 2 5 2 4 2 2" xfId="47920"/>
    <cellStyle name="Cálculo 6 2 2 5 2 4 3" xfId="36480"/>
    <cellStyle name="Cálculo 6 2 2 5 2 5" xfId="11232"/>
    <cellStyle name="Cálculo 6 2 2 5 2 5 2" xfId="40413"/>
    <cellStyle name="Cálculo 6 2 2 5 2 6" xfId="31442"/>
    <cellStyle name="Cálculo 6 2 2 5 3" xfId="3159"/>
    <cellStyle name="Cálculo 6 2 2 5 3 2" xfId="6228"/>
    <cellStyle name="Cálculo 6 2 2 5 3 2 2" xfId="18192"/>
    <cellStyle name="Cálculo 6 2 2 5 3 2 2 2" xfId="47373"/>
    <cellStyle name="Cálculo 6 2 2 5 3 2 3" xfId="35411"/>
    <cellStyle name="Cálculo 6 2 2 5 3 3" xfId="7210"/>
    <cellStyle name="Cálculo 6 2 2 5 3 3 2" xfId="18693"/>
    <cellStyle name="Cálculo 6 2 2 5 3 3 2 2" xfId="47874"/>
    <cellStyle name="Cálculo 6 2 2 5 3 3 3" xfId="36393"/>
    <cellStyle name="Cálculo 6 2 2 5 3 4" xfId="17979"/>
    <cellStyle name="Cálculo 6 2 2 5 3 4 2" xfId="47160"/>
    <cellStyle name="Cálculo 6 2 2 5 3 5" xfId="32342"/>
    <cellStyle name="Cálculo 6 2 2 5 4" xfId="4788"/>
    <cellStyle name="Cálculo 6 2 2 5 4 2" xfId="12256"/>
    <cellStyle name="Cálculo 6 2 2 5 4 2 2" xfId="41437"/>
    <cellStyle name="Cálculo 6 2 2 5 4 3" xfId="33971"/>
    <cellStyle name="Cálculo 6 2 2 5 5" xfId="7493"/>
    <cellStyle name="Cálculo 6 2 2 5 5 2" xfId="18850"/>
    <cellStyle name="Cálculo 6 2 2 5 5 2 2" xfId="48031"/>
    <cellStyle name="Cálculo 6 2 2 5 5 3" xfId="36676"/>
    <cellStyle name="Cálculo 6 2 2 5 6" xfId="16103"/>
    <cellStyle name="Cálculo 6 2 2 5 6 2" xfId="45284"/>
    <cellStyle name="Cálculo 6 2 2 5 7" xfId="30542"/>
    <cellStyle name="Cálculo 6 2 2 6" xfId="1539"/>
    <cellStyle name="Cálculo 6 2 2 6 2" xfId="3339"/>
    <cellStyle name="Cálculo 6 2 2 6 2 2" xfId="6372"/>
    <cellStyle name="Cálculo 6 2 2 6 2 2 2" xfId="18264"/>
    <cellStyle name="Cálculo 6 2 2 6 2 2 2 2" xfId="47445"/>
    <cellStyle name="Cálculo 6 2 2 6 2 2 3" xfId="35555"/>
    <cellStyle name="Cálculo 6 2 2 6 2 3" xfId="10187"/>
    <cellStyle name="Cálculo 6 2 2 6 2 3 2" xfId="20482"/>
    <cellStyle name="Cálculo 6 2 2 6 2 3 2 2" xfId="49663"/>
    <cellStyle name="Cálculo 6 2 2 6 2 3 3" xfId="39370"/>
    <cellStyle name="Cálculo 6 2 2 6 2 4" xfId="17177"/>
    <cellStyle name="Cálculo 6 2 2 6 2 4 2" xfId="46358"/>
    <cellStyle name="Cálculo 6 2 2 6 2 5" xfId="32522"/>
    <cellStyle name="Cálculo 6 2 2 6 3" xfId="4932"/>
    <cellStyle name="Cálculo 6 2 2 6 3 2" xfId="15642"/>
    <cellStyle name="Cálculo 6 2 2 6 3 2 2" xfId="44823"/>
    <cellStyle name="Cálculo 6 2 2 6 3 3" xfId="34115"/>
    <cellStyle name="Cálculo 6 2 2 6 4" xfId="8946"/>
    <cellStyle name="Cálculo 6 2 2 6 4 2" xfId="19737"/>
    <cellStyle name="Cálculo 6 2 2 6 4 2 2" xfId="48918"/>
    <cellStyle name="Cálculo 6 2 2 6 4 3" xfId="38129"/>
    <cellStyle name="Cálculo 6 2 2 6 5" xfId="11113"/>
    <cellStyle name="Cálculo 6 2 2 6 5 2" xfId="40294"/>
    <cellStyle name="Cálculo 6 2 2 6 6" xfId="30722"/>
    <cellStyle name="Cálculo 6 2 2 7" xfId="2439"/>
    <cellStyle name="Cálculo 6 2 2 7 2" xfId="5652"/>
    <cellStyle name="Cálculo 6 2 2 7 2 2" xfId="12063"/>
    <cellStyle name="Cálculo 6 2 2 7 2 2 2" xfId="41244"/>
    <cellStyle name="Cálculo 6 2 2 7 2 3" xfId="34835"/>
    <cellStyle name="Cálculo 6 2 2 7 3" xfId="10473"/>
    <cellStyle name="Cálculo 6 2 2 7 3 2" xfId="20660"/>
    <cellStyle name="Cálculo 6 2 2 7 3 2 2" xfId="49841"/>
    <cellStyle name="Cálculo 6 2 2 7 3 3" xfId="39656"/>
    <cellStyle name="Cálculo 6 2 2 7 4" xfId="11167"/>
    <cellStyle name="Cálculo 6 2 2 7 4 2" xfId="40348"/>
    <cellStyle name="Cálculo 6 2 2 7 5" xfId="31622"/>
    <cellStyle name="Cálculo 6 2 2 8" xfId="4212"/>
    <cellStyle name="Cálculo 6 2 2 8 2" xfId="12702"/>
    <cellStyle name="Cálculo 6 2 2 8 2 2" xfId="41883"/>
    <cellStyle name="Cálculo 6 2 2 8 3" xfId="33395"/>
    <cellStyle name="Cálculo 6 2 2 9" xfId="8580"/>
    <cellStyle name="Cálculo 6 2 2 9 2" xfId="19522"/>
    <cellStyle name="Cálculo 6 2 2 9 2 2" xfId="48703"/>
    <cellStyle name="Cálculo 6 2 2 9 3" xfId="37763"/>
    <cellStyle name="Cálculo 6 2 3" xfId="779"/>
    <cellStyle name="Cálculo 6 2 3 2" xfId="1717"/>
    <cellStyle name="Cálculo 6 2 3 2 2" xfId="3517"/>
    <cellStyle name="Cálculo 6 2 3 2 2 2" xfId="6514"/>
    <cellStyle name="Cálculo 6 2 3 2 2 2 2" xfId="18354"/>
    <cellStyle name="Cálculo 6 2 3 2 2 2 2 2" xfId="47535"/>
    <cellStyle name="Cálculo 6 2 3 2 2 2 3" xfId="35697"/>
    <cellStyle name="Cálculo 6 2 3 2 2 3" xfId="9496"/>
    <cellStyle name="Cálculo 6 2 3 2 2 3 2" xfId="20064"/>
    <cellStyle name="Cálculo 6 2 3 2 2 3 2 2" xfId="49245"/>
    <cellStyle name="Cálculo 6 2 3 2 2 3 3" xfId="38679"/>
    <cellStyle name="Cálculo 6 2 3 2 2 4" xfId="16683"/>
    <cellStyle name="Cálculo 6 2 3 2 2 4 2" xfId="45864"/>
    <cellStyle name="Cálculo 6 2 3 2 2 5" xfId="32700"/>
    <cellStyle name="Cálculo 6 2 3 2 3" xfId="5074"/>
    <cellStyle name="Cálculo 6 2 3 2 3 2" xfId="12468"/>
    <cellStyle name="Cálculo 6 2 3 2 3 2 2" xfId="41649"/>
    <cellStyle name="Cálculo 6 2 3 2 3 3" xfId="34257"/>
    <cellStyle name="Cálculo 6 2 3 2 4" xfId="9673"/>
    <cellStyle name="Cálculo 6 2 3 2 4 2" xfId="20173"/>
    <cellStyle name="Cálculo 6 2 3 2 4 2 2" xfId="49354"/>
    <cellStyle name="Cálculo 6 2 3 2 4 3" xfId="38856"/>
    <cellStyle name="Cálculo 6 2 3 2 5" xfId="14233"/>
    <cellStyle name="Cálculo 6 2 3 2 5 2" xfId="43414"/>
    <cellStyle name="Cálculo 6 2 3 2 6" xfId="30900"/>
    <cellStyle name="Cálculo 6 2 3 3" xfId="2617"/>
    <cellStyle name="Cálculo 6 2 3 3 2" xfId="5794"/>
    <cellStyle name="Cálculo 6 2 3 3 2 2" xfId="16254"/>
    <cellStyle name="Cálculo 6 2 3 3 2 2 2" xfId="45435"/>
    <cellStyle name="Cálculo 6 2 3 3 2 3" xfId="34977"/>
    <cellStyle name="Cálculo 6 2 3 3 3" xfId="8279"/>
    <cellStyle name="Cálculo 6 2 3 3 3 2" xfId="19331"/>
    <cellStyle name="Cálculo 6 2 3 3 3 2 2" xfId="48512"/>
    <cellStyle name="Cálculo 6 2 3 3 3 3" xfId="37462"/>
    <cellStyle name="Cálculo 6 2 3 3 4" xfId="13113"/>
    <cellStyle name="Cálculo 6 2 3 3 4 2" xfId="42294"/>
    <cellStyle name="Cálculo 6 2 3 3 5" xfId="31800"/>
    <cellStyle name="Cálculo 6 2 3 4" xfId="4354"/>
    <cellStyle name="Cálculo 6 2 3 4 2" xfId="13698"/>
    <cellStyle name="Cálculo 6 2 3 4 2 2" xfId="42879"/>
    <cellStyle name="Cálculo 6 2 3 4 3" xfId="33537"/>
    <cellStyle name="Cálculo 6 2 3 5" xfId="7330"/>
    <cellStyle name="Cálculo 6 2 3 5 2" xfId="18760"/>
    <cellStyle name="Cálculo 6 2 3 5 2 2" xfId="47941"/>
    <cellStyle name="Cálculo 6 2 3 5 3" xfId="36513"/>
    <cellStyle name="Cálculo 6 2 3 6" xfId="11720"/>
    <cellStyle name="Cálculo 6 2 3 6 2" xfId="40901"/>
    <cellStyle name="Cálculo 6 2 3 7" xfId="29976"/>
    <cellStyle name="Cálculo 6 2 4" xfId="971"/>
    <cellStyle name="Cálculo 6 2 4 2" xfId="1881"/>
    <cellStyle name="Cálculo 6 2 4 2 2" xfId="3681"/>
    <cellStyle name="Cálculo 6 2 4 2 2 2" xfId="6642"/>
    <cellStyle name="Cálculo 6 2 4 2 2 2 2" xfId="18408"/>
    <cellStyle name="Cálculo 6 2 4 2 2 2 2 2" xfId="47589"/>
    <cellStyle name="Cálculo 6 2 4 2 2 2 3" xfId="35825"/>
    <cellStyle name="Cálculo 6 2 4 2 2 3" xfId="9355"/>
    <cellStyle name="Cálculo 6 2 4 2 2 3 2" xfId="19984"/>
    <cellStyle name="Cálculo 6 2 4 2 2 3 2 2" xfId="49165"/>
    <cellStyle name="Cálculo 6 2 4 2 2 3 3" xfId="38538"/>
    <cellStyle name="Cálculo 6 2 4 2 2 4" xfId="11333"/>
    <cellStyle name="Cálculo 6 2 4 2 2 4 2" xfId="40514"/>
    <cellStyle name="Cálculo 6 2 4 2 2 5" xfId="32864"/>
    <cellStyle name="Cálculo 6 2 4 2 3" xfId="5202"/>
    <cellStyle name="Cálculo 6 2 4 2 3 2" xfId="16326"/>
    <cellStyle name="Cálculo 6 2 4 2 3 2 2" xfId="45507"/>
    <cellStyle name="Cálculo 6 2 4 2 3 3" xfId="34385"/>
    <cellStyle name="Cálculo 6 2 4 2 4" xfId="9552"/>
    <cellStyle name="Cálculo 6 2 4 2 4 2" xfId="20099"/>
    <cellStyle name="Cálculo 6 2 4 2 4 2 2" xfId="49280"/>
    <cellStyle name="Cálculo 6 2 4 2 4 3" xfId="38735"/>
    <cellStyle name="Cálculo 6 2 4 2 5" xfId="16614"/>
    <cellStyle name="Cálculo 6 2 4 2 5 2" xfId="45795"/>
    <cellStyle name="Cálculo 6 2 4 2 6" xfId="31064"/>
    <cellStyle name="Cálculo 6 2 4 3" xfId="2781"/>
    <cellStyle name="Cálculo 6 2 4 3 2" xfId="5922"/>
    <cellStyle name="Cálculo 6 2 4 3 2 2" xfId="17984"/>
    <cellStyle name="Cálculo 6 2 4 3 2 2 2" xfId="47165"/>
    <cellStyle name="Cálculo 6 2 4 3 2 3" xfId="35105"/>
    <cellStyle name="Cálculo 6 2 4 3 3" xfId="8120"/>
    <cellStyle name="Cálculo 6 2 4 3 3 2" xfId="19235"/>
    <cellStyle name="Cálculo 6 2 4 3 3 2 2" xfId="48416"/>
    <cellStyle name="Cálculo 6 2 4 3 3 3" xfId="37303"/>
    <cellStyle name="Cálculo 6 2 4 3 4" xfId="18038"/>
    <cellStyle name="Cálculo 6 2 4 3 4 2" xfId="47219"/>
    <cellStyle name="Cálculo 6 2 4 3 5" xfId="31964"/>
    <cellStyle name="Cálculo 6 2 4 4" xfId="4482"/>
    <cellStyle name="Cálculo 6 2 4 4 2" xfId="11226"/>
    <cellStyle name="Cálculo 6 2 4 4 2 2" xfId="40407"/>
    <cellStyle name="Cálculo 6 2 4 4 3" xfId="33665"/>
    <cellStyle name="Cálculo 6 2 4 5" xfId="8833"/>
    <cellStyle name="Cálculo 6 2 4 5 2" xfId="19669"/>
    <cellStyle name="Cálculo 6 2 4 5 2 2" xfId="48850"/>
    <cellStyle name="Cálculo 6 2 4 5 3" xfId="38016"/>
    <cellStyle name="Cálculo 6 2 4 6" xfId="11171"/>
    <cellStyle name="Cálculo 6 2 4 6 2" xfId="40352"/>
    <cellStyle name="Cálculo 6 2 4 7" xfId="30161"/>
    <cellStyle name="Cálculo 6 2 5" xfId="1121"/>
    <cellStyle name="Cálculo 6 2 5 2" xfId="2025"/>
    <cellStyle name="Cálculo 6 2 5 2 2" xfId="3825"/>
    <cellStyle name="Cálculo 6 2 5 2 2 2" xfId="6759"/>
    <cellStyle name="Cálculo 6 2 5 2 2 2 2" xfId="18462"/>
    <cellStyle name="Cálculo 6 2 5 2 2 2 2 2" xfId="47643"/>
    <cellStyle name="Cálculo 6 2 5 2 2 2 3" xfId="35942"/>
    <cellStyle name="Cálculo 6 2 5 2 2 3" xfId="7698"/>
    <cellStyle name="Cálculo 6 2 5 2 2 3 2" xfId="18977"/>
    <cellStyle name="Cálculo 6 2 5 2 2 3 2 2" xfId="48158"/>
    <cellStyle name="Cálculo 6 2 5 2 2 3 3" xfId="36881"/>
    <cellStyle name="Cálculo 6 2 5 2 2 4" xfId="12883"/>
    <cellStyle name="Cálculo 6 2 5 2 2 4 2" xfId="42064"/>
    <cellStyle name="Cálculo 6 2 5 2 2 5" xfId="33008"/>
    <cellStyle name="Cálculo 6 2 5 2 3" xfId="5319"/>
    <cellStyle name="Cálculo 6 2 5 2 3 2" xfId="11830"/>
    <cellStyle name="Cálculo 6 2 5 2 3 2 2" xfId="41011"/>
    <cellStyle name="Cálculo 6 2 5 2 3 3" xfId="34502"/>
    <cellStyle name="Cálculo 6 2 5 2 4" xfId="9472"/>
    <cellStyle name="Cálculo 6 2 5 2 4 2" xfId="20050"/>
    <cellStyle name="Cálculo 6 2 5 2 4 2 2" xfId="49231"/>
    <cellStyle name="Cálculo 6 2 5 2 4 3" xfId="38655"/>
    <cellStyle name="Cálculo 6 2 5 2 5" xfId="12389"/>
    <cellStyle name="Cálculo 6 2 5 2 5 2" xfId="41570"/>
    <cellStyle name="Cálculo 6 2 5 2 6" xfId="31208"/>
    <cellStyle name="Cálculo 6 2 5 3" xfId="2925"/>
    <cellStyle name="Cálculo 6 2 5 3 2" xfId="6039"/>
    <cellStyle name="Cálculo 6 2 5 3 2 2" xfId="10569"/>
    <cellStyle name="Cálculo 6 2 5 3 2 2 2" xfId="39750"/>
    <cellStyle name="Cálculo 6 2 5 3 2 3" xfId="35222"/>
    <cellStyle name="Cálculo 6 2 5 3 3" xfId="8037"/>
    <cellStyle name="Cálculo 6 2 5 3 3 2" xfId="19185"/>
    <cellStyle name="Cálculo 6 2 5 3 3 2 2" xfId="48366"/>
    <cellStyle name="Cálculo 6 2 5 3 3 3" xfId="37220"/>
    <cellStyle name="Cálculo 6 2 5 3 4" xfId="16168"/>
    <cellStyle name="Cálculo 6 2 5 3 4 2" xfId="45349"/>
    <cellStyle name="Cálculo 6 2 5 3 5" xfId="32108"/>
    <cellStyle name="Cálculo 6 2 5 4" xfId="4599"/>
    <cellStyle name="Cálculo 6 2 5 4 2" xfId="15917"/>
    <cellStyle name="Cálculo 6 2 5 4 2 2" xfId="45098"/>
    <cellStyle name="Cálculo 6 2 5 4 3" xfId="33782"/>
    <cellStyle name="Cálculo 6 2 5 5" xfId="7647"/>
    <cellStyle name="Cálculo 6 2 5 5 2" xfId="18947"/>
    <cellStyle name="Cálculo 6 2 5 5 2 2" xfId="48128"/>
    <cellStyle name="Cálculo 6 2 5 5 3" xfId="36830"/>
    <cellStyle name="Cálculo 6 2 5 6" xfId="11908"/>
    <cellStyle name="Cálculo 6 2 5 6 2" xfId="41089"/>
    <cellStyle name="Cálculo 6 2 5 7" xfId="30308"/>
    <cellStyle name="Cálculo 6 2 6" xfId="1267"/>
    <cellStyle name="Cálculo 6 2 6 2" xfId="2169"/>
    <cellStyle name="Cálculo 6 2 6 2 2" xfId="3969"/>
    <cellStyle name="Cálculo 6 2 6 2 2 2" xfId="6876"/>
    <cellStyle name="Cálculo 6 2 6 2 2 2 2" xfId="18516"/>
    <cellStyle name="Cálculo 6 2 6 2 2 2 2 2" xfId="47697"/>
    <cellStyle name="Cálculo 6 2 6 2 2 2 3" xfId="36059"/>
    <cellStyle name="Cálculo 6 2 6 2 2 3" xfId="7111"/>
    <cellStyle name="Cálculo 6 2 6 2 2 3 2" xfId="18642"/>
    <cellStyle name="Cálculo 6 2 6 2 2 3 2 2" xfId="47823"/>
    <cellStyle name="Cálculo 6 2 6 2 2 3 3" xfId="36294"/>
    <cellStyle name="Cálculo 6 2 6 2 2 4" xfId="16663"/>
    <cellStyle name="Cálculo 6 2 6 2 2 4 2" xfId="45844"/>
    <cellStyle name="Cálculo 6 2 6 2 2 5" xfId="33152"/>
    <cellStyle name="Cálculo 6 2 6 2 3" xfId="5436"/>
    <cellStyle name="Cálculo 6 2 6 2 3 2" xfId="13136"/>
    <cellStyle name="Cálculo 6 2 6 2 3 2 2" xfId="42317"/>
    <cellStyle name="Cálculo 6 2 6 2 3 3" xfId="34619"/>
    <cellStyle name="Cálculo 6 2 6 2 4" xfId="7507"/>
    <cellStyle name="Cálculo 6 2 6 2 4 2" xfId="18859"/>
    <cellStyle name="Cálculo 6 2 6 2 4 2 2" xfId="48040"/>
    <cellStyle name="Cálculo 6 2 6 2 4 3" xfId="36690"/>
    <cellStyle name="Cálculo 6 2 6 2 5" xfId="12647"/>
    <cellStyle name="Cálculo 6 2 6 2 5 2" xfId="41828"/>
    <cellStyle name="Cálculo 6 2 6 2 6" xfId="31352"/>
    <cellStyle name="Cálculo 6 2 6 3" xfId="3069"/>
    <cellStyle name="Cálculo 6 2 6 3 2" xfId="6156"/>
    <cellStyle name="Cálculo 6 2 6 3 2 2" xfId="18156"/>
    <cellStyle name="Cálculo 6 2 6 3 2 2 2" xfId="47337"/>
    <cellStyle name="Cálculo 6 2 6 3 2 3" xfId="35339"/>
    <cellStyle name="Cálculo 6 2 6 3 3" xfId="8412"/>
    <cellStyle name="Cálculo 6 2 6 3 3 2" xfId="19415"/>
    <cellStyle name="Cálculo 6 2 6 3 3 2 2" xfId="48596"/>
    <cellStyle name="Cálculo 6 2 6 3 3 3" xfId="37595"/>
    <cellStyle name="Cálculo 6 2 6 3 4" xfId="15670"/>
    <cellStyle name="Cálculo 6 2 6 3 4 2" xfId="44851"/>
    <cellStyle name="Cálculo 6 2 6 3 5" xfId="32252"/>
    <cellStyle name="Cálculo 6 2 6 4" xfId="4716"/>
    <cellStyle name="Cálculo 6 2 6 4 2" xfId="14283"/>
    <cellStyle name="Cálculo 6 2 6 4 2 2" xfId="43464"/>
    <cellStyle name="Cálculo 6 2 6 4 3" xfId="33899"/>
    <cellStyle name="Cálculo 6 2 6 5" xfId="10170"/>
    <cellStyle name="Cálculo 6 2 6 5 2" xfId="20471"/>
    <cellStyle name="Cálculo 6 2 6 5 2 2" xfId="49652"/>
    <cellStyle name="Cálculo 6 2 6 5 3" xfId="39353"/>
    <cellStyle name="Cálculo 6 2 6 6" xfId="17999"/>
    <cellStyle name="Cálculo 6 2 6 6 2" xfId="47180"/>
    <cellStyle name="Cálculo 6 2 6 7" xfId="30452"/>
    <cellStyle name="Cálculo 6 2 7" xfId="1449"/>
    <cellStyle name="Cálculo 6 2 7 2" xfId="3249"/>
    <cellStyle name="Cálculo 6 2 7 2 2" xfId="6300"/>
    <cellStyle name="Cálculo 6 2 7 2 2 2" xfId="18228"/>
    <cellStyle name="Cálculo 6 2 7 2 2 2 2" xfId="47409"/>
    <cellStyle name="Cálculo 6 2 7 2 2 3" xfId="35483"/>
    <cellStyle name="Cálculo 6 2 7 2 3" xfId="8272"/>
    <cellStyle name="Cálculo 6 2 7 2 3 2" xfId="19327"/>
    <cellStyle name="Cálculo 6 2 7 2 3 2 2" xfId="48508"/>
    <cellStyle name="Cálculo 6 2 7 2 3 3" xfId="37455"/>
    <cellStyle name="Cálculo 6 2 7 2 4" xfId="17280"/>
    <cellStyle name="Cálculo 6 2 7 2 4 2" xfId="46461"/>
    <cellStyle name="Cálculo 6 2 7 2 5" xfId="32432"/>
    <cellStyle name="Cálculo 6 2 7 3" xfId="4860"/>
    <cellStyle name="Cálculo 6 2 7 3 2" xfId="16446"/>
    <cellStyle name="Cálculo 6 2 7 3 2 2" xfId="45627"/>
    <cellStyle name="Cálculo 6 2 7 3 3" xfId="34043"/>
    <cellStyle name="Cálculo 6 2 7 4" xfId="9595"/>
    <cellStyle name="Cálculo 6 2 7 4 2" xfId="20127"/>
    <cellStyle name="Cálculo 6 2 7 4 2 2" xfId="49308"/>
    <cellStyle name="Cálculo 6 2 7 4 3" xfId="38778"/>
    <cellStyle name="Cálculo 6 2 7 5" xfId="16682"/>
    <cellStyle name="Cálculo 6 2 7 5 2" xfId="45863"/>
    <cellStyle name="Cálculo 6 2 7 6" xfId="30632"/>
    <cellStyle name="Cálculo 6 2 8" xfId="2349"/>
    <cellStyle name="Cálculo 6 2 8 2" xfId="5580"/>
    <cellStyle name="Cálculo 6 2 8 2 2" xfId="15078"/>
    <cellStyle name="Cálculo 6 2 8 2 2 2" xfId="44259"/>
    <cellStyle name="Cálculo 6 2 8 2 3" xfId="34763"/>
    <cellStyle name="Cálculo 6 2 8 3" xfId="7820"/>
    <cellStyle name="Cálculo 6 2 8 3 2" xfId="19057"/>
    <cellStyle name="Cálculo 6 2 8 3 2 2" xfId="48238"/>
    <cellStyle name="Cálculo 6 2 8 3 3" xfId="37003"/>
    <cellStyle name="Cálculo 6 2 8 4" xfId="12676"/>
    <cellStyle name="Cálculo 6 2 8 4 2" xfId="41857"/>
    <cellStyle name="Cálculo 6 2 8 5" xfId="31532"/>
    <cellStyle name="Cálculo 6 2 9" xfId="4140"/>
    <cellStyle name="Cálculo 6 2 9 2" xfId="15992"/>
    <cellStyle name="Cálculo 6 2 9 2 2" xfId="45173"/>
    <cellStyle name="Cálculo 6 2 9 3" xfId="33323"/>
    <cellStyle name="Cálculo 6 3" xfId="471"/>
    <cellStyle name="Cálculo 6 3 10" xfId="18099"/>
    <cellStyle name="Cálculo 6 3 10 2" xfId="47280"/>
    <cellStyle name="Cálculo 6 3 11" xfId="29677"/>
    <cellStyle name="Cálculo 6 3 2" xfId="824"/>
    <cellStyle name="Cálculo 6 3 2 2" xfId="1762"/>
    <cellStyle name="Cálculo 6 3 2 2 2" xfId="3562"/>
    <cellStyle name="Cálculo 6 3 2 2 2 2" xfId="6550"/>
    <cellStyle name="Cálculo 6 3 2 2 2 2 2" xfId="18372"/>
    <cellStyle name="Cálculo 6 3 2 2 2 2 2 2" xfId="47553"/>
    <cellStyle name="Cálculo 6 3 2 2 2 2 3" xfId="35733"/>
    <cellStyle name="Cálculo 6 3 2 2 2 3" xfId="9317"/>
    <cellStyle name="Cálculo 6 3 2 2 2 3 2" xfId="19962"/>
    <cellStyle name="Cálculo 6 3 2 2 2 3 2 2" xfId="49143"/>
    <cellStyle name="Cálculo 6 3 2 2 2 3 3" xfId="38500"/>
    <cellStyle name="Cálculo 6 3 2 2 2 4" xfId="11935"/>
    <cellStyle name="Cálculo 6 3 2 2 2 4 2" xfId="41116"/>
    <cellStyle name="Cálculo 6 3 2 2 2 5" xfId="32745"/>
    <cellStyle name="Cálculo 6 3 2 2 3" xfId="5110"/>
    <cellStyle name="Cálculo 6 3 2 2 3 2" xfId="17712"/>
    <cellStyle name="Cálculo 6 3 2 2 3 2 2" xfId="46893"/>
    <cellStyle name="Cálculo 6 3 2 2 3 3" xfId="34293"/>
    <cellStyle name="Cálculo 6 3 2 2 4" xfId="9260"/>
    <cellStyle name="Cálculo 6 3 2 2 4 2" xfId="19927"/>
    <cellStyle name="Cálculo 6 3 2 2 4 2 2" xfId="49108"/>
    <cellStyle name="Cálculo 6 3 2 2 4 3" xfId="38443"/>
    <cellStyle name="Cálculo 6 3 2 2 5" xfId="12605"/>
    <cellStyle name="Cálculo 6 3 2 2 5 2" xfId="41786"/>
    <cellStyle name="Cálculo 6 3 2 2 6" xfId="30945"/>
    <cellStyle name="Cálculo 6 3 2 3" xfId="2662"/>
    <cellStyle name="Cálculo 6 3 2 3 2" xfId="5830"/>
    <cellStyle name="Cálculo 6 3 2 3 2 2" xfId="15530"/>
    <cellStyle name="Cálculo 6 3 2 3 2 2 2" xfId="44711"/>
    <cellStyle name="Cálculo 6 3 2 3 2 3" xfId="35013"/>
    <cellStyle name="Cálculo 6 3 2 3 3" xfId="7535"/>
    <cellStyle name="Cálculo 6 3 2 3 3 2" xfId="18875"/>
    <cellStyle name="Cálculo 6 3 2 3 3 2 2" xfId="48056"/>
    <cellStyle name="Cálculo 6 3 2 3 3 3" xfId="36718"/>
    <cellStyle name="Cálculo 6 3 2 3 4" xfId="17471"/>
    <cellStyle name="Cálculo 6 3 2 3 4 2" xfId="46652"/>
    <cellStyle name="Cálculo 6 3 2 3 5" xfId="31845"/>
    <cellStyle name="Cálculo 6 3 2 4" xfId="4390"/>
    <cellStyle name="Cálculo 6 3 2 4 2" xfId="16012"/>
    <cellStyle name="Cálculo 6 3 2 4 2 2" xfId="45193"/>
    <cellStyle name="Cálculo 6 3 2 4 3" xfId="33573"/>
    <cellStyle name="Cálculo 6 3 2 5" xfId="8299"/>
    <cellStyle name="Cálculo 6 3 2 5 2" xfId="19344"/>
    <cellStyle name="Cálculo 6 3 2 5 2 2" xfId="48525"/>
    <cellStyle name="Cálculo 6 3 2 5 3" xfId="37482"/>
    <cellStyle name="Cálculo 6 3 2 6" xfId="16534"/>
    <cellStyle name="Cálculo 6 3 2 6 2" xfId="45715"/>
    <cellStyle name="Cálculo 6 3 2 7" xfId="30021"/>
    <cellStyle name="Cálculo 6 3 3" xfId="1016"/>
    <cellStyle name="Cálculo 6 3 3 2" xfId="1926"/>
    <cellStyle name="Cálculo 6 3 3 2 2" xfId="3726"/>
    <cellStyle name="Cálculo 6 3 3 2 2 2" xfId="6678"/>
    <cellStyle name="Cálculo 6 3 3 2 2 2 2" xfId="18426"/>
    <cellStyle name="Cálculo 6 3 3 2 2 2 2 2" xfId="47607"/>
    <cellStyle name="Cálculo 6 3 3 2 2 2 3" xfId="35861"/>
    <cellStyle name="Cálculo 6 3 3 2 2 3" xfId="7410"/>
    <cellStyle name="Cálculo 6 3 3 2 2 3 2" xfId="18800"/>
    <cellStyle name="Cálculo 6 3 3 2 2 3 2 2" xfId="47981"/>
    <cellStyle name="Cálculo 6 3 3 2 2 3 3" xfId="36593"/>
    <cellStyle name="Cálculo 6 3 3 2 2 4" xfId="10655"/>
    <cellStyle name="Cálculo 6 3 3 2 2 4 2" xfId="39836"/>
    <cellStyle name="Cálculo 6 3 3 2 2 5" xfId="32909"/>
    <cellStyle name="Cálculo 6 3 3 2 3" xfId="5238"/>
    <cellStyle name="Cálculo 6 3 3 2 3 2" xfId="16960"/>
    <cellStyle name="Cálculo 6 3 3 2 3 2 2" xfId="46141"/>
    <cellStyle name="Cálculo 6 3 3 2 3 3" xfId="34421"/>
    <cellStyle name="Cálculo 6 3 3 2 4" xfId="9161"/>
    <cellStyle name="Cálculo 6 3 3 2 4 2" xfId="19865"/>
    <cellStyle name="Cálculo 6 3 3 2 4 2 2" xfId="49046"/>
    <cellStyle name="Cálculo 6 3 3 2 4 3" xfId="38344"/>
    <cellStyle name="Cálculo 6 3 3 2 5" xfId="17225"/>
    <cellStyle name="Cálculo 6 3 3 2 5 2" xfId="46406"/>
    <cellStyle name="Cálculo 6 3 3 2 6" xfId="31109"/>
    <cellStyle name="Cálculo 6 3 3 3" xfId="2826"/>
    <cellStyle name="Cálculo 6 3 3 3 2" xfId="5958"/>
    <cellStyle name="Cálculo 6 3 3 3 2 2" xfId="10605"/>
    <cellStyle name="Cálculo 6 3 3 3 2 2 2" xfId="39786"/>
    <cellStyle name="Cálculo 6 3 3 3 2 3" xfId="35141"/>
    <cellStyle name="Cálculo 6 3 3 3 3" xfId="7598"/>
    <cellStyle name="Cálculo 6 3 3 3 3 2" xfId="18919"/>
    <cellStyle name="Cálculo 6 3 3 3 3 2 2" xfId="48100"/>
    <cellStyle name="Cálculo 6 3 3 3 3 3" xfId="36781"/>
    <cellStyle name="Cálculo 6 3 3 3 4" xfId="15004"/>
    <cellStyle name="Cálculo 6 3 3 3 4 2" xfId="44185"/>
    <cellStyle name="Cálculo 6 3 3 3 5" xfId="32009"/>
    <cellStyle name="Cálculo 6 3 3 4" xfId="4518"/>
    <cellStyle name="Cálculo 6 3 3 4 2" xfId="12879"/>
    <cellStyle name="Cálculo 6 3 3 4 2 2" xfId="42060"/>
    <cellStyle name="Cálculo 6 3 3 4 3" xfId="33701"/>
    <cellStyle name="Cálculo 6 3 3 5" xfId="9385"/>
    <cellStyle name="Cálculo 6 3 3 5 2" xfId="20001"/>
    <cellStyle name="Cálculo 6 3 3 5 2 2" xfId="49182"/>
    <cellStyle name="Cálculo 6 3 3 5 3" xfId="38568"/>
    <cellStyle name="Cálculo 6 3 3 6" xfId="13029"/>
    <cellStyle name="Cálculo 6 3 3 6 2" xfId="42210"/>
    <cellStyle name="Cálculo 6 3 3 7" xfId="30206"/>
    <cellStyle name="Cálculo 6 3 4" xfId="1166"/>
    <cellStyle name="Cálculo 6 3 4 2" xfId="2070"/>
    <cellStyle name="Cálculo 6 3 4 2 2" xfId="3870"/>
    <cellStyle name="Cálculo 6 3 4 2 2 2" xfId="6795"/>
    <cellStyle name="Cálculo 6 3 4 2 2 2 2" xfId="18480"/>
    <cellStyle name="Cálculo 6 3 4 2 2 2 2 2" xfId="47661"/>
    <cellStyle name="Cálculo 6 3 4 2 2 2 3" xfId="35978"/>
    <cellStyle name="Cálculo 6 3 4 2 2 3" xfId="9687"/>
    <cellStyle name="Cálculo 6 3 4 2 2 3 2" xfId="20183"/>
    <cellStyle name="Cálculo 6 3 4 2 2 3 2 2" xfId="49364"/>
    <cellStyle name="Cálculo 6 3 4 2 2 3 3" xfId="38870"/>
    <cellStyle name="Cálculo 6 3 4 2 2 4" xfId="16426"/>
    <cellStyle name="Cálculo 6 3 4 2 2 4 2" xfId="45607"/>
    <cellStyle name="Cálculo 6 3 4 2 2 5" xfId="33053"/>
    <cellStyle name="Cálculo 6 3 4 2 3" xfId="5355"/>
    <cellStyle name="Cálculo 6 3 4 2 3 2" xfId="11372"/>
    <cellStyle name="Cálculo 6 3 4 2 3 2 2" xfId="40553"/>
    <cellStyle name="Cálculo 6 3 4 2 3 3" xfId="34538"/>
    <cellStyle name="Cálculo 6 3 4 2 4" xfId="8602"/>
    <cellStyle name="Cálculo 6 3 4 2 4 2" xfId="19536"/>
    <cellStyle name="Cálculo 6 3 4 2 4 2 2" xfId="48717"/>
    <cellStyle name="Cálculo 6 3 4 2 4 3" xfId="37785"/>
    <cellStyle name="Cálculo 6 3 4 2 5" xfId="10931"/>
    <cellStyle name="Cálculo 6 3 4 2 5 2" xfId="40112"/>
    <cellStyle name="Cálculo 6 3 4 2 6" xfId="31253"/>
    <cellStyle name="Cálculo 6 3 4 3" xfId="2970"/>
    <cellStyle name="Cálculo 6 3 4 3 2" xfId="6075"/>
    <cellStyle name="Cálculo 6 3 4 3 2 2" xfId="10551"/>
    <cellStyle name="Cálculo 6 3 4 3 2 2 2" xfId="39732"/>
    <cellStyle name="Cálculo 6 3 4 3 2 3" xfId="35258"/>
    <cellStyle name="Cálculo 6 3 4 3 3" xfId="10128"/>
    <cellStyle name="Cálculo 6 3 4 3 3 2" xfId="20450"/>
    <cellStyle name="Cálculo 6 3 4 3 3 2 2" xfId="49631"/>
    <cellStyle name="Cálculo 6 3 4 3 3 3" xfId="39311"/>
    <cellStyle name="Cálculo 6 3 4 3 4" xfId="17037"/>
    <cellStyle name="Cálculo 6 3 4 3 4 2" xfId="46218"/>
    <cellStyle name="Cálculo 6 3 4 3 5" xfId="32153"/>
    <cellStyle name="Cálculo 6 3 4 4" xfId="4635"/>
    <cellStyle name="Cálculo 6 3 4 4 2" xfId="15534"/>
    <cellStyle name="Cálculo 6 3 4 4 2 2" xfId="44715"/>
    <cellStyle name="Cálculo 6 3 4 4 3" xfId="33818"/>
    <cellStyle name="Cálculo 6 3 4 5" xfId="8990"/>
    <cellStyle name="Cálculo 6 3 4 5 2" xfId="19764"/>
    <cellStyle name="Cálculo 6 3 4 5 2 2" xfId="48945"/>
    <cellStyle name="Cálculo 6 3 4 5 3" xfId="38173"/>
    <cellStyle name="Cálculo 6 3 4 6" xfId="16025"/>
    <cellStyle name="Cálculo 6 3 4 6 2" xfId="45206"/>
    <cellStyle name="Cálculo 6 3 4 7" xfId="30353"/>
    <cellStyle name="Cálculo 6 3 5" xfId="1312"/>
    <cellStyle name="Cálculo 6 3 5 2" xfId="2214"/>
    <cellStyle name="Cálculo 6 3 5 2 2" xfId="4014"/>
    <cellStyle name="Cálculo 6 3 5 2 2 2" xfId="6912"/>
    <cellStyle name="Cálculo 6 3 5 2 2 2 2" xfId="18534"/>
    <cellStyle name="Cálculo 6 3 5 2 2 2 2 2" xfId="47715"/>
    <cellStyle name="Cálculo 6 3 5 2 2 2 3" xfId="36095"/>
    <cellStyle name="Cálculo 6 3 5 2 2 3" xfId="7066"/>
    <cellStyle name="Cálculo 6 3 5 2 2 3 2" xfId="18615"/>
    <cellStyle name="Cálculo 6 3 5 2 2 3 2 2" xfId="47796"/>
    <cellStyle name="Cálculo 6 3 5 2 2 3 3" xfId="36249"/>
    <cellStyle name="Cálculo 6 3 5 2 2 4" xfId="13020"/>
    <cellStyle name="Cálculo 6 3 5 2 2 4 2" xfId="42201"/>
    <cellStyle name="Cálculo 6 3 5 2 2 5" xfId="33197"/>
    <cellStyle name="Cálculo 6 3 5 2 3" xfId="5472"/>
    <cellStyle name="Cálculo 6 3 5 2 3 2" xfId="15739"/>
    <cellStyle name="Cálculo 6 3 5 2 3 2 2" xfId="44920"/>
    <cellStyle name="Cálculo 6 3 5 2 3 3" xfId="34655"/>
    <cellStyle name="Cálculo 6 3 5 2 4" xfId="9896"/>
    <cellStyle name="Cálculo 6 3 5 2 4 2" xfId="20308"/>
    <cellStyle name="Cálculo 6 3 5 2 4 2 2" xfId="49489"/>
    <cellStyle name="Cálculo 6 3 5 2 4 3" xfId="39079"/>
    <cellStyle name="Cálculo 6 3 5 2 5" xfId="13465"/>
    <cellStyle name="Cálculo 6 3 5 2 5 2" xfId="42646"/>
    <cellStyle name="Cálculo 6 3 5 2 6" xfId="31397"/>
    <cellStyle name="Cálculo 6 3 5 3" xfId="3114"/>
    <cellStyle name="Cálculo 6 3 5 3 2" xfId="6192"/>
    <cellStyle name="Cálculo 6 3 5 3 2 2" xfId="18174"/>
    <cellStyle name="Cálculo 6 3 5 3 2 2 2" xfId="47355"/>
    <cellStyle name="Cálculo 6 3 5 3 2 3" xfId="35375"/>
    <cellStyle name="Cálculo 6 3 5 3 3" xfId="9121"/>
    <cellStyle name="Cálculo 6 3 5 3 3 2" xfId="19839"/>
    <cellStyle name="Cálculo 6 3 5 3 3 2 2" xfId="49020"/>
    <cellStyle name="Cálculo 6 3 5 3 3 3" xfId="38304"/>
    <cellStyle name="Cálculo 6 3 5 3 4" xfId="12128"/>
    <cellStyle name="Cálculo 6 3 5 3 4 2" xfId="41309"/>
    <cellStyle name="Cálculo 6 3 5 3 5" xfId="32297"/>
    <cellStyle name="Cálculo 6 3 5 4" xfId="4752"/>
    <cellStyle name="Cálculo 6 3 5 4 2" xfId="12264"/>
    <cellStyle name="Cálculo 6 3 5 4 2 2" xfId="41445"/>
    <cellStyle name="Cálculo 6 3 5 4 3" xfId="33935"/>
    <cellStyle name="Cálculo 6 3 5 5" xfId="8017"/>
    <cellStyle name="Cálculo 6 3 5 5 2" xfId="19174"/>
    <cellStyle name="Cálculo 6 3 5 5 2 2" xfId="48355"/>
    <cellStyle name="Cálculo 6 3 5 5 3" xfId="37200"/>
    <cellStyle name="Cálculo 6 3 5 6" xfId="11440"/>
    <cellStyle name="Cálculo 6 3 5 6 2" xfId="40621"/>
    <cellStyle name="Cálculo 6 3 5 7" xfId="30497"/>
    <cellStyle name="Cálculo 6 3 6" xfId="1494"/>
    <cellStyle name="Cálculo 6 3 6 2" xfId="3294"/>
    <cellStyle name="Cálculo 6 3 6 2 2" xfId="6336"/>
    <cellStyle name="Cálculo 6 3 6 2 2 2" xfId="18246"/>
    <cellStyle name="Cálculo 6 3 6 2 2 2 2" xfId="47427"/>
    <cellStyle name="Cálculo 6 3 6 2 2 3" xfId="35519"/>
    <cellStyle name="Cálculo 6 3 6 2 3" xfId="7551"/>
    <cellStyle name="Cálculo 6 3 6 2 3 2" xfId="18886"/>
    <cellStyle name="Cálculo 6 3 6 2 3 2 2" xfId="48067"/>
    <cellStyle name="Cálculo 6 3 6 2 3 3" xfId="36734"/>
    <cellStyle name="Cálculo 6 3 6 2 4" xfId="12163"/>
    <cellStyle name="Cálculo 6 3 6 2 4 2" xfId="41344"/>
    <cellStyle name="Cálculo 6 3 6 2 5" xfId="32477"/>
    <cellStyle name="Cálculo 6 3 6 3" xfId="4896"/>
    <cellStyle name="Cálculo 6 3 6 3 2" xfId="14228"/>
    <cellStyle name="Cálculo 6 3 6 3 2 2" xfId="43409"/>
    <cellStyle name="Cálculo 6 3 6 3 3" xfId="34079"/>
    <cellStyle name="Cálculo 6 3 6 4" xfId="8749"/>
    <cellStyle name="Cálculo 6 3 6 4 2" xfId="19619"/>
    <cellStyle name="Cálculo 6 3 6 4 2 2" xfId="48800"/>
    <cellStyle name="Cálculo 6 3 6 4 3" xfId="37932"/>
    <cellStyle name="Cálculo 6 3 6 5" xfId="11751"/>
    <cellStyle name="Cálculo 6 3 6 5 2" xfId="40932"/>
    <cellStyle name="Cálculo 6 3 6 6" xfId="30677"/>
    <cellStyle name="Cálculo 6 3 7" xfId="2394"/>
    <cellStyle name="Cálculo 6 3 7 2" xfId="5616"/>
    <cellStyle name="Cálculo 6 3 7 2 2" xfId="13070"/>
    <cellStyle name="Cálculo 6 3 7 2 2 2" xfId="42251"/>
    <cellStyle name="Cálculo 6 3 7 2 3" xfId="34799"/>
    <cellStyle name="Cálculo 6 3 7 3" xfId="7485"/>
    <cellStyle name="Cálculo 6 3 7 3 2" xfId="18845"/>
    <cellStyle name="Cálculo 6 3 7 3 2 2" xfId="48026"/>
    <cellStyle name="Cálculo 6 3 7 3 3" xfId="36668"/>
    <cellStyle name="Cálculo 6 3 7 4" xfId="13405"/>
    <cellStyle name="Cálculo 6 3 7 4 2" xfId="42586"/>
    <cellStyle name="Cálculo 6 3 7 5" xfId="31577"/>
    <cellStyle name="Cálculo 6 3 8" xfId="4176"/>
    <cellStyle name="Cálculo 6 3 8 2" xfId="14793"/>
    <cellStyle name="Cálculo 6 3 8 2 2" xfId="43974"/>
    <cellStyle name="Cálculo 6 3 8 3" xfId="33359"/>
    <cellStyle name="Cálculo 6 3 9" xfId="8759"/>
    <cellStyle name="Cálculo 6 3 9 2" xfId="19624"/>
    <cellStyle name="Cálculo 6 3 9 2 2" xfId="48805"/>
    <cellStyle name="Cálculo 6 3 9 3" xfId="37942"/>
    <cellStyle name="Cálculo 6 4" xfId="642"/>
    <cellStyle name="Cálculo 6 4 2" xfId="1634"/>
    <cellStyle name="Cálculo 6 4 2 2" xfId="3434"/>
    <cellStyle name="Cálculo 6 4 2 2 2" xfId="6449"/>
    <cellStyle name="Cálculo 6 4 2 2 2 2" xfId="18316"/>
    <cellStyle name="Cálculo 6 4 2 2 2 2 2" xfId="47497"/>
    <cellStyle name="Cálculo 6 4 2 2 2 3" xfId="35632"/>
    <cellStyle name="Cálculo 6 4 2 2 3" xfId="10381"/>
    <cellStyle name="Cálculo 6 4 2 2 3 2" xfId="20603"/>
    <cellStyle name="Cálculo 6 4 2 2 3 2 2" xfId="49784"/>
    <cellStyle name="Cálculo 6 4 2 2 3 3" xfId="39564"/>
    <cellStyle name="Cálculo 6 4 2 2 4" xfId="14939"/>
    <cellStyle name="Cálculo 6 4 2 2 4 2" xfId="44120"/>
    <cellStyle name="Cálculo 6 4 2 2 5" xfId="32617"/>
    <cellStyle name="Cálculo 6 4 2 3" xfId="5009"/>
    <cellStyle name="Cálculo 6 4 2 3 2" xfId="11610"/>
    <cellStyle name="Cálculo 6 4 2 3 2 2" xfId="40791"/>
    <cellStyle name="Cálculo 6 4 2 3 3" xfId="34192"/>
    <cellStyle name="Cálculo 6 4 2 4" xfId="9061"/>
    <cellStyle name="Cálculo 6 4 2 4 2" xfId="19801"/>
    <cellStyle name="Cálculo 6 4 2 4 2 2" xfId="48982"/>
    <cellStyle name="Cálculo 6 4 2 4 3" xfId="38244"/>
    <cellStyle name="Cálculo 6 4 2 5" xfId="14447"/>
    <cellStyle name="Cálculo 6 4 2 5 2" xfId="43628"/>
    <cellStyle name="Cálculo 6 4 2 6" xfId="30817"/>
    <cellStyle name="Cálculo 6 4 3" xfId="2534"/>
    <cellStyle name="Cálculo 6 4 3 2" xfId="5729"/>
    <cellStyle name="Cálculo 6 4 3 2 2" xfId="13518"/>
    <cellStyle name="Cálculo 6 4 3 2 2 2" xfId="42699"/>
    <cellStyle name="Cálculo 6 4 3 2 3" xfId="34912"/>
    <cellStyle name="Cálculo 6 4 3 3" xfId="7424"/>
    <cellStyle name="Cálculo 6 4 3 3 2" xfId="18808"/>
    <cellStyle name="Cálculo 6 4 3 3 2 2" xfId="47989"/>
    <cellStyle name="Cálculo 6 4 3 3 3" xfId="36607"/>
    <cellStyle name="Cálculo 6 4 3 4" xfId="12867"/>
    <cellStyle name="Cálculo 6 4 3 4 2" xfId="42048"/>
    <cellStyle name="Cálculo 6 4 3 5" xfId="31717"/>
    <cellStyle name="Cálculo 6 4 4" xfId="4289"/>
    <cellStyle name="Cálculo 6 4 4 2" xfId="17306"/>
    <cellStyle name="Cálculo 6 4 4 2 2" xfId="46487"/>
    <cellStyle name="Cálculo 6 4 4 3" xfId="33472"/>
    <cellStyle name="Cálculo 6 4 5" xfId="8261"/>
    <cellStyle name="Cálculo 6 4 5 2" xfId="19319"/>
    <cellStyle name="Cálculo 6 4 5 2 2" xfId="48500"/>
    <cellStyle name="Cálculo 6 4 5 3" xfId="37444"/>
    <cellStyle name="Cálculo 6 4 6" xfId="16738"/>
    <cellStyle name="Cálculo 6 4 6 2" xfId="45919"/>
    <cellStyle name="Cálculo 6 4 7" xfId="29845"/>
    <cellStyle name="Cálculo 6 5" xfId="633"/>
    <cellStyle name="Cálculo 6 5 2" xfId="1625"/>
    <cellStyle name="Cálculo 6 5 2 2" xfId="3425"/>
    <cellStyle name="Cálculo 6 5 2 2 2" xfId="6440"/>
    <cellStyle name="Cálculo 6 5 2 2 2 2" xfId="18307"/>
    <cellStyle name="Cálculo 6 5 2 2 2 2 2" xfId="47488"/>
    <cellStyle name="Cálculo 6 5 2 2 2 3" xfId="35623"/>
    <cellStyle name="Cálculo 6 5 2 2 3" xfId="7703"/>
    <cellStyle name="Cálculo 6 5 2 2 3 2" xfId="18979"/>
    <cellStyle name="Cálculo 6 5 2 2 3 2 2" xfId="48160"/>
    <cellStyle name="Cálculo 6 5 2 2 3 3" xfId="36886"/>
    <cellStyle name="Cálculo 6 5 2 2 4" xfId="14470"/>
    <cellStyle name="Cálculo 6 5 2 2 4 2" xfId="43651"/>
    <cellStyle name="Cálculo 6 5 2 2 5" xfId="32608"/>
    <cellStyle name="Cálculo 6 5 2 3" xfId="5000"/>
    <cellStyle name="Cálculo 6 5 2 3 2" xfId="13507"/>
    <cellStyle name="Cálculo 6 5 2 3 2 2" xfId="42688"/>
    <cellStyle name="Cálculo 6 5 2 3 3" xfId="34183"/>
    <cellStyle name="Cálculo 6 5 2 4" xfId="9477"/>
    <cellStyle name="Cálculo 6 5 2 4 2" xfId="20052"/>
    <cellStyle name="Cálculo 6 5 2 4 2 2" xfId="49233"/>
    <cellStyle name="Cálculo 6 5 2 4 3" xfId="38660"/>
    <cellStyle name="Cálculo 6 5 2 5" xfId="15110"/>
    <cellStyle name="Cálculo 6 5 2 5 2" xfId="44291"/>
    <cellStyle name="Cálculo 6 5 2 6" xfId="30808"/>
    <cellStyle name="Cálculo 6 5 3" xfId="2525"/>
    <cellStyle name="Cálculo 6 5 3 2" xfId="5720"/>
    <cellStyle name="Cálculo 6 5 3 2 2" xfId="12244"/>
    <cellStyle name="Cálculo 6 5 3 2 2 2" xfId="41425"/>
    <cellStyle name="Cálculo 6 5 3 2 3" xfId="34903"/>
    <cellStyle name="Cálculo 6 5 3 3" xfId="8042"/>
    <cellStyle name="Cálculo 6 5 3 3 2" xfId="19187"/>
    <cellStyle name="Cálculo 6 5 3 3 2 2" xfId="48368"/>
    <cellStyle name="Cálculo 6 5 3 3 3" xfId="37225"/>
    <cellStyle name="Cálculo 6 5 3 4" xfId="17992"/>
    <cellStyle name="Cálculo 6 5 3 4 2" xfId="47173"/>
    <cellStyle name="Cálculo 6 5 3 5" xfId="31708"/>
    <cellStyle name="Cálculo 6 5 4" xfId="4280"/>
    <cellStyle name="Cálculo 6 5 4 2" xfId="11606"/>
    <cellStyle name="Cálculo 6 5 4 2 2" xfId="40787"/>
    <cellStyle name="Cálculo 6 5 4 3" xfId="33463"/>
    <cellStyle name="Cálculo 6 5 5" xfId="9388"/>
    <cellStyle name="Cálculo 6 5 5 2" xfId="20003"/>
    <cellStyle name="Cálculo 6 5 5 2 2" xfId="49184"/>
    <cellStyle name="Cálculo 6 5 5 3" xfId="38571"/>
    <cellStyle name="Cálculo 6 5 6" xfId="16828"/>
    <cellStyle name="Cálculo 6 5 6 2" xfId="46009"/>
    <cellStyle name="Cálculo 6 5 7" xfId="29836"/>
    <cellStyle name="Cálculo 6 6" xfId="648"/>
    <cellStyle name="Cálculo 6 6 2" xfId="1640"/>
    <cellStyle name="Cálculo 6 6 2 2" xfId="3440"/>
    <cellStyle name="Cálculo 6 6 2 2 2" xfId="6455"/>
    <cellStyle name="Cálculo 6 6 2 2 2 2" xfId="18322"/>
    <cellStyle name="Cálculo 6 6 2 2 2 2 2" xfId="47503"/>
    <cellStyle name="Cálculo 6 6 2 2 2 3" xfId="35638"/>
    <cellStyle name="Cálculo 6 6 2 2 3" xfId="7946"/>
    <cellStyle name="Cálculo 6 6 2 2 3 2" xfId="19129"/>
    <cellStyle name="Cálculo 6 6 2 2 3 2 2" xfId="48310"/>
    <cellStyle name="Cálculo 6 6 2 2 3 3" xfId="37129"/>
    <cellStyle name="Cálculo 6 6 2 2 4" xfId="13241"/>
    <cellStyle name="Cálculo 6 6 2 2 4 2" xfId="42422"/>
    <cellStyle name="Cálculo 6 6 2 2 5" xfId="32623"/>
    <cellStyle name="Cálculo 6 6 2 3" xfId="5015"/>
    <cellStyle name="Cálculo 6 6 2 3 2" xfId="12252"/>
    <cellStyle name="Cálculo 6 6 2 3 2 2" xfId="41433"/>
    <cellStyle name="Cálculo 6 6 2 3 3" xfId="34198"/>
    <cellStyle name="Cálculo 6 6 2 4" xfId="8132"/>
    <cellStyle name="Cálculo 6 6 2 4 2" xfId="19242"/>
    <cellStyle name="Cálculo 6 6 2 4 2 2" xfId="48423"/>
    <cellStyle name="Cálculo 6 6 2 4 3" xfId="37315"/>
    <cellStyle name="Cálculo 6 6 2 5" xfId="16759"/>
    <cellStyle name="Cálculo 6 6 2 5 2" xfId="45940"/>
    <cellStyle name="Cálculo 6 6 2 6" xfId="30823"/>
    <cellStyle name="Cálculo 6 6 3" xfId="2540"/>
    <cellStyle name="Cálculo 6 6 3 2" xfId="5735"/>
    <cellStyle name="Cálculo 6 6 3 2 2" xfId="16846"/>
    <cellStyle name="Cálculo 6 6 3 2 2 2" xfId="46027"/>
    <cellStyle name="Cálculo 6 6 3 2 3" xfId="34918"/>
    <cellStyle name="Cálculo 6 6 3 3" xfId="8897"/>
    <cellStyle name="Cálculo 6 6 3 3 2" xfId="19705"/>
    <cellStyle name="Cálculo 6 6 3 3 2 2" xfId="48886"/>
    <cellStyle name="Cálculo 6 6 3 3 3" xfId="38080"/>
    <cellStyle name="Cálculo 6 6 3 4" xfId="14654"/>
    <cellStyle name="Cálculo 6 6 3 4 2" xfId="43835"/>
    <cellStyle name="Cálculo 6 6 3 5" xfId="31723"/>
    <cellStyle name="Cálculo 6 6 4" xfId="4295"/>
    <cellStyle name="Cálculo 6 6 4 2" xfId="13510"/>
    <cellStyle name="Cálculo 6 6 4 2 2" xfId="42691"/>
    <cellStyle name="Cálculo 6 6 4 3" xfId="33478"/>
    <cellStyle name="Cálculo 6 6 5" xfId="10296"/>
    <cellStyle name="Cálculo 6 6 5 2" xfId="20547"/>
    <cellStyle name="Cálculo 6 6 5 2 2" xfId="49728"/>
    <cellStyle name="Cálculo 6 6 5 3" xfId="39479"/>
    <cellStyle name="Cálculo 6 6 6" xfId="12445"/>
    <cellStyle name="Cálculo 6 6 6 2" xfId="41626"/>
    <cellStyle name="Cálculo 6 6 7" xfId="29851"/>
    <cellStyle name="Cálculo 6 7" xfId="624"/>
    <cellStyle name="Cálculo 6 7 2" xfId="1616"/>
    <cellStyle name="Cálculo 6 7 2 2" xfId="3416"/>
    <cellStyle name="Cálculo 6 7 2 2 2" xfId="6431"/>
    <cellStyle name="Cálculo 6 7 2 2 2 2" xfId="18298"/>
    <cellStyle name="Cálculo 6 7 2 2 2 2 2" xfId="47479"/>
    <cellStyle name="Cálculo 6 7 2 2 2 3" xfId="35614"/>
    <cellStyle name="Cálculo 6 7 2 2 3" xfId="8768"/>
    <cellStyle name="Cálculo 6 7 2 2 3 2" xfId="19630"/>
    <cellStyle name="Cálculo 6 7 2 2 3 2 2" xfId="48811"/>
    <cellStyle name="Cálculo 6 7 2 2 3 3" xfId="37951"/>
    <cellStyle name="Cálculo 6 7 2 2 4" xfId="15134"/>
    <cellStyle name="Cálculo 6 7 2 2 4 2" xfId="44315"/>
    <cellStyle name="Cálculo 6 7 2 2 5" xfId="32599"/>
    <cellStyle name="Cálculo 6 7 2 3" xfId="4991"/>
    <cellStyle name="Cálculo 6 7 2 3 2" xfId="12265"/>
    <cellStyle name="Cálculo 6 7 2 3 2 2" xfId="41446"/>
    <cellStyle name="Cálculo 6 7 2 3 3" xfId="34174"/>
    <cellStyle name="Cálculo 6 7 2 4" xfId="8327"/>
    <cellStyle name="Cálculo 6 7 2 4 2" xfId="19362"/>
    <cellStyle name="Cálculo 6 7 2 4 2 2" xfId="48543"/>
    <cellStyle name="Cálculo 6 7 2 4 3" xfId="37510"/>
    <cellStyle name="Cálculo 6 7 2 5" xfId="10925"/>
    <cellStyle name="Cálculo 6 7 2 5 2" xfId="40106"/>
    <cellStyle name="Cálculo 6 7 2 6" xfId="30799"/>
    <cellStyle name="Cálculo 6 7 3" xfId="2516"/>
    <cellStyle name="Cálculo 6 7 3 2" xfId="5711"/>
    <cellStyle name="Cálculo 6 7 3 2 2" xfId="17055"/>
    <cellStyle name="Cálculo 6 7 3 2 2 2" xfId="46236"/>
    <cellStyle name="Cálculo 6 7 3 2 3" xfId="34894"/>
    <cellStyle name="Cálculo 6 7 3 3" xfId="9856"/>
    <cellStyle name="Cálculo 6 7 3 3 2" xfId="20283"/>
    <cellStyle name="Cálculo 6 7 3 3 2 2" xfId="49464"/>
    <cellStyle name="Cálculo 6 7 3 3 3" xfId="39039"/>
    <cellStyle name="Cálculo 6 7 3 4" xfId="16401"/>
    <cellStyle name="Cálculo 6 7 3 4 2" xfId="45582"/>
    <cellStyle name="Cálculo 6 7 3 5" xfId="31699"/>
    <cellStyle name="Cálculo 6 7 4" xfId="4271"/>
    <cellStyle name="Cálculo 6 7 4 2" xfId="13503"/>
    <cellStyle name="Cálculo 6 7 4 2 2" xfId="42684"/>
    <cellStyle name="Cálculo 6 7 4 3" xfId="33454"/>
    <cellStyle name="Cálculo 6 7 5" xfId="8221"/>
    <cellStyle name="Cálculo 6 7 5 2" xfId="19297"/>
    <cellStyle name="Cálculo 6 7 5 2 2" xfId="48478"/>
    <cellStyle name="Cálculo 6 7 5 3" xfId="37404"/>
    <cellStyle name="Cálculo 6 7 6" xfId="16075"/>
    <cellStyle name="Cálculo 6 7 6 2" xfId="45256"/>
    <cellStyle name="Cálculo 6 7 7" xfId="29827"/>
    <cellStyle name="Cálculo 6 8" xfId="1404"/>
    <cellStyle name="Cálculo 6 8 2" xfId="3204"/>
    <cellStyle name="Cálculo 6 8 2 2" xfId="6264"/>
    <cellStyle name="Cálculo 6 8 2 2 2" xfId="18210"/>
    <cellStyle name="Cálculo 6 8 2 2 2 2" xfId="47391"/>
    <cellStyle name="Cálculo 6 8 2 2 3" xfId="35447"/>
    <cellStyle name="Cálculo 6 8 2 3" xfId="7165"/>
    <cellStyle name="Cálculo 6 8 2 3 2" xfId="18666"/>
    <cellStyle name="Cálculo 6 8 2 3 2 2" xfId="47847"/>
    <cellStyle name="Cálculo 6 8 2 3 3" xfId="36348"/>
    <cellStyle name="Cálculo 6 8 2 4" xfId="16986"/>
    <cellStyle name="Cálculo 6 8 2 4 2" xfId="46167"/>
    <cellStyle name="Cálculo 6 8 2 5" xfId="32387"/>
    <cellStyle name="Cálculo 6 8 3" xfId="4824"/>
    <cellStyle name="Cálculo 6 8 3 2" xfId="17851"/>
    <cellStyle name="Cálculo 6 8 3 2 2" xfId="47032"/>
    <cellStyle name="Cálculo 6 8 3 3" xfId="34007"/>
    <cellStyle name="Cálculo 6 8 4" xfId="9754"/>
    <cellStyle name="Cálculo 6 8 4 2" xfId="20223"/>
    <cellStyle name="Cálculo 6 8 4 2 2" xfId="49404"/>
    <cellStyle name="Cálculo 6 8 4 3" xfId="38937"/>
    <cellStyle name="Cálculo 6 8 5" xfId="17007"/>
    <cellStyle name="Cálculo 6 8 5 2" xfId="46188"/>
    <cellStyle name="Cálculo 6 8 6" xfId="30587"/>
    <cellStyle name="Cálculo 6 9" xfId="2304"/>
    <cellStyle name="Cálculo 6 9 2" xfId="5544"/>
    <cellStyle name="Cálculo 6 9 2 2" xfId="15466"/>
    <cellStyle name="Cálculo 6 9 2 2 2" xfId="44647"/>
    <cellStyle name="Cálculo 6 9 2 3" xfId="34727"/>
    <cellStyle name="Cálculo 6 9 3" xfId="7517"/>
    <cellStyle name="Cálculo 6 9 3 2" xfId="18865"/>
    <cellStyle name="Cálculo 6 9 3 2 2" xfId="48046"/>
    <cellStyle name="Cálculo 6 9 3 3" xfId="36700"/>
    <cellStyle name="Cálculo 6 9 4" xfId="14088"/>
    <cellStyle name="Cálculo 6 9 4 2" xfId="43269"/>
    <cellStyle name="Cálculo 6 9 5" xfId="31487"/>
    <cellStyle name="Cálculo 7" xfId="180"/>
    <cellStyle name="Cálculo 7 10" xfId="4105"/>
    <cellStyle name="Cálculo 7 10 2" xfId="14909"/>
    <cellStyle name="Cálculo 7 10 2 2" xfId="44090"/>
    <cellStyle name="Cálculo 7 10 3" xfId="33288"/>
    <cellStyle name="Cálculo 7 11" xfId="17039"/>
    <cellStyle name="Cálculo 7 11 2" xfId="46220"/>
    <cellStyle name="Cálculo 7 12" xfId="29565"/>
    <cellStyle name="Cálculo 7 2" xfId="427"/>
    <cellStyle name="Cálculo 7 2 10" xfId="10374"/>
    <cellStyle name="Cálculo 7 2 10 2" xfId="20599"/>
    <cellStyle name="Cálculo 7 2 10 2 2" xfId="49780"/>
    <cellStyle name="Cálculo 7 2 10 3" xfId="39557"/>
    <cellStyle name="Cálculo 7 2 11" xfId="15853"/>
    <cellStyle name="Cálculo 7 2 11 2" xfId="45034"/>
    <cellStyle name="Cálculo 7 2 12" xfId="58770"/>
    <cellStyle name="Cálculo 7 2 13" xfId="29633"/>
    <cellStyle name="Cálculo 7 2 2" xfId="517"/>
    <cellStyle name="Cálculo 7 2 2 10" xfId="11442"/>
    <cellStyle name="Cálculo 7 2 2 10 2" xfId="40623"/>
    <cellStyle name="Cálculo 7 2 2 11" xfId="29723"/>
    <cellStyle name="Cálculo 7 2 2 2" xfId="870"/>
    <cellStyle name="Cálculo 7 2 2 2 2" xfId="1808"/>
    <cellStyle name="Cálculo 7 2 2 2 2 2" xfId="3608"/>
    <cellStyle name="Cálculo 7 2 2 2 2 2 2" xfId="6587"/>
    <cellStyle name="Cálculo 7 2 2 2 2 2 2 2" xfId="18391"/>
    <cellStyle name="Cálculo 7 2 2 2 2 2 2 2 2" xfId="47572"/>
    <cellStyle name="Cálculo 7 2 2 2 2 2 2 3" xfId="35770"/>
    <cellStyle name="Cálculo 7 2 2 2 2 2 3" xfId="9001"/>
    <cellStyle name="Cálculo 7 2 2 2 2 2 3 2" xfId="19769"/>
    <cellStyle name="Cálculo 7 2 2 2 2 2 3 2 2" xfId="48950"/>
    <cellStyle name="Cálculo 7 2 2 2 2 2 3 3" xfId="38184"/>
    <cellStyle name="Cálculo 7 2 2 2 2 2 4" xfId="13282"/>
    <cellStyle name="Cálculo 7 2 2 2 2 2 4 2" xfId="42463"/>
    <cellStyle name="Cálculo 7 2 2 2 2 2 5" xfId="32791"/>
    <cellStyle name="Cálculo 7 2 2 2 2 3" xfId="5147"/>
    <cellStyle name="Cálculo 7 2 2 2 2 3 2" xfId="14122"/>
    <cellStyle name="Cálculo 7 2 2 2 2 3 2 2" xfId="43303"/>
    <cellStyle name="Cálculo 7 2 2 2 2 3 3" xfId="34330"/>
    <cellStyle name="Cálculo 7 2 2 2 2 4" xfId="7886"/>
    <cellStyle name="Cálculo 7 2 2 2 2 4 2" xfId="19096"/>
    <cellStyle name="Cálculo 7 2 2 2 2 4 2 2" xfId="48277"/>
    <cellStyle name="Cálculo 7 2 2 2 2 4 3" xfId="37069"/>
    <cellStyle name="Cálculo 7 2 2 2 2 5" xfId="16989"/>
    <cellStyle name="Cálculo 7 2 2 2 2 5 2" xfId="46170"/>
    <cellStyle name="Cálculo 7 2 2 2 2 6" xfId="30991"/>
    <cellStyle name="Cálculo 7 2 2 2 3" xfId="2708"/>
    <cellStyle name="Cálculo 7 2 2 2 3 2" xfId="5867"/>
    <cellStyle name="Cálculo 7 2 2 2 3 2 2" xfId="12949"/>
    <cellStyle name="Cálculo 7 2 2 2 3 2 2 2" xfId="42130"/>
    <cellStyle name="Cálculo 7 2 2 2 3 2 3" xfId="35050"/>
    <cellStyle name="Cálculo 7 2 2 2 3 3" xfId="8659"/>
    <cellStyle name="Cálculo 7 2 2 2 3 3 2" xfId="19567"/>
    <cellStyle name="Cálculo 7 2 2 2 3 3 2 2" xfId="48748"/>
    <cellStyle name="Cálculo 7 2 2 2 3 3 3" xfId="37842"/>
    <cellStyle name="Cálculo 7 2 2 2 3 4" xfId="14471"/>
    <cellStyle name="Cálculo 7 2 2 2 3 4 2" xfId="43652"/>
    <cellStyle name="Cálculo 7 2 2 2 3 5" xfId="31891"/>
    <cellStyle name="Cálculo 7 2 2 2 4" xfId="4427"/>
    <cellStyle name="Cálculo 7 2 2 2 4 2" xfId="14689"/>
    <cellStyle name="Cálculo 7 2 2 2 4 2 2" xfId="43870"/>
    <cellStyle name="Cálculo 7 2 2 2 4 3" xfId="33610"/>
    <cellStyle name="Cálculo 7 2 2 2 5" xfId="9271"/>
    <cellStyle name="Cálculo 7 2 2 2 5 2" xfId="19931"/>
    <cellStyle name="Cálculo 7 2 2 2 5 2 2" xfId="49112"/>
    <cellStyle name="Cálculo 7 2 2 2 5 3" xfId="38454"/>
    <cellStyle name="Cálculo 7 2 2 2 6" xfId="17757"/>
    <cellStyle name="Cálculo 7 2 2 2 6 2" xfId="46938"/>
    <cellStyle name="Cálculo 7 2 2 2 7" xfId="30067"/>
    <cellStyle name="Cálculo 7 2 2 3" xfId="1062"/>
    <cellStyle name="Cálculo 7 2 2 3 2" xfId="1972"/>
    <cellStyle name="Cálculo 7 2 2 3 2 2" xfId="3772"/>
    <cellStyle name="Cálculo 7 2 2 3 2 2 2" xfId="6715"/>
    <cellStyle name="Cálculo 7 2 2 3 2 2 2 2" xfId="18445"/>
    <cellStyle name="Cálculo 7 2 2 3 2 2 2 2 2" xfId="47626"/>
    <cellStyle name="Cálculo 7 2 2 3 2 2 2 3" xfId="35898"/>
    <cellStyle name="Cálculo 7 2 2 3 2 2 3" xfId="9983"/>
    <cellStyle name="Cálculo 7 2 2 3 2 2 3 2" xfId="20363"/>
    <cellStyle name="Cálculo 7 2 2 3 2 2 3 2 2" xfId="49544"/>
    <cellStyle name="Cálculo 7 2 2 3 2 2 3 3" xfId="39166"/>
    <cellStyle name="Cálculo 7 2 2 3 2 2 4" xfId="10627"/>
    <cellStyle name="Cálculo 7 2 2 3 2 2 4 2" xfId="39808"/>
    <cellStyle name="Cálculo 7 2 2 3 2 2 5" xfId="32955"/>
    <cellStyle name="Cálculo 7 2 2 3 2 3" xfId="5275"/>
    <cellStyle name="Cálculo 7 2 2 3 2 3 2" xfId="13426"/>
    <cellStyle name="Cálculo 7 2 2 3 2 3 2 2" xfId="42607"/>
    <cellStyle name="Cálculo 7 2 2 3 2 3 3" xfId="34458"/>
    <cellStyle name="Cálculo 7 2 2 3 2 4" xfId="7718"/>
    <cellStyle name="Cálculo 7 2 2 3 2 4 2" xfId="18991"/>
    <cellStyle name="Cálculo 7 2 2 3 2 4 2 2" xfId="48172"/>
    <cellStyle name="Cálculo 7 2 2 3 2 4 3" xfId="36901"/>
    <cellStyle name="Cálculo 7 2 2 3 2 5" xfId="11686"/>
    <cellStyle name="Cálculo 7 2 2 3 2 5 2" xfId="40867"/>
    <cellStyle name="Cálculo 7 2 2 3 2 6" xfId="31155"/>
    <cellStyle name="Cálculo 7 2 2 3 3" xfId="2872"/>
    <cellStyle name="Cálculo 7 2 2 3 3 2" xfId="5995"/>
    <cellStyle name="Cálculo 7 2 2 3 3 2 2" xfId="10586"/>
    <cellStyle name="Cálculo 7 2 2 3 3 2 2 2" xfId="39767"/>
    <cellStyle name="Cálculo 7 2 2 3 3 2 3" xfId="35178"/>
    <cellStyle name="Cálculo 7 2 2 3 3 3" xfId="8518"/>
    <cellStyle name="Cálculo 7 2 2 3 3 3 2" xfId="19484"/>
    <cellStyle name="Cálculo 7 2 2 3 3 3 2 2" xfId="48665"/>
    <cellStyle name="Cálculo 7 2 2 3 3 3 3" xfId="37701"/>
    <cellStyle name="Cálculo 7 2 2 3 3 4" xfId="13403"/>
    <cellStyle name="Cálculo 7 2 2 3 3 4 2" xfId="42584"/>
    <cellStyle name="Cálculo 7 2 2 3 3 5" xfId="32055"/>
    <cellStyle name="Cálculo 7 2 2 3 4" xfId="4555"/>
    <cellStyle name="Cálculo 7 2 2 3 4 2" xfId="11620"/>
    <cellStyle name="Cálculo 7 2 2 3 4 2 2" xfId="40801"/>
    <cellStyle name="Cálculo 7 2 2 3 4 3" xfId="33738"/>
    <cellStyle name="Cálculo 7 2 2 3 5" xfId="9068"/>
    <cellStyle name="Cálculo 7 2 2 3 5 2" xfId="19806"/>
    <cellStyle name="Cálculo 7 2 2 3 5 2 2" xfId="48987"/>
    <cellStyle name="Cálculo 7 2 2 3 5 3" xfId="38251"/>
    <cellStyle name="Cálculo 7 2 2 3 6" xfId="12166"/>
    <cellStyle name="Cálculo 7 2 2 3 6 2" xfId="41347"/>
    <cellStyle name="Cálculo 7 2 2 3 7" xfId="30252"/>
    <cellStyle name="Cálculo 7 2 2 4" xfId="1212"/>
    <cellStyle name="Cálculo 7 2 2 4 2" xfId="2116"/>
    <cellStyle name="Cálculo 7 2 2 4 2 2" xfId="3916"/>
    <cellStyle name="Cálculo 7 2 2 4 2 2 2" xfId="6832"/>
    <cellStyle name="Cálculo 7 2 2 4 2 2 2 2" xfId="18499"/>
    <cellStyle name="Cálculo 7 2 2 4 2 2 2 2 2" xfId="47680"/>
    <cellStyle name="Cálculo 7 2 2 4 2 2 2 3" xfId="36015"/>
    <cellStyle name="Cálculo 7 2 2 4 2 2 3" xfId="8065"/>
    <cellStyle name="Cálculo 7 2 2 4 2 2 3 2" xfId="19201"/>
    <cellStyle name="Cálculo 7 2 2 4 2 2 3 2 2" xfId="48382"/>
    <cellStyle name="Cálculo 7 2 2 4 2 2 3 3" xfId="37248"/>
    <cellStyle name="Cálculo 7 2 2 4 2 2 4" xfId="14415"/>
    <cellStyle name="Cálculo 7 2 2 4 2 2 4 2" xfId="43596"/>
    <cellStyle name="Cálculo 7 2 2 4 2 2 5" xfId="33099"/>
    <cellStyle name="Cálculo 7 2 2 4 2 3" xfId="5392"/>
    <cellStyle name="Cálculo 7 2 2 4 2 3 2" xfId="16282"/>
    <cellStyle name="Cálculo 7 2 2 4 2 3 2 2" xfId="45463"/>
    <cellStyle name="Cálculo 7 2 2 4 2 3 3" xfId="34575"/>
    <cellStyle name="Cálculo 7 2 2 4 2 4" xfId="8283"/>
    <cellStyle name="Cálculo 7 2 2 4 2 4 2" xfId="19334"/>
    <cellStyle name="Cálculo 7 2 2 4 2 4 2 2" xfId="48515"/>
    <cellStyle name="Cálculo 7 2 2 4 2 4 3" xfId="37466"/>
    <cellStyle name="Cálculo 7 2 2 4 2 5" xfId="12039"/>
    <cellStyle name="Cálculo 7 2 2 4 2 5 2" xfId="41220"/>
    <cellStyle name="Cálculo 7 2 2 4 2 6" xfId="31299"/>
    <cellStyle name="Cálculo 7 2 2 4 3" xfId="3016"/>
    <cellStyle name="Cálculo 7 2 2 4 3 2" xfId="6112"/>
    <cellStyle name="Cálculo 7 2 2 4 3 2 2" xfId="18139"/>
    <cellStyle name="Cálculo 7 2 2 4 3 2 2 2" xfId="47320"/>
    <cellStyle name="Cálculo 7 2 2 4 3 2 3" xfId="35295"/>
    <cellStyle name="Cálculo 7 2 2 4 3 3" xfId="9812"/>
    <cellStyle name="Cálculo 7 2 2 4 3 3 2" xfId="20255"/>
    <cellStyle name="Cálculo 7 2 2 4 3 3 2 2" xfId="49436"/>
    <cellStyle name="Cálculo 7 2 2 4 3 3 3" xfId="38995"/>
    <cellStyle name="Cálculo 7 2 2 4 3 4" xfId="13531"/>
    <cellStyle name="Cálculo 7 2 2 4 3 4 2" xfId="42712"/>
    <cellStyle name="Cálculo 7 2 2 4 3 5" xfId="32199"/>
    <cellStyle name="Cálculo 7 2 2 4 4" xfId="4672"/>
    <cellStyle name="Cálculo 7 2 2 4 4 2" xfId="12953"/>
    <cellStyle name="Cálculo 7 2 2 4 4 2 2" xfId="42134"/>
    <cellStyle name="Cálculo 7 2 2 4 4 3" xfId="33855"/>
    <cellStyle name="Cálculo 7 2 2 4 5" xfId="8056"/>
    <cellStyle name="Cálculo 7 2 2 4 5 2" xfId="19196"/>
    <cellStyle name="Cálculo 7 2 2 4 5 2 2" xfId="48377"/>
    <cellStyle name="Cálculo 7 2 2 4 5 3" xfId="37239"/>
    <cellStyle name="Cálculo 7 2 2 4 6" xfId="16296"/>
    <cellStyle name="Cálculo 7 2 2 4 6 2" xfId="45477"/>
    <cellStyle name="Cálculo 7 2 2 4 7" xfId="30399"/>
    <cellStyle name="Cálculo 7 2 2 5" xfId="1358"/>
    <cellStyle name="Cálculo 7 2 2 5 2" xfId="2260"/>
    <cellStyle name="Cálculo 7 2 2 5 2 2" xfId="4060"/>
    <cellStyle name="Cálculo 7 2 2 5 2 2 2" xfId="6949"/>
    <cellStyle name="Cálculo 7 2 2 5 2 2 2 2" xfId="18553"/>
    <cellStyle name="Cálculo 7 2 2 5 2 2 2 2 2" xfId="47734"/>
    <cellStyle name="Cálculo 7 2 2 5 2 2 2 3" xfId="36132"/>
    <cellStyle name="Cálculo 7 2 2 5 2 2 3" xfId="7020"/>
    <cellStyle name="Cálculo 7 2 2 5 2 2 3 2" xfId="18587"/>
    <cellStyle name="Cálculo 7 2 2 5 2 2 3 2 2" xfId="47768"/>
    <cellStyle name="Cálculo 7 2 2 5 2 2 3 3" xfId="36203"/>
    <cellStyle name="Cálculo 7 2 2 5 2 2 4" xfId="16919"/>
    <cellStyle name="Cálculo 7 2 2 5 2 2 4 2" xfId="46100"/>
    <cellStyle name="Cálculo 7 2 2 5 2 2 5" xfId="33243"/>
    <cellStyle name="Cálculo 7 2 2 5 2 3" xfId="5509"/>
    <cellStyle name="Cálculo 7 2 2 5 2 3 2" xfId="15187"/>
    <cellStyle name="Cálculo 7 2 2 5 2 3 2 2" xfId="44368"/>
    <cellStyle name="Cálculo 7 2 2 5 2 3 3" xfId="34692"/>
    <cellStyle name="Cálculo 7 2 2 5 2 4" xfId="7834"/>
    <cellStyle name="Cálculo 7 2 2 5 2 4 2" xfId="19066"/>
    <cellStyle name="Cálculo 7 2 2 5 2 4 2 2" xfId="48247"/>
    <cellStyle name="Cálculo 7 2 2 5 2 4 3" xfId="37017"/>
    <cellStyle name="Cálculo 7 2 2 5 2 5" xfId="17775"/>
    <cellStyle name="Cálculo 7 2 2 5 2 5 2" xfId="46956"/>
    <cellStyle name="Cálculo 7 2 2 5 2 6" xfId="31443"/>
    <cellStyle name="Cálculo 7 2 2 5 3" xfId="3160"/>
    <cellStyle name="Cálculo 7 2 2 5 3 2" xfId="6229"/>
    <cellStyle name="Cálculo 7 2 2 5 3 2 2" xfId="18193"/>
    <cellStyle name="Cálculo 7 2 2 5 3 2 2 2" xfId="47374"/>
    <cellStyle name="Cálculo 7 2 2 5 3 2 3" xfId="35412"/>
    <cellStyle name="Cálculo 7 2 2 5 3 3" xfId="7209"/>
    <cellStyle name="Cálculo 7 2 2 5 3 3 2" xfId="18692"/>
    <cellStyle name="Cálculo 7 2 2 5 3 3 2 2" xfId="47873"/>
    <cellStyle name="Cálculo 7 2 2 5 3 3 3" xfId="36392"/>
    <cellStyle name="Cálculo 7 2 2 5 3 4" xfId="14692"/>
    <cellStyle name="Cálculo 7 2 2 5 3 4 2" xfId="43873"/>
    <cellStyle name="Cálculo 7 2 2 5 3 5" xfId="32343"/>
    <cellStyle name="Cálculo 7 2 2 5 4" xfId="4789"/>
    <cellStyle name="Cálculo 7 2 2 5 4 2" xfId="15934"/>
    <cellStyle name="Cálculo 7 2 2 5 4 2 2" xfId="45115"/>
    <cellStyle name="Cálculo 7 2 2 5 4 3" xfId="33972"/>
    <cellStyle name="Cálculo 7 2 2 5 5" xfId="9247"/>
    <cellStyle name="Cálculo 7 2 2 5 5 2" xfId="19920"/>
    <cellStyle name="Cálculo 7 2 2 5 5 2 2" xfId="49101"/>
    <cellStyle name="Cálculo 7 2 2 5 5 3" xfId="38430"/>
    <cellStyle name="Cálculo 7 2 2 5 6" xfId="16142"/>
    <cellStyle name="Cálculo 7 2 2 5 6 2" xfId="45323"/>
    <cellStyle name="Cálculo 7 2 2 5 7" xfId="30543"/>
    <cellStyle name="Cálculo 7 2 2 6" xfId="1540"/>
    <cellStyle name="Cálculo 7 2 2 6 2" xfId="3340"/>
    <cellStyle name="Cálculo 7 2 2 6 2 2" xfId="6373"/>
    <cellStyle name="Cálculo 7 2 2 6 2 2 2" xfId="18265"/>
    <cellStyle name="Cálculo 7 2 2 6 2 2 2 2" xfId="47446"/>
    <cellStyle name="Cálculo 7 2 2 6 2 2 3" xfId="35556"/>
    <cellStyle name="Cálculo 7 2 2 6 2 3" xfId="8652"/>
    <cellStyle name="Cálculo 7 2 2 6 2 3 2" xfId="19562"/>
    <cellStyle name="Cálculo 7 2 2 6 2 3 2 2" xfId="48743"/>
    <cellStyle name="Cálculo 7 2 2 6 2 3 3" xfId="37835"/>
    <cellStyle name="Cálculo 7 2 2 6 2 4" xfId="14721"/>
    <cellStyle name="Cálculo 7 2 2 6 2 4 2" xfId="43902"/>
    <cellStyle name="Cálculo 7 2 2 6 2 5" xfId="32523"/>
    <cellStyle name="Cálculo 7 2 2 6 3" xfId="4933"/>
    <cellStyle name="Cálculo 7 2 2 6 3 2" xfId="15587"/>
    <cellStyle name="Cálculo 7 2 2 6 3 2 2" xfId="44768"/>
    <cellStyle name="Cálculo 7 2 2 6 3 3" xfId="34116"/>
    <cellStyle name="Cálculo 7 2 2 6 4" xfId="8172"/>
    <cellStyle name="Cálculo 7 2 2 6 4 2" xfId="19268"/>
    <cellStyle name="Cálculo 7 2 2 6 4 2 2" xfId="48449"/>
    <cellStyle name="Cálculo 7 2 2 6 4 3" xfId="37355"/>
    <cellStyle name="Cálculo 7 2 2 6 5" xfId="10685"/>
    <cellStyle name="Cálculo 7 2 2 6 5 2" xfId="39866"/>
    <cellStyle name="Cálculo 7 2 2 6 6" xfId="30723"/>
    <cellStyle name="Cálculo 7 2 2 7" xfId="2440"/>
    <cellStyle name="Cálculo 7 2 2 7 2" xfId="5653"/>
    <cellStyle name="Cálculo 7 2 2 7 2 2" xfId="11432"/>
    <cellStyle name="Cálculo 7 2 2 7 2 2 2" xfId="40613"/>
    <cellStyle name="Cálculo 7 2 2 7 2 3" xfId="34836"/>
    <cellStyle name="Cálculo 7 2 2 7 3" xfId="8937"/>
    <cellStyle name="Cálculo 7 2 2 7 3 2" xfId="19732"/>
    <cellStyle name="Cálculo 7 2 2 7 3 2 2" xfId="48913"/>
    <cellStyle name="Cálculo 7 2 2 7 3 3" xfId="38120"/>
    <cellStyle name="Cálculo 7 2 2 7 4" xfId="16783"/>
    <cellStyle name="Cálculo 7 2 2 7 4 2" xfId="45964"/>
    <cellStyle name="Cálculo 7 2 2 7 5" xfId="31623"/>
    <cellStyle name="Cálculo 7 2 2 8" xfId="4213"/>
    <cellStyle name="Cálculo 7 2 2 8 2" xfId="16095"/>
    <cellStyle name="Cálculo 7 2 2 8 2 2" xfId="45276"/>
    <cellStyle name="Cálculo 7 2 2 8 3" xfId="33396"/>
    <cellStyle name="Cálculo 7 2 2 9" xfId="7771"/>
    <cellStyle name="Cálculo 7 2 2 9 2" xfId="19024"/>
    <cellStyle name="Cálculo 7 2 2 9 2 2" xfId="48205"/>
    <cellStyle name="Cálculo 7 2 2 9 3" xfId="36954"/>
    <cellStyle name="Cálculo 7 2 3" xfId="780"/>
    <cellStyle name="Cálculo 7 2 3 2" xfId="1718"/>
    <cellStyle name="Cálculo 7 2 3 2 2" xfId="3518"/>
    <cellStyle name="Cálculo 7 2 3 2 2 2" xfId="6515"/>
    <cellStyle name="Cálculo 7 2 3 2 2 2 2" xfId="18355"/>
    <cellStyle name="Cálculo 7 2 3 2 2 2 2 2" xfId="47536"/>
    <cellStyle name="Cálculo 7 2 3 2 2 2 3" xfId="35698"/>
    <cellStyle name="Cálculo 7 2 3 2 2 3" xfId="10263"/>
    <cellStyle name="Cálculo 7 2 3 2 2 3 2" xfId="20526"/>
    <cellStyle name="Cálculo 7 2 3 2 2 3 2 2" xfId="49707"/>
    <cellStyle name="Cálculo 7 2 3 2 2 3 3" xfId="39446"/>
    <cellStyle name="Cálculo 7 2 3 2 2 4" xfId="13524"/>
    <cellStyle name="Cálculo 7 2 3 2 2 4 2" xfId="42705"/>
    <cellStyle name="Cálculo 7 2 3 2 2 5" xfId="32701"/>
    <cellStyle name="Cálculo 7 2 3 2 3" xfId="5075"/>
    <cellStyle name="Cálculo 7 2 3 2 3 2" xfId="16672"/>
    <cellStyle name="Cálculo 7 2 3 2 3 2 2" xfId="45853"/>
    <cellStyle name="Cálculo 7 2 3 2 3 3" xfId="34258"/>
    <cellStyle name="Cálculo 7 2 3 2 4" xfId="10441"/>
    <cellStyle name="Cálculo 7 2 3 2 4 2" xfId="20640"/>
    <cellStyle name="Cálculo 7 2 3 2 4 2 2" xfId="49821"/>
    <cellStyle name="Cálculo 7 2 3 2 4 3" xfId="39624"/>
    <cellStyle name="Cálculo 7 2 3 2 5" xfId="16644"/>
    <cellStyle name="Cálculo 7 2 3 2 5 2" xfId="45825"/>
    <cellStyle name="Cálculo 7 2 3 2 6" xfId="30901"/>
    <cellStyle name="Cálculo 7 2 3 3" xfId="2618"/>
    <cellStyle name="Cálculo 7 2 3 3 2" xfId="5795"/>
    <cellStyle name="Cálculo 7 2 3 3 2 2" xfId="15374"/>
    <cellStyle name="Cálculo 7 2 3 3 2 2 2" xfId="44555"/>
    <cellStyle name="Cálculo 7 2 3 3 2 3" xfId="34978"/>
    <cellStyle name="Cálculo 7 2 3 3 3" xfId="9664"/>
    <cellStyle name="Cálculo 7 2 3 3 3 2" xfId="20167"/>
    <cellStyle name="Cálculo 7 2 3 3 3 2 2" xfId="49348"/>
    <cellStyle name="Cálculo 7 2 3 3 3 3" xfId="38847"/>
    <cellStyle name="Cálculo 7 2 3 3 4" xfId="11837"/>
    <cellStyle name="Cálculo 7 2 3 3 4 2" xfId="41018"/>
    <cellStyle name="Cálculo 7 2 3 3 5" xfId="31801"/>
    <cellStyle name="Cálculo 7 2 3 4" xfId="4355"/>
    <cellStyle name="Cálculo 7 2 3 4 2" xfId="17179"/>
    <cellStyle name="Cálculo 7 2 3 4 2 2" xfId="46360"/>
    <cellStyle name="Cálculo 7 2 3 4 3" xfId="33538"/>
    <cellStyle name="Cálculo 7 2 3 5" xfId="7329"/>
    <cellStyle name="Cálculo 7 2 3 5 2" xfId="18759"/>
    <cellStyle name="Cálculo 7 2 3 5 2 2" xfId="47940"/>
    <cellStyle name="Cálculo 7 2 3 5 3" xfId="36512"/>
    <cellStyle name="Cálculo 7 2 3 6" xfId="11059"/>
    <cellStyle name="Cálculo 7 2 3 6 2" xfId="40240"/>
    <cellStyle name="Cálculo 7 2 3 7" xfId="29977"/>
    <cellStyle name="Cálculo 7 2 4" xfId="972"/>
    <cellStyle name="Cálculo 7 2 4 2" xfId="1882"/>
    <cellStyle name="Cálculo 7 2 4 2 2" xfId="3682"/>
    <cellStyle name="Cálculo 7 2 4 2 2 2" xfId="6643"/>
    <cellStyle name="Cálculo 7 2 4 2 2 2 2" xfId="18409"/>
    <cellStyle name="Cálculo 7 2 4 2 2 2 2 2" xfId="47590"/>
    <cellStyle name="Cálculo 7 2 4 2 2 2 3" xfId="35826"/>
    <cellStyle name="Cálculo 7 2 4 2 2 3" xfId="10120"/>
    <cellStyle name="Cálculo 7 2 4 2 2 3 2" xfId="20445"/>
    <cellStyle name="Cálculo 7 2 4 2 2 3 2 2" xfId="49626"/>
    <cellStyle name="Cálculo 7 2 4 2 2 3 3" xfId="39303"/>
    <cellStyle name="Cálculo 7 2 4 2 2 4" xfId="17530"/>
    <cellStyle name="Cálculo 7 2 4 2 2 4 2" xfId="46711"/>
    <cellStyle name="Cálculo 7 2 4 2 2 5" xfId="32865"/>
    <cellStyle name="Cálculo 7 2 4 2 3" xfId="5203"/>
    <cellStyle name="Cálculo 7 2 4 2 3 2" xfId="14744"/>
    <cellStyle name="Cálculo 7 2 4 2 3 2 2" xfId="43925"/>
    <cellStyle name="Cálculo 7 2 4 2 3 3" xfId="34386"/>
    <cellStyle name="Cálculo 7 2 4 2 4" xfId="10320"/>
    <cellStyle name="Cálculo 7 2 4 2 4 2" xfId="20563"/>
    <cellStyle name="Cálculo 7 2 4 2 4 2 2" xfId="49744"/>
    <cellStyle name="Cálculo 7 2 4 2 4 3" xfId="39503"/>
    <cellStyle name="Cálculo 7 2 4 2 5" xfId="14915"/>
    <cellStyle name="Cálculo 7 2 4 2 5 2" xfId="44096"/>
    <cellStyle name="Cálculo 7 2 4 2 6" xfId="31065"/>
    <cellStyle name="Cálculo 7 2 4 3" xfId="2782"/>
    <cellStyle name="Cálculo 7 2 4 3 2" xfId="5923"/>
    <cellStyle name="Cálculo 7 2 4 3 2 2" xfId="14175"/>
    <cellStyle name="Cálculo 7 2 4 3 2 2 2" xfId="43356"/>
    <cellStyle name="Cálculo 7 2 4 3 2 3" xfId="35106"/>
    <cellStyle name="Cálculo 7 2 4 3 3" xfId="9543"/>
    <cellStyle name="Cálculo 7 2 4 3 3 2" xfId="20093"/>
    <cellStyle name="Cálculo 7 2 4 3 3 2 2" xfId="49274"/>
    <cellStyle name="Cálculo 7 2 4 3 3 3" xfId="38726"/>
    <cellStyle name="Cálculo 7 2 4 3 4" xfId="14086"/>
    <cellStyle name="Cálculo 7 2 4 3 4 2" xfId="43267"/>
    <cellStyle name="Cálculo 7 2 4 3 5" xfId="31965"/>
    <cellStyle name="Cálculo 7 2 4 4" xfId="4483"/>
    <cellStyle name="Cálculo 7 2 4 4 2" xfId="17246"/>
    <cellStyle name="Cálculo 7 2 4 4 2 2" xfId="46427"/>
    <cellStyle name="Cálculo 7 2 4 4 3" xfId="33666"/>
    <cellStyle name="Cálculo 7 2 4 5" xfId="8059"/>
    <cellStyle name="Cálculo 7 2 4 5 2" xfId="19198"/>
    <cellStyle name="Cálculo 7 2 4 5 2 2" xfId="48379"/>
    <cellStyle name="Cálculo 7 2 4 5 3" xfId="37242"/>
    <cellStyle name="Cálculo 7 2 4 6" xfId="17868"/>
    <cellStyle name="Cálculo 7 2 4 6 2" xfId="47049"/>
    <cellStyle name="Cálculo 7 2 4 7" xfId="30162"/>
    <cellStyle name="Cálculo 7 2 5" xfId="1122"/>
    <cellStyle name="Cálculo 7 2 5 2" xfId="2026"/>
    <cellStyle name="Cálculo 7 2 5 2 2" xfId="3826"/>
    <cellStyle name="Cálculo 7 2 5 2 2 2" xfId="6760"/>
    <cellStyle name="Cálculo 7 2 5 2 2 2 2" xfId="18463"/>
    <cellStyle name="Cálculo 7 2 5 2 2 2 2 2" xfId="47644"/>
    <cellStyle name="Cálculo 7 2 5 2 2 2 3" xfId="35943"/>
    <cellStyle name="Cálculo 7 2 5 2 2 3" xfId="9113"/>
    <cellStyle name="Cálculo 7 2 5 2 2 3 2" xfId="19834"/>
    <cellStyle name="Cálculo 7 2 5 2 2 3 2 2" xfId="49015"/>
    <cellStyle name="Cálculo 7 2 5 2 2 3 3" xfId="38296"/>
    <cellStyle name="Cálculo 7 2 5 2 2 4" xfId="11611"/>
    <cellStyle name="Cálculo 7 2 5 2 2 4 2" xfId="40792"/>
    <cellStyle name="Cálculo 7 2 5 2 2 5" xfId="33009"/>
    <cellStyle name="Cálculo 7 2 5 2 3" xfId="5320"/>
    <cellStyle name="Cálculo 7 2 5 2 3 2" xfId="11193"/>
    <cellStyle name="Cálculo 7 2 5 2 3 2 2" xfId="40374"/>
    <cellStyle name="Cálculo 7 2 5 2 3 3" xfId="34503"/>
    <cellStyle name="Cálculo 7 2 5 2 4" xfId="10239"/>
    <cellStyle name="Cálculo 7 2 5 2 4 2" xfId="20511"/>
    <cellStyle name="Cálculo 7 2 5 2 4 2 2" xfId="49692"/>
    <cellStyle name="Cálculo 7 2 5 2 4 3" xfId="39422"/>
    <cellStyle name="Cálculo 7 2 5 2 5" xfId="17038"/>
    <cellStyle name="Cálculo 7 2 5 2 5 2" xfId="46219"/>
    <cellStyle name="Cálculo 7 2 5 2 6" xfId="31209"/>
    <cellStyle name="Cálculo 7 2 5 3" xfId="2926"/>
    <cellStyle name="Cálculo 7 2 5 3 2" xfId="6040"/>
    <cellStyle name="Cálculo 7 2 5 3 2 2" xfId="10568"/>
    <cellStyle name="Cálculo 7 2 5 3 2 2 2" xfId="39749"/>
    <cellStyle name="Cálculo 7 2 5 3 2 3" xfId="35223"/>
    <cellStyle name="Cálculo 7 2 5 3 3" xfId="9463"/>
    <cellStyle name="Cálculo 7 2 5 3 3 2" xfId="20045"/>
    <cellStyle name="Cálculo 7 2 5 3 3 2 2" xfId="49226"/>
    <cellStyle name="Cálculo 7 2 5 3 3 3" xfId="38646"/>
    <cellStyle name="Cálculo 7 2 5 3 4" xfId="15251"/>
    <cellStyle name="Cálculo 7 2 5 3 4 2" xfId="44432"/>
    <cellStyle name="Cálculo 7 2 5 3 5" xfId="32109"/>
    <cellStyle name="Cálculo 7 2 5 4" xfId="4600"/>
    <cellStyle name="Cálculo 7 2 5 4 2" xfId="15378"/>
    <cellStyle name="Cálculo 7 2 5 4 2 2" xfId="44559"/>
    <cellStyle name="Cálculo 7 2 5 4 3" xfId="33783"/>
    <cellStyle name="Cálculo 7 2 5 5" xfId="9105"/>
    <cellStyle name="Cálculo 7 2 5 5 2" xfId="19831"/>
    <cellStyle name="Cálculo 7 2 5 5 2 2" xfId="49012"/>
    <cellStyle name="Cálculo 7 2 5 5 3" xfId="38288"/>
    <cellStyle name="Cálculo 7 2 5 6" xfId="11276"/>
    <cellStyle name="Cálculo 7 2 5 6 2" xfId="40457"/>
    <cellStyle name="Cálculo 7 2 5 7" xfId="30309"/>
    <cellStyle name="Cálculo 7 2 6" xfId="1268"/>
    <cellStyle name="Cálculo 7 2 6 2" xfId="2170"/>
    <cellStyle name="Cálculo 7 2 6 2 2" xfId="3970"/>
    <cellStyle name="Cálculo 7 2 6 2 2 2" xfId="6877"/>
    <cellStyle name="Cálculo 7 2 6 2 2 2 2" xfId="18517"/>
    <cellStyle name="Cálculo 7 2 6 2 2 2 2 2" xfId="47698"/>
    <cellStyle name="Cálculo 7 2 6 2 2 2 3" xfId="36060"/>
    <cellStyle name="Cálculo 7 2 6 2 2 3" xfId="7110"/>
    <cellStyle name="Cálculo 7 2 6 2 2 3 2" xfId="18641"/>
    <cellStyle name="Cálculo 7 2 6 2 2 3 2 2" xfId="47822"/>
    <cellStyle name="Cálculo 7 2 6 2 2 3 3" xfId="36293"/>
    <cellStyle name="Cálculo 7 2 6 2 2 4" xfId="13904"/>
    <cellStyle name="Cálculo 7 2 6 2 2 4 2" xfId="43085"/>
    <cellStyle name="Cálculo 7 2 6 2 2 5" xfId="33153"/>
    <cellStyle name="Cálculo 7 2 6 2 3" xfId="5437"/>
    <cellStyle name="Cálculo 7 2 6 2 3 2" xfId="11860"/>
    <cellStyle name="Cálculo 7 2 6 2 3 2 2" xfId="41041"/>
    <cellStyle name="Cálculo 7 2 6 2 3 3" xfId="34620"/>
    <cellStyle name="Cálculo 7 2 6 2 4" xfId="9237"/>
    <cellStyle name="Cálculo 7 2 6 2 4 2" xfId="19913"/>
    <cellStyle name="Cálculo 7 2 6 2 4 2 2" xfId="49094"/>
    <cellStyle name="Cálculo 7 2 6 2 4 3" xfId="38420"/>
    <cellStyle name="Cálculo 7 2 6 2 5" xfId="17004"/>
    <cellStyle name="Cálculo 7 2 6 2 5 2" xfId="46185"/>
    <cellStyle name="Cálculo 7 2 6 2 6" xfId="31353"/>
    <cellStyle name="Cálculo 7 2 6 3" xfId="3070"/>
    <cellStyle name="Cálculo 7 2 6 3 2" xfId="6157"/>
    <cellStyle name="Cálculo 7 2 6 3 2 2" xfId="18157"/>
    <cellStyle name="Cálculo 7 2 6 3 2 2 2" xfId="47338"/>
    <cellStyle name="Cálculo 7 2 6 3 2 3" xfId="35340"/>
    <cellStyle name="Cálculo 7 2 6 3 3" xfId="7549"/>
    <cellStyle name="Cálculo 7 2 6 3 3 2" xfId="18884"/>
    <cellStyle name="Cálculo 7 2 6 3 3 2 2" xfId="48065"/>
    <cellStyle name="Cálculo 7 2 6 3 3 3" xfId="36732"/>
    <cellStyle name="Cálculo 7 2 6 3 4" xfId="15562"/>
    <cellStyle name="Cálculo 7 2 6 3 4 2" xfId="44743"/>
    <cellStyle name="Cálculo 7 2 6 3 5" xfId="32253"/>
    <cellStyle name="Cálculo 7 2 6 4" xfId="4717"/>
    <cellStyle name="Cálculo 7 2 6 4 2" xfId="17206"/>
    <cellStyle name="Cálculo 7 2 6 4 2 2" xfId="46387"/>
    <cellStyle name="Cálculo 7 2 6 4 3" xfId="33900"/>
    <cellStyle name="Cálculo 7 2 6 5" xfId="8635"/>
    <cellStyle name="Cálculo 7 2 6 5 2" xfId="19552"/>
    <cellStyle name="Cálculo 7 2 6 5 2 2" xfId="48733"/>
    <cellStyle name="Cálculo 7 2 6 5 3" xfId="37818"/>
    <cellStyle name="Cálculo 7 2 6 6" xfId="12650"/>
    <cellStyle name="Cálculo 7 2 6 6 2" xfId="41831"/>
    <cellStyle name="Cálculo 7 2 6 7" xfId="30453"/>
    <cellStyle name="Cálculo 7 2 7" xfId="1450"/>
    <cellStyle name="Cálculo 7 2 7 2" xfId="3250"/>
    <cellStyle name="Cálculo 7 2 7 2 2" xfId="6301"/>
    <cellStyle name="Cálculo 7 2 7 2 2 2" xfId="18229"/>
    <cellStyle name="Cálculo 7 2 7 2 2 2 2" xfId="47410"/>
    <cellStyle name="Cálculo 7 2 7 2 2 3" xfId="35484"/>
    <cellStyle name="Cálculo 7 2 7 2 3" xfId="9657"/>
    <cellStyle name="Cálculo 7 2 7 2 3 2" xfId="20163"/>
    <cellStyle name="Cálculo 7 2 7 2 3 2 2" xfId="49344"/>
    <cellStyle name="Cálculo 7 2 7 2 3 3" xfId="38840"/>
    <cellStyle name="Cálculo 7 2 7 2 4" xfId="15168"/>
    <cellStyle name="Cálculo 7 2 7 2 4 2" xfId="44349"/>
    <cellStyle name="Cálculo 7 2 7 2 5" xfId="32433"/>
    <cellStyle name="Cálculo 7 2 7 3" xfId="4861"/>
    <cellStyle name="Cálculo 7 2 7 3 2" xfId="13955"/>
    <cellStyle name="Cálculo 7 2 7 3 2 2" xfId="43136"/>
    <cellStyle name="Cálculo 7 2 7 3 3" xfId="34044"/>
    <cellStyle name="Cálculo 7 2 7 4" xfId="10363"/>
    <cellStyle name="Cálculo 7 2 7 4 2" xfId="20592"/>
    <cellStyle name="Cálculo 7 2 7 4 2 2" xfId="49773"/>
    <cellStyle name="Cálculo 7 2 7 4 3" xfId="39546"/>
    <cellStyle name="Cálculo 7 2 7 5" xfId="17257"/>
    <cellStyle name="Cálculo 7 2 7 5 2" xfId="46438"/>
    <cellStyle name="Cálculo 7 2 7 6" xfId="30633"/>
    <cellStyle name="Cálculo 7 2 8" xfId="2350"/>
    <cellStyle name="Cálculo 7 2 8 2" xfId="5581"/>
    <cellStyle name="Cálculo 7 2 8 2 2" xfId="12763"/>
    <cellStyle name="Cálculo 7 2 8 2 2 2" xfId="41944"/>
    <cellStyle name="Cálculo 7 2 8 2 3" xfId="34764"/>
    <cellStyle name="Cálculo 7 2 8 3" xfId="7654"/>
    <cellStyle name="Cálculo 7 2 8 3 2" xfId="18951"/>
    <cellStyle name="Cálculo 7 2 8 3 2 2" xfId="48132"/>
    <cellStyle name="Cálculo 7 2 8 3 3" xfId="36837"/>
    <cellStyle name="Cálculo 7 2 8 4" xfId="16383"/>
    <cellStyle name="Cálculo 7 2 8 4 2" xfId="45564"/>
    <cellStyle name="Cálculo 7 2 8 5" xfId="31533"/>
    <cellStyle name="Cálculo 7 2 9" xfId="4141"/>
    <cellStyle name="Cálculo 7 2 9 2" xfId="14522"/>
    <cellStyle name="Cálculo 7 2 9 2 2" xfId="43703"/>
    <cellStyle name="Cálculo 7 2 9 3" xfId="33324"/>
    <cellStyle name="Cálculo 7 3" xfId="472"/>
    <cellStyle name="Cálculo 7 3 10" xfId="16820"/>
    <cellStyle name="Cálculo 7 3 10 2" xfId="46001"/>
    <cellStyle name="Cálculo 7 3 11" xfId="29678"/>
    <cellStyle name="Cálculo 7 3 2" xfId="825"/>
    <cellStyle name="Cálculo 7 3 2 2" xfId="1763"/>
    <cellStyle name="Cálculo 7 3 2 2 2" xfId="3563"/>
    <cellStyle name="Cálculo 7 3 2 2 2 2" xfId="6551"/>
    <cellStyle name="Cálculo 7 3 2 2 2 2 2" xfId="18373"/>
    <cellStyle name="Cálculo 7 3 2 2 2 2 2 2" xfId="47554"/>
    <cellStyle name="Cálculo 7 3 2 2 2 2 3" xfId="35734"/>
    <cellStyle name="Cálculo 7 3 2 2 2 3" xfId="10083"/>
    <cellStyle name="Cálculo 7 3 2 2 2 3 2" xfId="20424"/>
    <cellStyle name="Cálculo 7 3 2 2 2 3 2 2" xfId="49605"/>
    <cellStyle name="Cálculo 7 3 2 2 2 3 3" xfId="39266"/>
    <cellStyle name="Cálculo 7 3 2 2 2 4" xfId="11304"/>
    <cellStyle name="Cálculo 7 3 2 2 2 4 2" xfId="40485"/>
    <cellStyle name="Cálculo 7 3 2 2 2 5" xfId="32746"/>
    <cellStyle name="Cálculo 7 3 2 2 3" xfId="5111"/>
    <cellStyle name="Cálculo 7 3 2 2 3 2" xfId="14411"/>
    <cellStyle name="Cálculo 7 3 2 2 3 2 2" xfId="43592"/>
    <cellStyle name="Cálculo 7 3 2 2 3 3" xfId="34294"/>
    <cellStyle name="Cálculo 7 3 2 2 4" xfId="10026"/>
    <cellStyle name="Cálculo 7 3 2 2 4 2" xfId="20389"/>
    <cellStyle name="Cálculo 7 3 2 2 4 2 2" xfId="49570"/>
    <cellStyle name="Cálculo 7 3 2 2 4 3" xfId="39209"/>
    <cellStyle name="Cálculo 7 3 2 2 5" xfId="16799"/>
    <cellStyle name="Cálculo 7 3 2 2 5 2" xfId="45980"/>
    <cellStyle name="Cálculo 7 3 2 2 6" xfId="30946"/>
    <cellStyle name="Cálculo 7 3 2 3" xfId="2663"/>
    <cellStyle name="Cálculo 7 3 2 3 2" xfId="5831"/>
    <cellStyle name="Cálculo 7 3 2 3 2 2" xfId="13275"/>
    <cellStyle name="Cálculo 7 3 2 3 2 2 2" xfId="42456"/>
    <cellStyle name="Cálculo 7 3 2 3 2 3" xfId="35014"/>
    <cellStyle name="Cálculo 7 3 2 3 3" xfId="9233"/>
    <cellStyle name="Cálculo 7 3 2 3 3 2" xfId="19911"/>
    <cellStyle name="Cálculo 7 3 2 3 3 2 2" xfId="49092"/>
    <cellStyle name="Cálculo 7 3 2 3 3 3" xfId="38416"/>
    <cellStyle name="Cálculo 7 3 2 3 4" xfId="15445"/>
    <cellStyle name="Cálculo 7 3 2 3 4 2" xfId="44626"/>
    <cellStyle name="Cálculo 7 3 2 3 5" xfId="31846"/>
    <cellStyle name="Cálculo 7 3 2 4" xfId="4391"/>
    <cellStyle name="Cálculo 7 3 2 4 2" xfId="14974"/>
    <cellStyle name="Cálculo 7 3 2 4 2 2" xfId="44155"/>
    <cellStyle name="Cálculo 7 3 2 4 3" xfId="33574"/>
    <cellStyle name="Cálculo 7 3 2 5" xfId="9684"/>
    <cellStyle name="Cálculo 7 3 2 5 2" xfId="20180"/>
    <cellStyle name="Cálculo 7 3 2 5 2 2" xfId="49361"/>
    <cellStyle name="Cálculo 7 3 2 5 3" xfId="38867"/>
    <cellStyle name="Cálculo 7 3 2 6" xfId="16376"/>
    <cellStyle name="Cálculo 7 3 2 6 2" xfId="45557"/>
    <cellStyle name="Cálculo 7 3 2 7" xfId="30022"/>
    <cellStyle name="Cálculo 7 3 3" xfId="1017"/>
    <cellStyle name="Cálculo 7 3 3 2" xfId="1927"/>
    <cellStyle name="Cálculo 7 3 3 2 2" xfId="3727"/>
    <cellStyle name="Cálculo 7 3 3 2 2 2" xfId="6679"/>
    <cellStyle name="Cálculo 7 3 3 2 2 2 2" xfId="18427"/>
    <cellStyle name="Cálculo 7 3 3 2 2 2 2 2" xfId="47608"/>
    <cellStyle name="Cálculo 7 3 3 2 2 2 3" xfId="35862"/>
    <cellStyle name="Cálculo 7 3 3 2 2 3" xfId="9038"/>
    <cellStyle name="Cálculo 7 3 3 2 2 3 2" xfId="19788"/>
    <cellStyle name="Cálculo 7 3 3 2 2 3 2 2" xfId="48969"/>
    <cellStyle name="Cálculo 7 3 3 2 2 3 3" xfId="38221"/>
    <cellStyle name="Cálculo 7 3 3 2 2 4" xfId="10654"/>
    <cellStyle name="Cálculo 7 3 3 2 2 4 2" xfId="39835"/>
    <cellStyle name="Cálculo 7 3 3 2 2 5" xfId="32910"/>
    <cellStyle name="Cálculo 7 3 3 2 3" xfId="5239"/>
    <cellStyle name="Cálculo 7 3 3 2 3 2" xfId="13506"/>
    <cellStyle name="Cálculo 7 3 3 2 3 2 2" xfId="42687"/>
    <cellStyle name="Cálculo 7 3 3 2 3 3" xfId="34422"/>
    <cellStyle name="Cálculo 7 3 3 2 4" xfId="9927"/>
    <cellStyle name="Cálculo 7 3 3 2 4 2" xfId="20327"/>
    <cellStyle name="Cálculo 7 3 3 2 4 2 2" xfId="49508"/>
    <cellStyle name="Cálculo 7 3 3 2 4 3" xfId="39110"/>
    <cellStyle name="Cálculo 7 3 3 2 5" xfId="13859"/>
    <cellStyle name="Cálculo 7 3 3 2 5 2" xfId="43040"/>
    <cellStyle name="Cálculo 7 3 3 2 6" xfId="31110"/>
    <cellStyle name="Cálculo 7 3 3 3" xfId="2827"/>
    <cellStyle name="Cálculo 7 3 3 3 2" xfId="5959"/>
    <cellStyle name="Cálculo 7 3 3 3 2 2" xfId="10604"/>
    <cellStyle name="Cálculo 7 3 3 3 2 2 2" xfId="39785"/>
    <cellStyle name="Cálculo 7 3 3 3 2 3" xfId="35142"/>
    <cellStyle name="Cálculo 7 3 3 3 3" xfId="9179"/>
    <cellStyle name="Cálculo 7 3 3 3 3 2" xfId="19874"/>
    <cellStyle name="Cálculo 7 3 3 3 3 2 2" xfId="49055"/>
    <cellStyle name="Cálculo 7 3 3 3 3 3" xfId="38362"/>
    <cellStyle name="Cálculo 7 3 3 3 4" xfId="12674"/>
    <cellStyle name="Cálculo 7 3 3 3 4 2" xfId="41855"/>
    <cellStyle name="Cálculo 7 3 3 3 5" xfId="32010"/>
    <cellStyle name="Cálculo 7 3 3 4" xfId="4519"/>
    <cellStyle name="Cálculo 7 3 3 4 2" xfId="11607"/>
    <cellStyle name="Cálculo 7 3 3 4 2 2" xfId="40788"/>
    <cellStyle name="Cálculo 7 3 3 4 3" xfId="33702"/>
    <cellStyle name="Cálculo 7 3 3 5" xfId="10150"/>
    <cellStyle name="Cálculo 7 3 3 5 2" xfId="20462"/>
    <cellStyle name="Cálculo 7 3 3 5 2 2" xfId="49643"/>
    <cellStyle name="Cálculo 7 3 3 5 3" xfId="39333"/>
    <cellStyle name="Cálculo 7 3 3 6" xfId="11753"/>
    <cellStyle name="Cálculo 7 3 3 6 2" xfId="40934"/>
    <cellStyle name="Cálculo 7 3 3 7" xfId="30207"/>
    <cellStyle name="Cálculo 7 3 4" xfId="1167"/>
    <cellStyle name="Cálculo 7 3 4 2" xfId="2071"/>
    <cellStyle name="Cálculo 7 3 4 2 2" xfId="3871"/>
    <cellStyle name="Cálculo 7 3 4 2 2 2" xfId="6796"/>
    <cellStyle name="Cálculo 7 3 4 2 2 2 2" xfId="18481"/>
    <cellStyle name="Cálculo 7 3 4 2 2 2 2 2" xfId="47662"/>
    <cellStyle name="Cálculo 7 3 4 2 2 2 3" xfId="35979"/>
    <cellStyle name="Cálculo 7 3 4 2 2 3" xfId="10456"/>
    <cellStyle name="Cálculo 7 3 4 2 2 3 2" xfId="20651"/>
    <cellStyle name="Cálculo 7 3 4 2 2 3 2 2" xfId="49832"/>
    <cellStyle name="Cálculo 7 3 4 2 2 3 3" xfId="39639"/>
    <cellStyle name="Cálculo 7 3 4 2 2 4" xfId="15470"/>
    <cellStyle name="Cálculo 7 3 4 2 2 4 2" xfId="44651"/>
    <cellStyle name="Cálculo 7 3 4 2 2 5" xfId="33054"/>
    <cellStyle name="Cálculo 7 3 4 2 3" xfId="5356"/>
    <cellStyle name="Cálculo 7 3 4 2 3 2" xfId="17227"/>
    <cellStyle name="Cálculo 7 3 4 2 3 2 2" xfId="46408"/>
    <cellStyle name="Cálculo 7 3 4 2 3 3" xfId="34539"/>
    <cellStyle name="Cálculo 7 3 4 2 4" xfId="7793"/>
    <cellStyle name="Cálculo 7 3 4 2 4 2" xfId="19038"/>
    <cellStyle name="Cálculo 7 3 4 2 4 2 2" xfId="48219"/>
    <cellStyle name="Cálculo 7 3 4 2 4 3" xfId="36976"/>
    <cellStyle name="Cálculo 7 3 4 2 5" xfId="17271"/>
    <cellStyle name="Cálculo 7 3 4 2 5 2" xfId="46452"/>
    <cellStyle name="Cálculo 7 3 4 2 6" xfId="31254"/>
    <cellStyle name="Cálculo 7 3 4 3" xfId="2971"/>
    <cellStyle name="Cálculo 7 3 4 3 2" xfId="6076"/>
    <cellStyle name="Cálculo 7 3 4 3 2 2" xfId="10550"/>
    <cellStyle name="Cálculo 7 3 4 3 2 2 2" xfId="39731"/>
    <cellStyle name="Cálculo 7 3 4 3 2 3" xfId="35259"/>
    <cellStyle name="Cálculo 7 3 4 3 3" xfId="8593"/>
    <cellStyle name="Cálculo 7 3 4 3 3 2" xfId="19531"/>
    <cellStyle name="Cálculo 7 3 4 3 3 2 2" xfId="48712"/>
    <cellStyle name="Cálculo 7 3 4 3 3 3" xfId="37776"/>
    <cellStyle name="Cálculo 7 3 4 3 4" xfId="14288"/>
    <cellStyle name="Cálculo 7 3 4 3 4 2" xfId="43469"/>
    <cellStyle name="Cálculo 7 3 4 3 5" xfId="32154"/>
    <cellStyle name="Cálculo 7 3 4 4" xfId="4636"/>
    <cellStyle name="Cálculo 7 3 4 4 2" xfId="13279"/>
    <cellStyle name="Cálculo 7 3 4 4 2 2" xfId="42460"/>
    <cellStyle name="Cálculo 7 3 4 4 3" xfId="33819"/>
    <cellStyle name="Cálculo 7 3 4 5" xfId="8216"/>
    <cellStyle name="Cálculo 7 3 4 5 2" xfId="19295"/>
    <cellStyle name="Cálculo 7 3 4 5 2 2" xfId="48476"/>
    <cellStyle name="Cálculo 7 3 4 5 3" xfId="37399"/>
    <cellStyle name="Cálculo 7 3 4 6" xfId="13148"/>
    <cellStyle name="Cálculo 7 3 4 6 2" xfId="42329"/>
    <cellStyle name="Cálculo 7 3 4 7" xfId="30354"/>
    <cellStyle name="Cálculo 7 3 5" xfId="1313"/>
    <cellStyle name="Cálculo 7 3 5 2" xfId="2215"/>
    <cellStyle name="Cálculo 7 3 5 2 2" xfId="4015"/>
    <cellStyle name="Cálculo 7 3 5 2 2 2" xfId="6913"/>
    <cellStyle name="Cálculo 7 3 5 2 2 2 2" xfId="18535"/>
    <cellStyle name="Cálculo 7 3 5 2 2 2 2 2" xfId="47716"/>
    <cellStyle name="Cálculo 7 3 5 2 2 2 3" xfId="36096"/>
    <cellStyle name="Cálculo 7 3 5 2 2 3" xfId="7065"/>
    <cellStyle name="Cálculo 7 3 5 2 2 3 2" xfId="18614"/>
    <cellStyle name="Cálculo 7 3 5 2 2 3 2 2" xfId="47795"/>
    <cellStyle name="Cálculo 7 3 5 2 2 3 3" xfId="36248"/>
    <cellStyle name="Cálculo 7 3 5 2 2 4" xfId="11745"/>
    <cellStyle name="Cálculo 7 3 5 2 2 4 2" xfId="40926"/>
    <cellStyle name="Cálculo 7 3 5 2 2 5" xfId="33198"/>
    <cellStyle name="Cálculo 7 3 5 2 3" xfId="5473"/>
    <cellStyle name="Cálculo 7 3 5 2 3 2" xfId="15201"/>
    <cellStyle name="Cálculo 7 3 5 2 3 2 2" xfId="44382"/>
    <cellStyle name="Cálculo 7 3 5 2 3 3" xfId="34656"/>
    <cellStyle name="Cálculo 7 3 5 2 4" xfId="8359"/>
    <cellStyle name="Cálculo 7 3 5 2 4 2" xfId="19382"/>
    <cellStyle name="Cálculo 7 3 5 2 4 2 2" xfId="48563"/>
    <cellStyle name="Cálculo 7 3 5 2 4 3" xfId="37542"/>
    <cellStyle name="Cálculo 7 3 5 2 5" xfId="16267"/>
    <cellStyle name="Cálculo 7 3 5 2 5 2" xfId="45448"/>
    <cellStyle name="Cálculo 7 3 5 2 6" xfId="31398"/>
    <cellStyle name="Cálculo 7 3 5 3" xfId="3115"/>
    <cellStyle name="Cálculo 7 3 5 3 2" xfId="6193"/>
    <cellStyle name="Cálculo 7 3 5 3 2 2" xfId="18175"/>
    <cellStyle name="Cálculo 7 3 5 3 2 2 2" xfId="47356"/>
    <cellStyle name="Cálculo 7 3 5 3 2 3" xfId="35376"/>
    <cellStyle name="Cálculo 7 3 5 3 3" xfId="9887"/>
    <cellStyle name="Cálculo 7 3 5 3 3 2" xfId="20301"/>
    <cellStyle name="Cálculo 7 3 5 3 3 2 2" xfId="49482"/>
    <cellStyle name="Cálculo 7 3 5 3 3 3" xfId="39070"/>
    <cellStyle name="Cálculo 7 3 5 3 4" xfId="16834"/>
    <cellStyle name="Cálculo 7 3 5 3 4 2" xfId="46015"/>
    <cellStyle name="Cálculo 7 3 5 3 5" xfId="32298"/>
    <cellStyle name="Cálculo 7 3 5 4" xfId="4753"/>
    <cellStyle name="Cálculo 7 3 5 4 2" xfId="16335"/>
    <cellStyle name="Cálculo 7 3 5 4 2 2" xfId="45516"/>
    <cellStyle name="Cálculo 7 3 5 4 3" xfId="33936"/>
    <cellStyle name="Cálculo 7 3 5 5" xfId="9442"/>
    <cellStyle name="Cálculo 7 3 5 5 2" xfId="20036"/>
    <cellStyle name="Cálculo 7 3 5 5 2 2" xfId="49217"/>
    <cellStyle name="Cálculo 7 3 5 5 3" xfId="38625"/>
    <cellStyle name="Cálculo 7 3 5 6" xfId="17528"/>
    <cellStyle name="Cálculo 7 3 5 6 2" xfId="46709"/>
    <cellStyle name="Cálculo 7 3 5 7" xfId="30498"/>
    <cellStyle name="Cálculo 7 3 6" xfId="1495"/>
    <cellStyle name="Cálculo 7 3 6 2" xfId="3295"/>
    <cellStyle name="Cálculo 7 3 6 2 2" xfId="6337"/>
    <cellStyle name="Cálculo 7 3 6 2 2 2" xfId="18247"/>
    <cellStyle name="Cálculo 7 3 6 2 2 2 2" xfId="47428"/>
    <cellStyle name="Cálculo 7 3 6 2 2 3" xfId="35520"/>
    <cellStyle name="Cálculo 7 3 6 2 3" xfId="9212"/>
    <cellStyle name="Cálculo 7 3 6 2 3 2" xfId="19896"/>
    <cellStyle name="Cálculo 7 3 6 2 3 2 2" xfId="49077"/>
    <cellStyle name="Cálculo 7 3 6 2 3 3" xfId="38395"/>
    <cellStyle name="Cálculo 7 3 6 2 4" xfId="16183"/>
    <cellStyle name="Cálculo 7 3 6 2 4 2" xfId="45364"/>
    <cellStyle name="Cálculo 7 3 6 2 5" xfId="32478"/>
    <cellStyle name="Cálculo 7 3 6 3" xfId="4897"/>
    <cellStyle name="Cálculo 7 3 6 3 2" xfId="16287"/>
    <cellStyle name="Cálculo 7 3 6 3 2 2" xfId="45468"/>
    <cellStyle name="Cálculo 7 3 6 3 3" xfId="34080"/>
    <cellStyle name="Cálculo 7 3 6 4" xfId="7967"/>
    <cellStyle name="Cálculo 7 3 6 4 2" xfId="19143"/>
    <cellStyle name="Cálculo 7 3 6 4 2 2" xfId="48324"/>
    <cellStyle name="Cálculo 7 3 6 4 3" xfId="37150"/>
    <cellStyle name="Cálculo 7 3 6 5" xfId="11091"/>
    <cellStyle name="Cálculo 7 3 6 5 2" xfId="40272"/>
    <cellStyle name="Cálculo 7 3 6 6" xfId="30678"/>
    <cellStyle name="Cálculo 7 3 7" xfId="2395"/>
    <cellStyle name="Cálculo 7 3 7 2" xfId="5617"/>
    <cellStyle name="Cálculo 7 3 7 2 2" xfId="11795"/>
    <cellStyle name="Cálculo 7 3 7 2 2 2" xfId="40976"/>
    <cellStyle name="Cálculo 7 3 7 2 3" xfId="34800"/>
    <cellStyle name="Cálculo 7 3 7 3" xfId="7262"/>
    <cellStyle name="Cálculo 7 3 7 3 2" xfId="18722"/>
    <cellStyle name="Cálculo 7 3 7 3 2 2" xfId="47903"/>
    <cellStyle name="Cálculo 7 3 7 3 3" xfId="36445"/>
    <cellStyle name="Cálculo 7 3 7 4" xfId="16053"/>
    <cellStyle name="Cálculo 7 3 7 4 2" xfId="45234"/>
    <cellStyle name="Cálculo 7 3 7 5" xfId="31578"/>
    <cellStyle name="Cálculo 7 3 8" xfId="4177"/>
    <cellStyle name="Cálculo 7 3 8 2" xfId="12437"/>
    <cellStyle name="Cálculo 7 3 8 2 2" xfId="41618"/>
    <cellStyle name="Cálculo 7 3 8 3" xfId="33360"/>
    <cellStyle name="Cálculo 7 3 9" xfId="7978"/>
    <cellStyle name="Cálculo 7 3 9 2" xfId="19149"/>
    <cellStyle name="Cálculo 7 3 9 2 2" xfId="48330"/>
    <cellStyle name="Cálculo 7 3 9 3" xfId="37161"/>
    <cellStyle name="Cálculo 7 4" xfId="643"/>
    <cellStyle name="Cálculo 7 4 2" xfId="1635"/>
    <cellStyle name="Cálculo 7 4 2 2" xfId="3435"/>
    <cellStyle name="Cálculo 7 4 2 2 2" xfId="6450"/>
    <cellStyle name="Cálculo 7 4 2 2 2 2" xfId="18317"/>
    <cellStyle name="Cálculo 7 4 2 2 2 2 2" xfId="47498"/>
    <cellStyle name="Cálculo 7 4 2 2 2 3" xfId="35633"/>
    <cellStyle name="Cálculo 7 4 2 2 3" xfId="8845"/>
    <cellStyle name="Cálculo 7 4 2 2 3 2" xfId="19675"/>
    <cellStyle name="Cálculo 7 4 2 2 3 2 2" xfId="48856"/>
    <cellStyle name="Cálculo 7 4 2 2 3 3" xfId="38028"/>
    <cellStyle name="Cálculo 7 4 2 2 4" xfId="12603"/>
    <cellStyle name="Cálculo 7 4 2 2 4 2" xfId="41784"/>
    <cellStyle name="Cálculo 7 4 2 2 5" xfId="32618"/>
    <cellStyle name="Cálculo 7 4 2 3" xfId="5010"/>
    <cellStyle name="Cálculo 7 4 2 3 2" xfId="10898"/>
    <cellStyle name="Cálculo 7 4 2 3 2 2" xfId="40079"/>
    <cellStyle name="Cálculo 7 4 2 3 3" xfId="34193"/>
    <cellStyle name="Cálculo 7 4 2 4" xfId="9827"/>
    <cellStyle name="Cálculo 7 4 2 4 2" xfId="20264"/>
    <cellStyle name="Cálculo 7 4 2 4 2 2" xfId="49445"/>
    <cellStyle name="Cálculo 7 4 2 4 3" xfId="39010"/>
    <cellStyle name="Cálculo 7 4 2 5" xfId="15665"/>
    <cellStyle name="Cálculo 7 4 2 5 2" xfId="44846"/>
    <cellStyle name="Cálculo 7 4 2 6" xfId="30818"/>
    <cellStyle name="Cálculo 7 4 3" xfId="2535"/>
    <cellStyle name="Cálculo 7 4 3 2" xfId="5730"/>
    <cellStyle name="Cálculo 7 4 3 2 2" xfId="18061"/>
    <cellStyle name="Cálculo 7 4 3 2 2 2" xfId="47242"/>
    <cellStyle name="Cálculo 7 4 3 2 3" xfId="34913"/>
    <cellStyle name="Cálculo 7 4 3 3" xfId="9052"/>
    <cellStyle name="Cálculo 7 4 3 3 2" xfId="19796"/>
    <cellStyle name="Cálculo 7 4 3 3 2 2" xfId="48977"/>
    <cellStyle name="Cálculo 7 4 3 3 3" xfId="38235"/>
    <cellStyle name="Cálculo 7 4 3 4" xfId="11596"/>
    <cellStyle name="Cálculo 7 4 3 4 2" xfId="40777"/>
    <cellStyle name="Cálculo 7 4 3 5" xfId="31718"/>
    <cellStyle name="Cálculo 7 4 4" xfId="4290"/>
    <cellStyle name="Cálculo 7 4 4 2" xfId="15197"/>
    <cellStyle name="Cálculo 7 4 4 2 2" xfId="44378"/>
    <cellStyle name="Cálculo 7 4 4 3" xfId="33473"/>
    <cellStyle name="Cálculo 7 4 5" xfId="9646"/>
    <cellStyle name="Cálculo 7 4 5 2" xfId="20155"/>
    <cellStyle name="Cálculo 7 4 5 2 2" xfId="49336"/>
    <cellStyle name="Cálculo 7 4 5 3" xfId="38829"/>
    <cellStyle name="Cálculo 7 4 6" xfId="13185"/>
    <cellStyle name="Cálculo 7 4 6 2" xfId="42366"/>
    <cellStyle name="Cálculo 7 4 7" xfId="29846"/>
    <cellStyle name="Cálculo 7 5" xfId="632"/>
    <cellStyle name="Cálculo 7 5 2" xfId="1624"/>
    <cellStyle name="Cálculo 7 5 2 2" xfId="3424"/>
    <cellStyle name="Cálculo 7 5 2 2 2" xfId="6439"/>
    <cellStyle name="Cálculo 7 5 2 2 2 2" xfId="18306"/>
    <cellStyle name="Cálculo 7 5 2 2 2 2 2" xfId="47487"/>
    <cellStyle name="Cálculo 7 5 2 2 2 3" xfId="35622"/>
    <cellStyle name="Cálculo 7 5 2 2 3" xfId="8512"/>
    <cellStyle name="Cálculo 7 5 2 2 3 2" xfId="19479"/>
    <cellStyle name="Cálculo 7 5 2 2 3 2 2" xfId="48660"/>
    <cellStyle name="Cálculo 7 5 2 2 3 3" xfId="37695"/>
    <cellStyle name="Cálculo 7 5 2 2 4" xfId="15838"/>
    <cellStyle name="Cálculo 7 5 2 2 4 2" xfId="45019"/>
    <cellStyle name="Cálculo 7 5 2 2 5" xfId="32607"/>
    <cellStyle name="Cálculo 7 5 2 3" xfId="4999"/>
    <cellStyle name="Cálculo 7 5 2 3 2" xfId="16397"/>
    <cellStyle name="Cálculo 7 5 2 3 2 2" xfId="45578"/>
    <cellStyle name="Cálculo 7 5 2 3 3" xfId="34182"/>
    <cellStyle name="Cálculo 7 5 2 4" xfId="8051"/>
    <cellStyle name="Cálculo 7 5 2 4 2" xfId="19192"/>
    <cellStyle name="Cálculo 7 5 2 4 2 2" xfId="48373"/>
    <cellStyle name="Cálculo 7 5 2 4 3" xfId="37234"/>
    <cellStyle name="Cálculo 7 5 2 5" xfId="16029"/>
    <cellStyle name="Cálculo 7 5 2 5 2" xfId="45210"/>
    <cellStyle name="Cálculo 7 5 2 6" xfId="30807"/>
    <cellStyle name="Cálculo 7 5 3" xfId="2524"/>
    <cellStyle name="Cálculo 7 5 3 2" xfId="5719"/>
    <cellStyle name="Cálculo 7 5 3 2 2" xfId="14624"/>
    <cellStyle name="Cálculo 7 5 3 2 2 2" xfId="43805"/>
    <cellStyle name="Cálculo 7 5 3 2 3" xfId="34902"/>
    <cellStyle name="Cálculo 7 5 3 3" xfId="8816"/>
    <cellStyle name="Cálculo 7 5 3 3 2" xfId="19657"/>
    <cellStyle name="Cálculo 7 5 3 3 2 2" xfId="48838"/>
    <cellStyle name="Cálculo 7 5 3 3 3" xfId="37999"/>
    <cellStyle name="Cálculo 7 5 3 4" xfId="11468"/>
    <cellStyle name="Cálculo 7 5 3 4 2" xfId="40649"/>
    <cellStyle name="Cálculo 7 5 3 5" xfId="31707"/>
    <cellStyle name="Cálculo 7 5 4" xfId="4279"/>
    <cellStyle name="Cálculo 7 5 4 2" xfId="12878"/>
    <cellStyle name="Cálculo 7 5 4 2 2" xfId="42059"/>
    <cellStyle name="Cálculo 7 5 4 3" xfId="33462"/>
    <cellStyle name="Cálculo 7 5 5" xfId="7976"/>
    <cellStyle name="Cálculo 7 5 5 2" xfId="19148"/>
    <cellStyle name="Cálculo 7 5 5 2 2" xfId="48329"/>
    <cellStyle name="Cálculo 7 5 5 3" xfId="37159"/>
    <cellStyle name="Cálculo 7 5 6" xfId="12652"/>
    <cellStyle name="Cálculo 7 5 6 2" xfId="41833"/>
    <cellStyle name="Cálculo 7 5 7" xfId="29835"/>
    <cellStyle name="Cálculo 7 6" xfId="649"/>
    <cellStyle name="Cálculo 7 6 2" xfId="1641"/>
    <cellStyle name="Cálculo 7 6 2 2" xfId="3441"/>
    <cellStyle name="Cálculo 7 6 2 2 2" xfId="6456"/>
    <cellStyle name="Cálculo 7 6 2 2 2 2" xfId="18323"/>
    <cellStyle name="Cálculo 7 6 2 2 2 2 2" xfId="47504"/>
    <cellStyle name="Cálculo 7 6 2 2 2 3" xfId="35639"/>
    <cellStyle name="Cálculo 7 6 2 2 3" xfId="9358"/>
    <cellStyle name="Cálculo 7 6 2 2 3 2" xfId="19986"/>
    <cellStyle name="Cálculo 7 6 2 2 3 2 2" xfId="49167"/>
    <cellStyle name="Cálculo 7 6 2 2 3 3" xfId="38541"/>
    <cellStyle name="Cálculo 7 6 2 2 4" xfId="11966"/>
    <cellStyle name="Cálculo 7 6 2 2 4 2" xfId="41147"/>
    <cellStyle name="Cálculo 7 6 2 2 5" xfId="32624"/>
    <cellStyle name="Cálculo 7 6 2 3" xfId="5016"/>
    <cellStyle name="Cálculo 7 6 2 3 2" xfId="16833"/>
    <cellStyle name="Cálculo 7 6 2 3 2 2" xfId="46014"/>
    <cellStyle name="Cálculo 7 6 2 3 3" xfId="34199"/>
    <cellStyle name="Cálculo 7 6 2 4" xfId="9555"/>
    <cellStyle name="Cálculo 7 6 2 4 2" xfId="20101"/>
    <cellStyle name="Cálculo 7 6 2 4 2 2" xfId="49282"/>
    <cellStyle name="Cálculo 7 6 2 4 3" xfId="38738"/>
    <cellStyle name="Cálculo 7 6 2 5" xfId="13796"/>
    <cellStyle name="Cálculo 7 6 2 5 2" xfId="42977"/>
    <cellStyle name="Cálculo 7 6 2 6" xfId="30824"/>
    <cellStyle name="Cálculo 7 6 3" xfId="2541"/>
    <cellStyle name="Cálculo 7 6 3 2" xfId="5736"/>
    <cellStyle name="Cálculo 7 6 3 2 2" xfId="15195"/>
    <cellStyle name="Cálculo 7 6 3 2 2 2" xfId="44376"/>
    <cellStyle name="Cálculo 7 6 3 2 3" xfId="34919"/>
    <cellStyle name="Cálculo 7 6 3 3" xfId="8123"/>
    <cellStyle name="Cálculo 7 6 3 3 2" xfId="19237"/>
    <cellStyle name="Cálculo 7 6 3 3 2 2" xfId="48418"/>
    <cellStyle name="Cálculo 7 6 3 3 3" xfId="37306"/>
    <cellStyle name="Cálculo 7 6 3 4" xfId="12275"/>
    <cellStyle name="Cálculo 7 6 3 4 2" xfId="41456"/>
    <cellStyle name="Cálculo 7 6 3 5" xfId="31724"/>
    <cellStyle name="Cálculo 7 6 4" xfId="4296"/>
    <cellStyle name="Cálculo 7 6 4 2" xfId="16912"/>
    <cellStyle name="Cálculo 7 6 4 2 2" xfId="46093"/>
    <cellStyle name="Cálculo 7 6 4 3" xfId="33479"/>
    <cellStyle name="Cálculo 7 6 5" xfId="8760"/>
    <cellStyle name="Cálculo 7 6 5 2" xfId="19625"/>
    <cellStyle name="Cálculo 7 6 5 2 2" xfId="48806"/>
    <cellStyle name="Cálculo 7 6 5 3" xfId="37943"/>
    <cellStyle name="Cálculo 7 6 6" xfId="16473"/>
    <cellStyle name="Cálculo 7 6 6 2" xfId="45654"/>
    <cellStyle name="Cálculo 7 6 7" xfId="29852"/>
    <cellStyle name="Cálculo 7 7" xfId="623"/>
    <cellStyle name="Cálculo 7 7 2" xfId="1615"/>
    <cellStyle name="Cálculo 7 7 2 2" xfId="3415"/>
    <cellStyle name="Cálculo 7 7 2 2 2" xfId="6430"/>
    <cellStyle name="Cálculo 7 7 2 2 2 2" xfId="18297"/>
    <cellStyle name="Cálculo 7 7 2 2 2 2 2" xfId="47478"/>
    <cellStyle name="Cálculo 7 7 2 2 2 3" xfId="35613"/>
    <cellStyle name="Cálculo 7 7 2 2 3" xfId="10304"/>
    <cellStyle name="Cálculo 7 7 2 2 3 2" xfId="20552"/>
    <cellStyle name="Cálculo 7 7 2 2 3 2 2" xfId="49733"/>
    <cellStyle name="Cálculo 7 7 2 2 3 3" xfId="39487"/>
    <cellStyle name="Cálculo 7 7 2 2 4" xfId="16691"/>
    <cellStyle name="Cálculo 7 7 2 2 4 2" xfId="45872"/>
    <cellStyle name="Cálculo 7 7 2 2 5" xfId="32598"/>
    <cellStyle name="Cálculo 7 7 2 3" xfId="4990"/>
    <cellStyle name="Cálculo 7 7 2 3 2" xfId="14643"/>
    <cellStyle name="Cálculo 7 7 2 3 2 2" xfId="43824"/>
    <cellStyle name="Cálculo 7 7 2 3 3" xfId="34173"/>
    <cellStyle name="Cálculo 7 7 2 4" xfId="9865"/>
    <cellStyle name="Cálculo 7 7 2 4 2" xfId="20289"/>
    <cellStyle name="Cálculo 7 7 2 4 2 2" xfId="49470"/>
    <cellStyle name="Cálculo 7 7 2 4 3" xfId="39048"/>
    <cellStyle name="Cálculo 7 7 2 5" xfId="11634"/>
    <cellStyle name="Cálculo 7 7 2 5 2" xfId="40815"/>
    <cellStyle name="Cálculo 7 7 2 6" xfId="30798"/>
    <cellStyle name="Cálculo 7 7 3" xfId="2515"/>
    <cellStyle name="Cálculo 7 7 3 2" xfId="5710"/>
    <cellStyle name="Cálculo 7 7 3 2 2" xfId="14078"/>
    <cellStyle name="Cálculo 7 7 3 2 2 2" xfId="43259"/>
    <cellStyle name="Cálculo 7 7 3 2 3" xfId="34893"/>
    <cellStyle name="Cálculo 7 7 3 3" xfId="9090"/>
    <cellStyle name="Cálculo 7 7 3 3 2" xfId="19821"/>
    <cellStyle name="Cálculo 7 7 3 3 2 2" xfId="49002"/>
    <cellStyle name="Cálculo 7 7 3 3 3" xfId="38273"/>
    <cellStyle name="Cálculo 7 7 3 4" xfId="10663"/>
    <cellStyle name="Cálculo 7 7 3 4 2" xfId="39844"/>
    <cellStyle name="Cálculo 7 7 3 5" xfId="31698"/>
    <cellStyle name="Cálculo 7 7 4" xfId="4270"/>
    <cellStyle name="Cálculo 7 7 4 2" xfId="17048"/>
    <cellStyle name="Cálculo 7 7 4 2 2" xfId="46229"/>
    <cellStyle name="Cálculo 7 7 4 3" xfId="33453"/>
    <cellStyle name="Cálculo 7 7 5" xfId="8995"/>
    <cellStyle name="Cálculo 7 7 5 2" xfId="19766"/>
    <cellStyle name="Cálculo 7 7 5 2 2" xfId="48947"/>
    <cellStyle name="Cálculo 7 7 5 3" xfId="38178"/>
    <cellStyle name="Cálculo 7 7 6" xfId="16990"/>
    <cellStyle name="Cálculo 7 7 6 2" xfId="46171"/>
    <cellStyle name="Cálculo 7 7 7" xfId="29826"/>
    <cellStyle name="Cálculo 7 8" xfId="1405"/>
    <cellStyle name="Cálculo 7 8 2" xfId="3205"/>
    <cellStyle name="Cálculo 7 8 2 2" xfId="6265"/>
    <cellStyle name="Cálculo 7 8 2 2 2" xfId="18211"/>
    <cellStyle name="Cálculo 7 8 2 2 2 2" xfId="47392"/>
    <cellStyle name="Cálculo 7 8 2 2 3" xfId="35448"/>
    <cellStyle name="Cálculo 7 8 2 3" xfId="7164"/>
    <cellStyle name="Cálculo 7 8 2 3 2" xfId="18665"/>
    <cellStyle name="Cálculo 7 8 2 3 2 2" xfId="47846"/>
    <cellStyle name="Cálculo 7 8 2 3 3" xfId="36347"/>
    <cellStyle name="Cálculo 7 8 2 4" xfId="13728"/>
    <cellStyle name="Cálculo 7 8 2 4 2" xfId="42909"/>
    <cellStyle name="Cálculo 7 8 2 5" xfId="32388"/>
    <cellStyle name="Cálculo 7 8 3" xfId="4825"/>
    <cellStyle name="Cálculo 7 8 3 2" xfId="14346"/>
    <cellStyle name="Cálculo 7 8 3 2 2" xfId="43527"/>
    <cellStyle name="Cálculo 7 8 3 3" xfId="34008"/>
    <cellStyle name="Cálculo 7 8 4" xfId="10523"/>
    <cellStyle name="Cálculo 7 8 4 2" xfId="20692"/>
    <cellStyle name="Cálculo 7 8 4 2 2" xfId="49873"/>
    <cellStyle name="Cálculo 7 8 4 3" xfId="39706"/>
    <cellStyle name="Cálculo 7 8 5" xfId="17888"/>
    <cellStyle name="Cálculo 7 8 5 2" xfId="47069"/>
    <cellStyle name="Cálculo 7 8 6" xfId="30588"/>
    <cellStyle name="Cálculo 7 9" xfId="2305"/>
    <cellStyle name="Cálculo 7 9 2" xfId="5545"/>
    <cellStyle name="Cálculo 7 9 2 2" xfId="13205"/>
    <cellStyle name="Cálculo 7 9 2 2 2" xfId="42386"/>
    <cellStyle name="Cálculo 7 9 2 3" xfId="34728"/>
    <cellStyle name="Cálculo 7 9 3" xfId="7618"/>
    <cellStyle name="Cálculo 7 9 3 2" xfId="18930"/>
    <cellStyle name="Cálculo 7 9 3 2 2" xfId="48111"/>
    <cellStyle name="Cálculo 7 9 3 3" xfId="36801"/>
    <cellStyle name="Cálculo 7 9 4" xfId="17199"/>
    <cellStyle name="Cálculo 7 9 4 2" xfId="46380"/>
    <cellStyle name="Cálculo 7 9 5" xfId="31488"/>
    <cellStyle name="Cálculo 8" xfId="181"/>
    <cellStyle name="Cálculo 8 10" xfId="4106"/>
    <cellStyle name="Cálculo 8 10 2" xfId="12571"/>
    <cellStyle name="Cálculo 8 10 2 2" xfId="41752"/>
    <cellStyle name="Cálculo 8 10 3" xfId="33289"/>
    <cellStyle name="Cálculo 8 11" xfId="16019"/>
    <cellStyle name="Cálculo 8 11 2" xfId="45200"/>
    <cellStyle name="Cálculo 8 12" xfId="29566"/>
    <cellStyle name="Cálculo 8 2" xfId="428"/>
    <cellStyle name="Cálculo 8 2 10" xfId="8838"/>
    <cellStyle name="Cálculo 8 2 10 2" xfId="19671"/>
    <cellStyle name="Cálculo 8 2 10 2 2" xfId="48852"/>
    <cellStyle name="Cálculo 8 2 10 3" xfId="38021"/>
    <cellStyle name="Cálculo 8 2 11" xfId="16432"/>
    <cellStyle name="Cálculo 8 2 11 2" xfId="45613"/>
    <cellStyle name="Cálculo 8 2 12" xfId="58771"/>
    <cellStyle name="Cálculo 8 2 13" xfId="29634"/>
    <cellStyle name="Cálculo 8 2 2" xfId="518"/>
    <cellStyle name="Cálculo 8 2 2 10" xfId="17988"/>
    <cellStyle name="Cálculo 8 2 2 10 2" xfId="47169"/>
    <cellStyle name="Cálculo 8 2 2 11" xfId="29724"/>
    <cellStyle name="Cálculo 8 2 2 2" xfId="871"/>
    <cellStyle name="Cálculo 8 2 2 2 2" xfId="1809"/>
    <cellStyle name="Cálculo 8 2 2 2 2 2" xfId="3609"/>
    <cellStyle name="Cálculo 8 2 2 2 2 2 2" xfId="6588"/>
    <cellStyle name="Cálculo 8 2 2 2 2 2 2 2" xfId="18392"/>
    <cellStyle name="Cálculo 8 2 2 2 2 2 2 2 2" xfId="47573"/>
    <cellStyle name="Cálculo 8 2 2 2 2 2 2 3" xfId="35771"/>
    <cellStyle name="Cálculo 8 2 2 2 2 2 3" xfId="9768"/>
    <cellStyle name="Cálculo 8 2 2 2 2 2 3 2" xfId="20231"/>
    <cellStyle name="Cálculo 8 2 2 2 2 2 3 2 2" xfId="49412"/>
    <cellStyle name="Cálculo 8 2 2 2 2 2 3 3" xfId="38951"/>
    <cellStyle name="Cálculo 8 2 2 2 2 2 4" xfId="12006"/>
    <cellStyle name="Cálculo 8 2 2 2 2 2 4 2" xfId="41187"/>
    <cellStyle name="Cálculo 8 2 2 2 2 2 5" xfId="32792"/>
    <cellStyle name="Cálculo 8 2 2 2 2 3" xfId="5148"/>
    <cellStyle name="Cálculo 8 2 2 2 2 3 2" xfId="16934"/>
    <cellStyle name="Cálculo 8 2 2 2 2 3 2 2" xfId="46115"/>
    <cellStyle name="Cálculo 8 2 2 2 2 3 3" xfId="34331"/>
    <cellStyle name="Cálculo 8 2 2 2 2 4" xfId="9299"/>
    <cellStyle name="Cálculo 8 2 2 2 2 4 2" xfId="19952"/>
    <cellStyle name="Cálculo 8 2 2 2 2 4 2 2" xfId="49133"/>
    <cellStyle name="Cálculo 8 2 2 2 2 4 3" xfId="38482"/>
    <cellStyle name="Cálculo 8 2 2 2 2 5" xfId="13493"/>
    <cellStyle name="Cálculo 8 2 2 2 2 5 2" xfId="42674"/>
    <cellStyle name="Cálculo 8 2 2 2 2 6" xfId="30992"/>
    <cellStyle name="Cálculo 8 2 2 2 3" xfId="2709"/>
    <cellStyle name="Cálculo 8 2 2 2 3 2" xfId="5868"/>
    <cellStyle name="Cálculo 8 2 2 2 3 2 2" xfId="11676"/>
    <cellStyle name="Cálculo 8 2 2 2 3 2 2 2" xfId="40857"/>
    <cellStyle name="Cálculo 8 2 2 2 3 2 3" xfId="35051"/>
    <cellStyle name="Cálculo 8 2 2 2 3 3" xfId="7877"/>
    <cellStyle name="Cálculo 8 2 2 2 3 3 2" xfId="19090"/>
    <cellStyle name="Cálculo 8 2 2 2 3 3 2 2" xfId="48271"/>
    <cellStyle name="Cálculo 8 2 2 2 3 3 3" xfId="37060"/>
    <cellStyle name="Cálculo 8 2 2 2 3 4" xfId="15638"/>
    <cellStyle name="Cálculo 8 2 2 2 3 4 2" xfId="44819"/>
    <cellStyle name="Cálculo 8 2 2 2 3 5" xfId="31892"/>
    <cellStyle name="Cálculo 8 2 2 2 4" xfId="4428"/>
    <cellStyle name="Cálculo 8 2 2 2 4 2" xfId="12316"/>
    <cellStyle name="Cálculo 8 2 2 2 4 2 2" xfId="41497"/>
    <cellStyle name="Cálculo 8 2 2 2 4 3" xfId="33611"/>
    <cellStyle name="Cálculo 8 2 2 2 5" xfId="10037"/>
    <cellStyle name="Cálculo 8 2 2 2 5 2" xfId="20393"/>
    <cellStyle name="Cálculo 8 2 2 2 5 2 2" xfId="49574"/>
    <cellStyle name="Cálculo 8 2 2 2 5 3" xfId="39220"/>
    <cellStyle name="Cálculo 8 2 2 2 6" xfId="12416"/>
    <cellStyle name="Cálculo 8 2 2 2 6 2" xfId="41597"/>
    <cellStyle name="Cálculo 8 2 2 2 7" xfId="30068"/>
    <cellStyle name="Cálculo 8 2 2 3" xfId="1063"/>
    <cellStyle name="Cálculo 8 2 2 3 2" xfId="1973"/>
    <cellStyle name="Cálculo 8 2 2 3 2 2" xfId="3773"/>
    <cellStyle name="Cálculo 8 2 2 3 2 2 2" xfId="6716"/>
    <cellStyle name="Cálculo 8 2 2 3 2 2 2 2" xfId="18446"/>
    <cellStyle name="Cálculo 8 2 2 3 2 2 2 2 2" xfId="47627"/>
    <cellStyle name="Cálculo 8 2 2 3 2 2 2 3" xfId="35899"/>
    <cellStyle name="Cálculo 8 2 2 3 2 2 3" xfId="8447"/>
    <cellStyle name="Cálculo 8 2 2 3 2 2 3 2" xfId="19441"/>
    <cellStyle name="Cálculo 8 2 2 3 2 2 3 2 2" xfId="48622"/>
    <cellStyle name="Cálculo 8 2 2 3 2 2 3 3" xfId="37630"/>
    <cellStyle name="Cálculo 8 2 2 3 2 2 4" xfId="10626"/>
    <cellStyle name="Cálculo 8 2 2 3 2 2 4 2" xfId="39807"/>
    <cellStyle name="Cálculo 8 2 2 3 2 2 5" xfId="32956"/>
    <cellStyle name="Cálculo 8 2 2 3 2 3" xfId="5276"/>
    <cellStyle name="Cálculo 8 2 2 3 2 3 2" xfId="16400"/>
    <cellStyle name="Cálculo 8 2 2 3 2 3 2 2" xfId="45581"/>
    <cellStyle name="Cálculo 8 2 2 3 2 3 3" xfId="34459"/>
    <cellStyle name="Cálculo 8 2 2 3 2 4" xfId="9133"/>
    <cellStyle name="Cálculo 8 2 2 3 2 4 2" xfId="19848"/>
    <cellStyle name="Cálculo 8 2 2 3 2 4 2 2" xfId="49029"/>
    <cellStyle name="Cálculo 8 2 2 3 2 4 3" xfId="38316"/>
    <cellStyle name="Cálculo 8 2 2 3 2 5" xfId="11025"/>
    <cellStyle name="Cálculo 8 2 2 3 2 5 2" xfId="40206"/>
    <cellStyle name="Cálculo 8 2 2 3 2 6" xfId="31156"/>
    <cellStyle name="Cálculo 8 2 2 3 3" xfId="2873"/>
    <cellStyle name="Cálculo 8 2 2 3 3 2" xfId="5996"/>
    <cellStyle name="Cálculo 8 2 2 3 3 2 2" xfId="10585"/>
    <cellStyle name="Cálculo 8 2 2 3 3 2 2 2" xfId="39766"/>
    <cellStyle name="Cálculo 8 2 2 3 3 2 3" xfId="35179"/>
    <cellStyle name="Cálculo 8 2 2 3 3 3" xfId="7709"/>
    <cellStyle name="Cálculo 8 2 2 3 3 3 2" xfId="18984"/>
    <cellStyle name="Cálculo 8 2 2 3 3 3 2 2" xfId="48165"/>
    <cellStyle name="Cálculo 8 2 2 3 3 3 3" xfId="36892"/>
    <cellStyle name="Cálculo 8 2 2 3 3 4" xfId="16084"/>
    <cellStyle name="Cálculo 8 2 2 3 3 4 2" xfId="45265"/>
    <cellStyle name="Cálculo 8 2 2 3 3 5" xfId="32056"/>
    <cellStyle name="Cálculo 8 2 2 3 4" xfId="4556"/>
    <cellStyle name="Cálculo 8 2 2 3 4 2" xfId="10909"/>
    <cellStyle name="Cálculo 8 2 2 3 4 2 2" xfId="40090"/>
    <cellStyle name="Cálculo 8 2 2 3 4 3" xfId="33739"/>
    <cellStyle name="Cálculo 8 2 2 3 5" xfId="9834"/>
    <cellStyle name="Cálculo 8 2 2 3 5 2" xfId="20268"/>
    <cellStyle name="Cálculo 8 2 2 3 5 2 2" xfId="49449"/>
    <cellStyle name="Cálculo 8 2 2 3 5 3" xfId="39017"/>
    <cellStyle name="Cálculo 8 2 2 3 6" xfId="15854"/>
    <cellStyle name="Cálculo 8 2 2 3 6 2" xfId="45035"/>
    <cellStyle name="Cálculo 8 2 2 3 7" xfId="30253"/>
    <cellStyle name="Cálculo 8 2 2 4" xfId="1213"/>
    <cellStyle name="Cálculo 8 2 2 4 2" xfId="2117"/>
    <cellStyle name="Cálculo 8 2 2 4 2 2" xfId="3917"/>
    <cellStyle name="Cálculo 8 2 2 4 2 2 2" xfId="6833"/>
    <cellStyle name="Cálculo 8 2 2 4 2 2 2 2" xfId="18500"/>
    <cellStyle name="Cálculo 8 2 2 4 2 2 2 2 2" xfId="47681"/>
    <cellStyle name="Cálculo 8 2 2 4 2 2 2 3" xfId="36016"/>
    <cellStyle name="Cálculo 8 2 2 4 2 2 3" xfId="9491"/>
    <cellStyle name="Cálculo 8 2 2 4 2 2 3 2" xfId="20061"/>
    <cellStyle name="Cálculo 8 2 2 4 2 2 3 2 2" xfId="49242"/>
    <cellStyle name="Cálculo 8 2 2 4 2 2 3 3" xfId="38674"/>
    <cellStyle name="Cálculo 8 2 2 4 2 2 4" xfId="15700"/>
    <cellStyle name="Cálculo 8 2 2 4 2 2 4 2" xfId="44881"/>
    <cellStyle name="Cálculo 8 2 2 4 2 2 5" xfId="33100"/>
    <cellStyle name="Cálculo 8 2 2 4 2 3" xfId="5393"/>
    <cellStyle name="Cálculo 8 2 2 4 2 3 2" xfId="13457"/>
    <cellStyle name="Cálculo 8 2 2 4 2 3 2 2" xfId="42638"/>
    <cellStyle name="Cálculo 8 2 2 4 2 3 3" xfId="34576"/>
    <cellStyle name="Cálculo 8 2 2 4 2 4" xfId="9668"/>
    <cellStyle name="Cálculo 8 2 2 4 2 4 2" xfId="20170"/>
    <cellStyle name="Cálculo 8 2 2 4 2 4 2 2" xfId="49351"/>
    <cellStyle name="Cálculo 8 2 2 4 2 4 3" xfId="38851"/>
    <cellStyle name="Cálculo 8 2 2 4 2 5" xfId="11409"/>
    <cellStyle name="Cálculo 8 2 2 4 2 5 2" xfId="40590"/>
    <cellStyle name="Cálculo 8 2 2 4 2 6" xfId="31300"/>
    <cellStyle name="Cálculo 8 2 2 4 3" xfId="3017"/>
    <cellStyle name="Cálculo 8 2 2 4 3 2" xfId="6113"/>
    <cellStyle name="Cálculo 8 2 2 4 3 2 2" xfId="18140"/>
    <cellStyle name="Cálculo 8 2 2 4 3 2 2 2" xfId="47321"/>
    <cellStyle name="Cálculo 8 2 2 4 3 2 3" xfId="35296"/>
    <cellStyle name="Cálculo 8 2 2 4 3 3" xfId="8274"/>
    <cellStyle name="Cálculo 8 2 2 4 3 3 2" xfId="19328"/>
    <cellStyle name="Cálculo 8 2 2 4 3 3 2 2" xfId="48509"/>
    <cellStyle name="Cálculo 8 2 2 4 3 3 3" xfId="37457"/>
    <cellStyle name="Cálculo 8 2 2 4 3 4" xfId="16468"/>
    <cellStyle name="Cálculo 8 2 2 4 3 4 2" xfId="45649"/>
    <cellStyle name="Cálculo 8 2 2 4 3 5" xfId="32200"/>
    <cellStyle name="Cálculo 8 2 2 4 4" xfId="4673"/>
    <cellStyle name="Cálculo 8 2 2 4 4 2" xfId="11679"/>
    <cellStyle name="Cálculo 8 2 2 4 4 2 2" xfId="40860"/>
    <cellStyle name="Cálculo 8 2 2 4 4 3" xfId="33856"/>
    <cellStyle name="Cálculo 8 2 2 4 5" xfId="9482"/>
    <cellStyle name="Cálculo 8 2 2 4 5 2" xfId="20056"/>
    <cellStyle name="Cálculo 8 2 2 4 5 2 2" xfId="49237"/>
    <cellStyle name="Cálculo 8 2 2 4 5 3" xfId="38665"/>
    <cellStyle name="Cálculo 8 2 2 4 6" xfId="12279"/>
    <cellStyle name="Cálculo 8 2 2 4 6 2" xfId="41460"/>
    <cellStyle name="Cálculo 8 2 2 4 7" xfId="30400"/>
    <cellStyle name="Cálculo 8 2 2 5" xfId="1359"/>
    <cellStyle name="Cálculo 8 2 2 5 2" xfId="2261"/>
    <cellStyle name="Cálculo 8 2 2 5 2 2" xfId="4061"/>
    <cellStyle name="Cálculo 8 2 2 5 2 2 2" xfId="6950"/>
    <cellStyle name="Cálculo 8 2 2 5 2 2 2 2" xfId="18554"/>
    <cellStyle name="Cálculo 8 2 2 5 2 2 2 2 2" xfId="47735"/>
    <cellStyle name="Cálculo 8 2 2 5 2 2 2 3" xfId="36133"/>
    <cellStyle name="Cálculo 8 2 2 5 2 2 3" xfId="7019"/>
    <cellStyle name="Cálculo 8 2 2 5 2 2 3 2" xfId="18586"/>
    <cellStyle name="Cálculo 8 2 2 5 2 2 3 2 2" xfId="47767"/>
    <cellStyle name="Cálculo 8 2 2 5 2 2 3 3" xfId="36202"/>
    <cellStyle name="Cálculo 8 2 2 5 2 2 4" xfId="14061"/>
    <cellStyle name="Cálculo 8 2 2 5 2 2 4 2" xfId="43242"/>
    <cellStyle name="Cálculo 8 2 2 5 2 2 5" xfId="33244"/>
    <cellStyle name="Cálculo 8 2 2 5 2 3" xfId="5510"/>
    <cellStyle name="Cálculo 8 2 2 5 2 3 2" xfId="12888"/>
    <cellStyle name="Cálculo 8 2 2 5 2 3 2 2" xfId="42069"/>
    <cellStyle name="Cálculo 8 2 2 5 2 3 3" xfId="34693"/>
    <cellStyle name="Cálculo 8 2 2 5 2 4" xfId="7668"/>
    <cellStyle name="Cálculo 8 2 2 5 2 4 2" xfId="18960"/>
    <cellStyle name="Cálculo 8 2 2 5 2 4 2 2" xfId="48141"/>
    <cellStyle name="Cálculo 8 2 2 5 2 4 3" xfId="36851"/>
    <cellStyle name="Cálculo 8 2 2 5 2 5" xfId="13629"/>
    <cellStyle name="Cálculo 8 2 2 5 2 5 2" xfId="42810"/>
    <cellStyle name="Cálculo 8 2 2 5 2 6" xfId="31444"/>
    <cellStyle name="Cálculo 8 2 2 5 3" xfId="3161"/>
    <cellStyle name="Cálculo 8 2 2 5 3 2" xfId="6230"/>
    <cellStyle name="Cálculo 8 2 2 5 3 2 2" xfId="18194"/>
    <cellStyle name="Cálculo 8 2 2 5 3 2 2 2" xfId="47375"/>
    <cellStyle name="Cálculo 8 2 2 5 3 2 3" xfId="35413"/>
    <cellStyle name="Cálculo 8 2 2 5 3 3" xfId="7208"/>
    <cellStyle name="Cálculo 8 2 2 5 3 3 2" xfId="18691"/>
    <cellStyle name="Cálculo 8 2 2 5 3 3 2 2" xfId="47872"/>
    <cellStyle name="Cálculo 8 2 2 5 3 3 3" xfId="36391"/>
    <cellStyle name="Cálculo 8 2 2 5 3 4" xfId="12318"/>
    <cellStyle name="Cálculo 8 2 2 5 3 4 2" xfId="41499"/>
    <cellStyle name="Cálculo 8 2 2 5 3 5" xfId="32344"/>
    <cellStyle name="Cálculo 8 2 2 5 4" xfId="4790"/>
    <cellStyle name="Cálculo 8 2 2 5 4 2" xfId="14067"/>
    <cellStyle name="Cálculo 8 2 2 5 4 2 2" xfId="43248"/>
    <cellStyle name="Cálculo 8 2 2 5 4 3" xfId="33973"/>
    <cellStyle name="Cálculo 8 2 2 5 5" xfId="10013"/>
    <cellStyle name="Cálculo 8 2 2 5 5 2" xfId="20382"/>
    <cellStyle name="Cálculo 8 2 2 5 5 2 2" xfId="49563"/>
    <cellStyle name="Cálculo 8 2 2 5 5 3" xfId="39196"/>
    <cellStyle name="Cálculo 8 2 2 5 6" xfId="12929"/>
    <cellStyle name="Cálculo 8 2 2 5 6 2" xfId="42110"/>
    <cellStyle name="Cálculo 8 2 2 5 7" xfId="30544"/>
    <cellStyle name="Cálculo 8 2 2 6" xfId="1541"/>
    <cellStyle name="Cálculo 8 2 2 6 2" xfId="3341"/>
    <cellStyle name="Cálculo 8 2 2 6 2 2" xfId="6374"/>
    <cellStyle name="Cálculo 8 2 2 6 2 2 2" xfId="18266"/>
    <cellStyle name="Cálculo 8 2 2 6 2 2 2 2" xfId="47447"/>
    <cellStyle name="Cálculo 8 2 2 6 2 2 3" xfId="35557"/>
    <cellStyle name="Cálculo 8 2 2 6 2 3" xfId="7870"/>
    <cellStyle name="Cálculo 8 2 2 6 2 3 2" xfId="19084"/>
    <cellStyle name="Cálculo 8 2 2 6 2 3 2 2" xfId="48265"/>
    <cellStyle name="Cálculo 8 2 2 6 2 3 3" xfId="37053"/>
    <cellStyle name="Cálculo 8 2 2 6 2 4" xfId="12353"/>
    <cellStyle name="Cálculo 8 2 2 6 2 4 2" xfId="41534"/>
    <cellStyle name="Cálculo 8 2 2 6 2 5" xfId="32524"/>
    <cellStyle name="Cálculo 8 2 2 6 3" xfId="4934"/>
    <cellStyle name="Cálculo 8 2 2 6 3 2" xfId="13341"/>
    <cellStyle name="Cálculo 8 2 2 6 3 2 2" xfId="42522"/>
    <cellStyle name="Cálculo 8 2 2 6 3 3" xfId="34117"/>
    <cellStyle name="Cálculo 8 2 2 6 4" xfId="9594"/>
    <cellStyle name="Cálculo 8 2 2 6 4 2" xfId="20126"/>
    <cellStyle name="Cálculo 8 2 2 6 4 2 2" xfId="49307"/>
    <cellStyle name="Cálculo 8 2 2 6 4 3" xfId="38777"/>
    <cellStyle name="Cálculo 8 2 2 6 5" xfId="10684"/>
    <cellStyle name="Cálculo 8 2 2 6 5 2" xfId="39865"/>
    <cellStyle name="Cálculo 8 2 2 6 6" xfId="30724"/>
    <cellStyle name="Cálculo 8 2 2 7" xfId="2441"/>
    <cellStyle name="Cálculo 8 2 2 7 2" xfId="5654"/>
    <cellStyle name="Cálculo 8 2 2 7 2 2" xfId="17014"/>
    <cellStyle name="Cálculo 8 2 2 7 2 2 2" xfId="46195"/>
    <cellStyle name="Cálculo 8 2 2 7 2 3" xfId="34837"/>
    <cellStyle name="Cálculo 8 2 2 7 3" xfId="8163"/>
    <cellStyle name="Cálculo 8 2 2 7 3 2" xfId="19262"/>
    <cellStyle name="Cálculo 8 2 2 7 3 2 2" xfId="48443"/>
    <cellStyle name="Cálculo 8 2 2 7 3 3" xfId="37346"/>
    <cellStyle name="Cálculo 8 2 2 7 4" xfId="13571"/>
    <cellStyle name="Cálculo 8 2 2 7 4 2" xfId="42752"/>
    <cellStyle name="Cálculo 8 2 2 7 5" xfId="31624"/>
    <cellStyle name="Cálculo 8 2 2 8" xfId="4214"/>
    <cellStyle name="Cálculo 8 2 2 8 2" xfId="14468"/>
    <cellStyle name="Cálculo 8 2 2 8 2 2" xfId="43649"/>
    <cellStyle name="Cálculo 8 2 2 8 3" xfId="33397"/>
    <cellStyle name="Cálculo 8 2 2 9" xfId="7444"/>
    <cellStyle name="Cálculo 8 2 2 9 2" xfId="18821"/>
    <cellStyle name="Cálculo 8 2 2 9 2 2" xfId="48002"/>
    <cellStyle name="Cálculo 8 2 2 9 3" xfId="36627"/>
    <cellStyle name="Cálculo 8 2 3" xfId="781"/>
    <cellStyle name="Cálculo 8 2 3 2" xfId="1719"/>
    <cellStyle name="Cálculo 8 2 3 2 2" xfId="3519"/>
    <cellStyle name="Cálculo 8 2 3 2 2 2" xfId="6516"/>
    <cellStyle name="Cálculo 8 2 3 2 2 2 2" xfId="18356"/>
    <cellStyle name="Cálculo 8 2 3 2 2 2 2 2" xfId="47537"/>
    <cellStyle name="Cálculo 8 2 3 2 2 2 3" xfId="35699"/>
    <cellStyle name="Cálculo 8 2 3 2 2 3" xfId="8727"/>
    <cellStyle name="Cálculo 8 2 3 2 2 3 2" xfId="19604"/>
    <cellStyle name="Cálculo 8 2 3 2 2 3 2 2" xfId="48785"/>
    <cellStyle name="Cálculo 8 2 3 2 2 3 3" xfId="37910"/>
    <cellStyle name="Cálculo 8 2 3 2 2 4" xfId="16234"/>
    <cellStyle name="Cálculo 8 2 3 2 2 4 2" xfId="45415"/>
    <cellStyle name="Cálculo 8 2 3 2 2 5" xfId="32702"/>
    <cellStyle name="Cálculo 8 2 3 2 3" xfId="5076"/>
    <cellStyle name="Cálculo 8 2 3 2 3 2" xfId="14255"/>
    <cellStyle name="Cálculo 8 2 3 2 3 2 2" xfId="43436"/>
    <cellStyle name="Cálculo 8 2 3 2 3 3" xfId="34259"/>
    <cellStyle name="Cálculo 8 2 3 2 4" xfId="8905"/>
    <cellStyle name="Cálculo 8 2 3 2 4 2" xfId="19710"/>
    <cellStyle name="Cálculo 8 2 3 2 4 2 2" xfId="48891"/>
    <cellStyle name="Cálculo 8 2 3 2 4 3" xfId="38088"/>
    <cellStyle name="Cálculo 8 2 3 2 5" xfId="15355"/>
    <cellStyle name="Cálculo 8 2 3 2 5 2" xfId="44536"/>
    <cellStyle name="Cálculo 8 2 3 2 6" xfId="30902"/>
    <cellStyle name="Cálculo 8 2 3 3" xfId="2619"/>
    <cellStyle name="Cálculo 8 2 3 3 2" xfId="5796"/>
    <cellStyle name="Cálculo 8 2 3 3 2 2" xfId="13105"/>
    <cellStyle name="Cálculo 8 2 3 3 2 2 2" xfId="42286"/>
    <cellStyle name="Cálculo 8 2 3 3 2 3" xfId="34979"/>
    <cellStyle name="Cálculo 8 2 3 3 3" xfId="10432"/>
    <cellStyle name="Cálculo 8 2 3 3 3 2" xfId="20634"/>
    <cellStyle name="Cálculo 8 2 3 3 3 2 2" xfId="49815"/>
    <cellStyle name="Cálculo 8 2 3 3 3 3" xfId="39615"/>
    <cellStyle name="Cálculo 8 2 3 3 4" xfId="11200"/>
    <cellStyle name="Cálculo 8 2 3 3 4 2" xfId="40381"/>
    <cellStyle name="Cálculo 8 2 3 3 5" xfId="31802"/>
    <cellStyle name="Cálculo 8 2 3 4" xfId="4356"/>
    <cellStyle name="Cálculo 8 2 3 4 2" xfId="14821"/>
    <cellStyle name="Cálculo 8 2 3 4 2 2" xfId="44002"/>
    <cellStyle name="Cálculo 8 2 3 4 3" xfId="33539"/>
    <cellStyle name="Cálculo 8 2 3 5" xfId="7328"/>
    <cellStyle name="Cálculo 8 2 3 5 2" xfId="18758"/>
    <cellStyle name="Cálculo 8 2 3 5 2 2" xfId="47939"/>
    <cellStyle name="Cálculo 8 2 3 5 3" xfId="36511"/>
    <cellStyle name="Cálculo 8 2 3 6" xfId="10789"/>
    <cellStyle name="Cálculo 8 2 3 6 2" xfId="39970"/>
    <cellStyle name="Cálculo 8 2 3 7" xfId="29978"/>
    <cellStyle name="Cálculo 8 2 4" xfId="973"/>
    <cellStyle name="Cálculo 8 2 4 2" xfId="1883"/>
    <cellStyle name="Cálculo 8 2 4 2 2" xfId="3683"/>
    <cellStyle name="Cálculo 8 2 4 2 2 2" xfId="6644"/>
    <cellStyle name="Cálculo 8 2 4 2 2 2 2" xfId="18410"/>
    <cellStyle name="Cálculo 8 2 4 2 2 2 2 2" xfId="47591"/>
    <cellStyle name="Cálculo 8 2 4 2 2 2 3" xfId="35827"/>
    <cellStyle name="Cálculo 8 2 4 2 2 3" xfId="8585"/>
    <cellStyle name="Cálculo 8 2 4 2 2 3 2" xfId="19526"/>
    <cellStyle name="Cálculo 8 2 4 2 2 3 2 2" xfId="48707"/>
    <cellStyle name="Cálculo 8 2 4 2 2 3 3" xfId="37768"/>
    <cellStyle name="Cálculo 8 2 4 2 2 4" xfId="13726"/>
    <cellStyle name="Cálculo 8 2 4 2 2 4 2" xfId="42907"/>
    <cellStyle name="Cálculo 8 2 4 2 2 5" xfId="32866"/>
    <cellStyle name="Cálculo 8 2 4 2 3" xfId="5204"/>
    <cellStyle name="Cálculo 8 2 4 2 3 2" xfId="12379"/>
    <cellStyle name="Cálculo 8 2 4 2 3 2 2" xfId="41560"/>
    <cellStyle name="Cálculo 8 2 4 2 3 3" xfId="34387"/>
    <cellStyle name="Cálculo 8 2 4 2 4" xfId="8784"/>
    <cellStyle name="Cálculo 8 2 4 2 4 2" xfId="19641"/>
    <cellStyle name="Cálculo 8 2 4 2 4 2 2" xfId="48822"/>
    <cellStyle name="Cálculo 8 2 4 2 4 3" xfId="37967"/>
    <cellStyle name="Cálculo 8 2 4 2 5" xfId="12577"/>
    <cellStyle name="Cálculo 8 2 4 2 5 2" xfId="41758"/>
    <cellStyle name="Cálculo 8 2 4 2 6" xfId="31066"/>
    <cellStyle name="Cálculo 8 2 4 3" xfId="2783"/>
    <cellStyle name="Cálculo 8 2 4 3 2" xfId="5924"/>
    <cellStyle name="Cálculo 8 2 4 3 2 2" xfId="17840"/>
    <cellStyle name="Cálculo 8 2 4 3 2 2 2" xfId="47021"/>
    <cellStyle name="Cálculo 8 2 4 3 2 3" xfId="35107"/>
    <cellStyle name="Cálculo 8 2 4 3 3" xfId="10311"/>
    <cellStyle name="Cálculo 8 2 4 3 3 2" xfId="20557"/>
    <cellStyle name="Cálculo 8 2 4 3 3 2 2" xfId="49738"/>
    <cellStyle name="Cálculo 8 2 4 3 3 3" xfId="39494"/>
    <cellStyle name="Cálculo 8 2 4 3 4" xfId="16629"/>
    <cellStyle name="Cálculo 8 2 4 3 4 2" xfId="45810"/>
    <cellStyle name="Cálculo 8 2 4 3 5" xfId="31966"/>
    <cellStyle name="Cálculo 8 2 4 4" xfId="4484"/>
    <cellStyle name="Cálculo 8 2 4 4 2" xfId="13623"/>
    <cellStyle name="Cálculo 8 2 4 4 2 2" xfId="42804"/>
    <cellStyle name="Cálculo 8 2 4 4 3" xfId="33667"/>
    <cellStyle name="Cálculo 8 2 4 5" xfId="9485"/>
    <cellStyle name="Cálculo 8 2 4 5 2" xfId="20058"/>
    <cellStyle name="Cálculo 8 2 4 5 2 2" xfId="49239"/>
    <cellStyle name="Cálculo 8 2 4 5 3" xfId="38668"/>
    <cellStyle name="Cálculo 8 2 4 6" xfId="16124"/>
    <cellStyle name="Cálculo 8 2 4 6 2" xfId="45305"/>
    <cellStyle name="Cálculo 8 2 4 7" xfId="30163"/>
    <cellStyle name="Cálculo 8 2 5" xfId="1123"/>
    <cellStyle name="Cálculo 8 2 5 2" xfId="2027"/>
    <cellStyle name="Cálculo 8 2 5 2 2" xfId="3827"/>
    <cellStyle name="Cálculo 8 2 5 2 2 2" xfId="6761"/>
    <cellStyle name="Cálculo 8 2 5 2 2 2 2" xfId="18464"/>
    <cellStyle name="Cálculo 8 2 5 2 2 2 2 2" xfId="47645"/>
    <cellStyle name="Cálculo 8 2 5 2 2 2 3" xfId="35944"/>
    <cellStyle name="Cálculo 8 2 5 2 2 3" xfId="9879"/>
    <cellStyle name="Cálculo 8 2 5 2 2 3 2" xfId="20296"/>
    <cellStyle name="Cálculo 8 2 5 2 2 3 2 2" xfId="49477"/>
    <cellStyle name="Cálculo 8 2 5 2 2 3 3" xfId="39062"/>
    <cellStyle name="Cálculo 8 2 5 2 2 4" xfId="10899"/>
    <cellStyle name="Cálculo 8 2 5 2 2 4 2" xfId="40080"/>
    <cellStyle name="Cálculo 8 2 5 2 2 5" xfId="33010"/>
    <cellStyle name="Cálculo 8 2 5 2 3" xfId="5321"/>
    <cellStyle name="Cálculo 8 2 5 2 3 2" xfId="15939"/>
    <cellStyle name="Cálculo 8 2 5 2 3 2 2" xfId="45120"/>
    <cellStyle name="Cálculo 8 2 5 2 3 3" xfId="34504"/>
    <cellStyle name="Cálculo 8 2 5 2 4" xfId="8703"/>
    <cellStyle name="Cálculo 8 2 5 2 4 2" xfId="19589"/>
    <cellStyle name="Cálculo 8 2 5 2 4 2 2" xfId="48770"/>
    <cellStyle name="Cálculo 8 2 5 2 4 3" xfId="37886"/>
    <cellStyle name="Cálculo 8 2 5 2 5" xfId="14188"/>
    <cellStyle name="Cálculo 8 2 5 2 5 2" xfId="43369"/>
    <cellStyle name="Cálculo 8 2 5 2 6" xfId="31210"/>
    <cellStyle name="Cálculo 8 2 5 3" xfId="2927"/>
    <cellStyle name="Cálculo 8 2 5 3 2" xfId="6041"/>
    <cellStyle name="Cálculo 8 2 5 3 2 2" xfId="10567"/>
    <cellStyle name="Cálculo 8 2 5 3 2 2 2" xfId="39748"/>
    <cellStyle name="Cálculo 8 2 5 3 2 3" xfId="35224"/>
    <cellStyle name="Cálculo 8 2 5 3 3" xfId="10230"/>
    <cellStyle name="Cálculo 8 2 5 3 3 2" xfId="20506"/>
    <cellStyle name="Cálculo 8 2 5 3 3 2 2" xfId="49687"/>
    <cellStyle name="Cálculo 8 2 5 3 3 3" xfId="39413"/>
    <cellStyle name="Cálculo 8 2 5 3 4" xfId="12957"/>
    <cellStyle name="Cálculo 8 2 5 3 4 2" xfId="42138"/>
    <cellStyle name="Cálculo 8 2 5 3 5" xfId="32110"/>
    <cellStyle name="Cálculo 8 2 5 4" xfId="4601"/>
    <cellStyle name="Cálculo 8 2 5 4 2" xfId="13108"/>
    <cellStyle name="Cálculo 8 2 5 4 2 2" xfId="42289"/>
    <cellStyle name="Cálculo 8 2 5 4 3" xfId="33784"/>
    <cellStyle name="Cálculo 8 2 5 5" xfId="9871"/>
    <cellStyle name="Cálculo 8 2 5 5 2" xfId="20293"/>
    <cellStyle name="Cálculo 8 2 5 5 2 2" xfId="49474"/>
    <cellStyle name="Cálculo 8 2 5 5 3" xfId="39054"/>
    <cellStyle name="Cálculo 8 2 5 6" xfId="18072"/>
    <cellStyle name="Cálculo 8 2 5 6 2" xfId="47253"/>
    <cellStyle name="Cálculo 8 2 5 7" xfId="30310"/>
    <cellStyle name="Cálculo 8 2 6" xfId="1269"/>
    <cellStyle name="Cálculo 8 2 6 2" xfId="2171"/>
    <cellStyle name="Cálculo 8 2 6 2 2" xfId="3971"/>
    <cellStyle name="Cálculo 8 2 6 2 2 2" xfId="6878"/>
    <cellStyle name="Cálculo 8 2 6 2 2 2 2" xfId="18518"/>
    <cellStyle name="Cálculo 8 2 6 2 2 2 2 2" xfId="47699"/>
    <cellStyle name="Cálculo 8 2 6 2 2 2 3" xfId="36061"/>
    <cellStyle name="Cálculo 8 2 6 2 2 3" xfId="7109"/>
    <cellStyle name="Cálculo 8 2 6 2 2 3 2" xfId="18640"/>
    <cellStyle name="Cálculo 8 2 6 2 2 3 2 2" xfId="47821"/>
    <cellStyle name="Cálculo 8 2 6 2 2 3 3" xfId="36292"/>
    <cellStyle name="Cálculo 8 2 6 2 2 4" xfId="15775"/>
    <cellStyle name="Cálculo 8 2 6 2 2 4 2" xfId="44956"/>
    <cellStyle name="Cálculo 8 2 6 2 2 5" xfId="33154"/>
    <cellStyle name="Cálculo 8 2 6 2 3" xfId="5438"/>
    <cellStyle name="Cálculo 8 2 6 2 3 2" xfId="11223"/>
    <cellStyle name="Cálculo 8 2 6 2 3 2 2" xfId="40404"/>
    <cellStyle name="Cálculo 8 2 6 2 3 3" xfId="34621"/>
    <cellStyle name="Cálculo 8 2 6 2 4" xfId="10003"/>
    <cellStyle name="Cálculo 8 2 6 2 4 2" xfId="20375"/>
    <cellStyle name="Cálculo 8 2 6 2 4 2 2" xfId="49556"/>
    <cellStyle name="Cálculo 8 2 6 2 4 3" xfId="39186"/>
    <cellStyle name="Cálculo 8 2 6 2 5" xfId="14420"/>
    <cellStyle name="Cálculo 8 2 6 2 5 2" xfId="43601"/>
    <cellStyle name="Cálculo 8 2 6 2 6" xfId="31354"/>
    <cellStyle name="Cálculo 8 2 6 3" xfId="3071"/>
    <cellStyle name="Cálculo 8 2 6 3 2" xfId="6158"/>
    <cellStyle name="Cálculo 8 2 6 3 2 2" xfId="18158"/>
    <cellStyle name="Cálculo 8 2 6 3 2 2 2" xfId="47339"/>
    <cellStyle name="Cálculo 8 2 6 3 2 3" xfId="35341"/>
    <cellStyle name="Cálculo 8 2 6 3 3" xfId="9219"/>
    <cellStyle name="Cálculo 8 2 6 3 3 2" xfId="19902"/>
    <cellStyle name="Cálculo 8 2 6 3 3 2 2" xfId="49083"/>
    <cellStyle name="Cálculo 8 2 6 3 3 3" xfId="38402"/>
    <cellStyle name="Cálculo 8 2 6 3 4" xfId="13312"/>
    <cellStyle name="Cálculo 8 2 6 3 4 2" xfId="42493"/>
    <cellStyle name="Cálculo 8 2 6 3 5" xfId="32254"/>
    <cellStyle name="Cálculo 8 2 6 4" xfId="4718"/>
    <cellStyle name="Cálculo 8 2 6 4 2" xfId="15404"/>
    <cellStyle name="Cálculo 8 2 6 4 2 2" xfId="44585"/>
    <cellStyle name="Cálculo 8 2 6 4 3" xfId="33901"/>
    <cellStyle name="Cálculo 8 2 6 5" xfId="7850"/>
    <cellStyle name="Cálculo 8 2 6 5 2" xfId="19073"/>
    <cellStyle name="Cálculo 8 2 6 5 2 2" xfId="48254"/>
    <cellStyle name="Cálculo 8 2 6 5 3" xfId="37033"/>
    <cellStyle name="Cálculo 8 2 6 6" xfId="16914"/>
    <cellStyle name="Cálculo 8 2 6 6 2" xfId="46095"/>
    <cellStyle name="Cálculo 8 2 6 7" xfId="30454"/>
    <cellStyle name="Cálculo 8 2 7" xfId="1451"/>
    <cellStyle name="Cálculo 8 2 7 2" xfId="3251"/>
    <cellStyle name="Cálculo 8 2 7 2 2" xfId="6302"/>
    <cellStyle name="Cálculo 8 2 7 2 2 2" xfId="18230"/>
    <cellStyle name="Cálculo 8 2 7 2 2 2 2" xfId="47411"/>
    <cellStyle name="Cálculo 8 2 7 2 2 3" xfId="35485"/>
    <cellStyle name="Cálculo 8 2 7 2 3" xfId="10425"/>
    <cellStyle name="Cálculo 8 2 7 2 3 2" xfId="20630"/>
    <cellStyle name="Cálculo 8 2 7 2 3 2 2" xfId="49811"/>
    <cellStyle name="Cálculo 8 2 7 2 3 3" xfId="39608"/>
    <cellStyle name="Cálculo 8 2 7 2 4" xfId="12869"/>
    <cellStyle name="Cálculo 8 2 7 2 4 2" xfId="42050"/>
    <cellStyle name="Cálculo 8 2 7 2 5" xfId="32434"/>
    <cellStyle name="Cálculo 8 2 7 3" xfId="4862"/>
    <cellStyle name="Cálculo 8 2 7 3 2" xfId="17629"/>
    <cellStyle name="Cálculo 8 2 7 3 2 2" xfId="46810"/>
    <cellStyle name="Cálculo 8 2 7 3 3" xfId="34045"/>
    <cellStyle name="Cálculo 8 2 7 4" xfId="8827"/>
    <cellStyle name="Cálculo 8 2 7 4 2" xfId="19665"/>
    <cellStyle name="Cálculo 8 2 7 4 2 2" xfId="48846"/>
    <cellStyle name="Cálculo 8 2 7 4 3" xfId="38010"/>
    <cellStyle name="Cálculo 8 2 7 5" xfId="12324"/>
    <cellStyle name="Cálculo 8 2 7 5 2" xfId="41505"/>
    <cellStyle name="Cálculo 8 2 7 6" xfId="30634"/>
    <cellStyle name="Cálculo 8 2 8" xfId="2351"/>
    <cellStyle name="Cálculo 8 2 8 2" xfId="5582"/>
    <cellStyle name="Cálculo 8 2 8 2 2" xfId="11492"/>
    <cellStyle name="Cálculo 8 2 8 2 2 2" xfId="40673"/>
    <cellStyle name="Cálculo 8 2 8 2 3" xfId="34765"/>
    <cellStyle name="Cálculo 8 2 8 3" xfId="7525"/>
    <cellStyle name="Cálculo 8 2 8 3 2" xfId="18870"/>
    <cellStyle name="Cálculo 8 2 8 3 2 2" xfId="48051"/>
    <cellStyle name="Cálculo 8 2 8 3 3" xfId="36708"/>
    <cellStyle name="Cálculo 8 2 8 4" xfId="14445"/>
    <cellStyle name="Cálculo 8 2 8 4 2" xfId="43626"/>
    <cellStyle name="Cálculo 8 2 8 5" xfId="31534"/>
    <cellStyle name="Cálculo 8 2 9" xfId="4142"/>
    <cellStyle name="Cálculo 8 2 9 2" xfId="12126"/>
    <cellStyle name="Cálculo 8 2 9 2 2" xfId="41307"/>
    <cellStyle name="Cálculo 8 2 9 3" xfId="33325"/>
    <cellStyle name="Cálculo 8 3" xfId="473"/>
    <cellStyle name="Cálculo 8 3 10" xfId="12653"/>
    <cellStyle name="Cálculo 8 3 10 2" xfId="41834"/>
    <cellStyle name="Cálculo 8 3 11" xfId="29679"/>
    <cellStyle name="Cálculo 8 3 2" xfId="826"/>
    <cellStyle name="Cálculo 8 3 2 2" xfId="1764"/>
    <cellStyle name="Cálculo 8 3 2 2 2" xfId="3564"/>
    <cellStyle name="Cálculo 8 3 2 2 2 2" xfId="6552"/>
    <cellStyle name="Cálculo 8 3 2 2 2 2 2" xfId="18374"/>
    <cellStyle name="Cálculo 8 3 2 2 2 2 2 2" xfId="47555"/>
    <cellStyle name="Cálculo 8 3 2 2 2 2 3" xfId="35735"/>
    <cellStyle name="Cálculo 8 3 2 2 2 3" xfId="8548"/>
    <cellStyle name="Cálculo 8 3 2 2 2 3 2" xfId="19504"/>
    <cellStyle name="Cálculo 8 3 2 2 2 3 2 2" xfId="48685"/>
    <cellStyle name="Cálculo 8 3 2 2 2 3 3" xfId="37731"/>
    <cellStyle name="Cálculo 8 3 2 2 2 4" xfId="15962"/>
    <cellStyle name="Cálculo 8 3 2 2 2 4 2" xfId="45143"/>
    <cellStyle name="Cálculo 8 3 2 2 2 5" xfId="32747"/>
    <cellStyle name="Cálculo 8 3 2 2 3" xfId="5112"/>
    <cellStyle name="Cálculo 8 3 2 2 3 2" xfId="15703"/>
    <cellStyle name="Cálculo 8 3 2 2 3 2 2" xfId="44884"/>
    <cellStyle name="Cálculo 8 3 2 2 3 3" xfId="34295"/>
    <cellStyle name="Cálculo 8 3 2 2 4" xfId="8490"/>
    <cellStyle name="Cálculo 8 3 2 2 4 2" xfId="19468"/>
    <cellStyle name="Cálculo 8 3 2 2 4 2 2" xfId="48649"/>
    <cellStyle name="Cálculo 8 3 2 2 4 3" xfId="37673"/>
    <cellStyle name="Cálculo 8 3 2 2 5" xfId="14380"/>
    <cellStyle name="Cálculo 8 3 2 2 5 2" xfId="43561"/>
    <cellStyle name="Cálculo 8 3 2 2 6" xfId="30947"/>
    <cellStyle name="Cálculo 8 3 2 3" xfId="2664"/>
    <cellStyle name="Cálculo 8 3 2 3 2" xfId="5832"/>
    <cellStyle name="Cálculo 8 3 2 3 2 2" xfId="12000"/>
    <cellStyle name="Cálculo 8 3 2 3 2 2 2" xfId="41181"/>
    <cellStyle name="Cálculo 8 3 2 3 2 3" xfId="35015"/>
    <cellStyle name="Cálculo 8 3 2 3 3" xfId="9999"/>
    <cellStyle name="Cálculo 8 3 2 3 3 2" xfId="20373"/>
    <cellStyle name="Cálculo 8 3 2 3 3 2 2" xfId="49554"/>
    <cellStyle name="Cálculo 8 3 2 3 3 3" xfId="39182"/>
    <cellStyle name="Cálculo 8 3 2 3 4" xfId="13180"/>
    <cellStyle name="Cálculo 8 3 2 3 4 2" xfId="42361"/>
    <cellStyle name="Cálculo 8 3 2 3 5" xfId="31847"/>
    <cellStyle name="Cálculo 8 3 2 4" xfId="4392"/>
    <cellStyle name="Cálculo 8 3 2 4 2" xfId="12641"/>
    <cellStyle name="Cálculo 8 3 2 4 2 2" xfId="41822"/>
    <cellStyle name="Cálculo 8 3 2 4 3" xfId="33575"/>
    <cellStyle name="Cálculo 8 3 2 5" xfId="10452"/>
    <cellStyle name="Cálculo 8 3 2 5 2" xfId="20647"/>
    <cellStyle name="Cálculo 8 3 2 5 2 2" xfId="49828"/>
    <cellStyle name="Cálculo 8 3 2 5 3" xfId="39635"/>
    <cellStyle name="Cálculo 8 3 2 6" xfId="12835"/>
    <cellStyle name="Cálculo 8 3 2 6 2" xfId="42016"/>
    <cellStyle name="Cálculo 8 3 2 7" xfId="30023"/>
    <cellStyle name="Cálculo 8 3 3" xfId="1018"/>
    <cellStyle name="Cálculo 8 3 3 2" xfId="1928"/>
    <cellStyle name="Cálculo 8 3 3 2 2" xfId="3728"/>
    <cellStyle name="Cálculo 8 3 3 2 2 2" xfId="6680"/>
    <cellStyle name="Cálculo 8 3 3 2 2 2 2" xfId="18428"/>
    <cellStyle name="Cálculo 8 3 3 2 2 2 2 2" xfId="47609"/>
    <cellStyle name="Cálculo 8 3 3 2 2 2 3" xfId="35863"/>
    <cellStyle name="Cálculo 8 3 3 2 2 3" xfId="9804"/>
    <cellStyle name="Cálculo 8 3 3 2 2 3 2" xfId="20250"/>
    <cellStyle name="Cálculo 8 3 3 2 2 3 2 2" xfId="49431"/>
    <cellStyle name="Cálculo 8 3 3 2 2 3 3" xfId="38987"/>
    <cellStyle name="Cálculo 8 3 3 2 2 4" xfId="10653"/>
    <cellStyle name="Cálculo 8 3 3 2 2 4 2" xfId="39834"/>
    <cellStyle name="Cálculo 8 3 3 2 2 5" xfId="32911"/>
    <cellStyle name="Cálculo 8 3 3 2 3" xfId="5240"/>
    <cellStyle name="Cálculo 8 3 3 2 3 2" xfId="18089"/>
    <cellStyle name="Cálculo 8 3 3 2 3 2 2" xfId="47270"/>
    <cellStyle name="Cálculo 8 3 3 2 3 3" xfId="34423"/>
    <cellStyle name="Cálculo 8 3 3 2 4" xfId="8391"/>
    <cellStyle name="Cálculo 8 3 3 2 4 2" xfId="19402"/>
    <cellStyle name="Cálculo 8 3 3 2 4 2 2" xfId="48583"/>
    <cellStyle name="Cálculo 8 3 3 2 4 3" xfId="37574"/>
    <cellStyle name="Cálculo 8 3 3 2 5" xfId="16996"/>
    <cellStyle name="Cálculo 8 3 3 2 5 2" xfId="46177"/>
    <cellStyle name="Cálculo 8 3 3 2 6" xfId="31111"/>
    <cellStyle name="Cálculo 8 3 3 3" xfId="2828"/>
    <cellStyle name="Cálculo 8 3 3 3 2" xfId="5960"/>
    <cellStyle name="Cálculo 8 3 3 3 2 2" xfId="10603"/>
    <cellStyle name="Cálculo 8 3 3 3 2 2 2" xfId="39784"/>
    <cellStyle name="Cálculo 8 3 3 3 2 3" xfId="35143"/>
    <cellStyle name="Cálculo 8 3 3 3 3" xfId="9945"/>
    <cellStyle name="Cálculo 8 3 3 3 3 2" xfId="20336"/>
    <cellStyle name="Cálculo 8 3 3 3 3 2 2" xfId="49517"/>
    <cellStyle name="Cálculo 8 3 3 3 3 3" xfId="39128"/>
    <cellStyle name="Cálculo 8 3 3 3 4" xfId="18032"/>
    <cellStyle name="Cálculo 8 3 3 3 4 2" xfId="47213"/>
    <cellStyle name="Cálculo 8 3 3 3 5" xfId="32011"/>
    <cellStyle name="Cálculo 8 3 3 4" xfId="4520"/>
    <cellStyle name="Cálculo 8 3 3 4 2" xfId="10895"/>
    <cellStyle name="Cálculo 8 3 3 4 2 2" xfId="40076"/>
    <cellStyle name="Cálculo 8 3 3 4 3" xfId="33703"/>
    <cellStyle name="Cálculo 8 3 3 5" xfId="8615"/>
    <cellStyle name="Cálculo 8 3 3 5 2" xfId="19543"/>
    <cellStyle name="Cálculo 8 3 3 5 2 2" xfId="48724"/>
    <cellStyle name="Cálculo 8 3 3 5 3" xfId="37798"/>
    <cellStyle name="Cálculo 8 3 3 6" xfId="11093"/>
    <cellStyle name="Cálculo 8 3 3 6 2" xfId="40274"/>
    <cellStyle name="Cálculo 8 3 3 7" xfId="30208"/>
    <cellStyle name="Cálculo 8 3 4" xfId="1168"/>
    <cellStyle name="Cálculo 8 3 4 2" xfId="2072"/>
    <cellStyle name="Cálculo 8 3 4 2 2" xfId="3872"/>
    <cellStyle name="Cálculo 8 3 4 2 2 2" xfId="6797"/>
    <cellStyle name="Cálculo 8 3 4 2 2 2 2" xfId="18482"/>
    <cellStyle name="Cálculo 8 3 4 2 2 2 2 2" xfId="47663"/>
    <cellStyle name="Cálculo 8 3 4 2 2 2 3" xfId="35980"/>
    <cellStyle name="Cálculo 8 3 4 2 2 3" xfId="8920"/>
    <cellStyle name="Cálculo 8 3 4 2 2 3 2" xfId="19722"/>
    <cellStyle name="Cálculo 8 3 4 2 2 3 2 2" xfId="48903"/>
    <cellStyle name="Cálculo 8 3 4 2 2 3 3" xfId="38103"/>
    <cellStyle name="Cálculo 8 3 4 2 2 4" xfId="13209"/>
    <cellStyle name="Cálculo 8 3 4 2 2 4 2" xfId="42390"/>
    <cellStyle name="Cálculo 8 3 4 2 2 5" xfId="33055"/>
    <cellStyle name="Cálculo 8 3 4 2 3" xfId="5357"/>
    <cellStyle name="Cálculo 8 3 4 2 3 2" xfId="13761"/>
    <cellStyle name="Cálculo 8 3 4 2 3 2 2" xfId="42942"/>
    <cellStyle name="Cálculo 8 3 4 2 3 3" xfId="34540"/>
    <cellStyle name="Cálculo 8 3 4 2 4" xfId="7466"/>
    <cellStyle name="Cálculo 8 3 4 2 4 2" xfId="18834"/>
    <cellStyle name="Cálculo 8 3 4 2 4 2 2" xfId="48015"/>
    <cellStyle name="Cálculo 8 3 4 2 4 3" xfId="36649"/>
    <cellStyle name="Cálculo 8 3 4 2 5" xfId="13496"/>
    <cellStyle name="Cálculo 8 3 4 2 5 2" xfId="42677"/>
    <cellStyle name="Cálculo 8 3 4 2 6" xfId="31255"/>
    <cellStyle name="Cálculo 8 3 4 3" xfId="2972"/>
    <cellStyle name="Cálculo 8 3 4 3 2" xfId="6077"/>
    <cellStyle name="Cálculo 8 3 4 3 2 2" xfId="10549"/>
    <cellStyle name="Cálculo 8 3 4 3 2 2 2" xfId="39730"/>
    <cellStyle name="Cálculo 8 3 4 3 2 3" xfId="35260"/>
    <cellStyle name="Cálculo 8 3 4 3 3" xfId="7784"/>
    <cellStyle name="Cálculo 8 3 4 3 3 2" xfId="19033"/>
    <cellStyle name="Cálculo 8 3 4 3 3 2 2" xfId="48214"/>
    <cellStyle name="Cálculo 8 3 4 3 3 3" xfId="36967"/>
    <cellStyle name="Cálculo 8 3 4 3 4" xfId="16017"/>
    <cellStyle name="Cálculo 8 3 4 3 4 2" xfId="45198"/>
    <cellStyle name="Cálculo 8 3 4 3 5" xfId="32155"/>
    <cellStyle name="Cálculo 8 3 4 4" xfId="4637"/>
    <cellStyle name="Cálculo 8 3 4 4 2" xfId="12003"/>
    <cellStyle name="Cálculo 8 3 4 4 2 2" xfId="41184"/>
    <cellStyle name="Cálculo 8 3 4 4 3" xfId="33820"/>
    <cellStyle name="Cálculo 8 3 4 5" xfId="9638"/>
    <cellStyle name="Cálculo 8 3 4 5 2" xfId="20152"/>
    <cellStyle name="Cálculo 8 3 4 5 2 2" xfId="49333"/>
    <cellStyle name="Cálculo 8 3 4 5 3" xfId="38821"/>
    <cellStyle name="Cálculo 8 3 4 6" xfId="11872"/>
    <cellStyle name="Cálculo 8 3 4 6 2" xfId="41053"/>
    <cellStyle name="Cálculo 8 3 4 7" xfId="30355"/>
    <cellStyle name="Cálculo 8 3 5" xfId="1314"/>
    <cellStyle name="Cálculo 8 3 5 2" xfId="2216"/>
    <cellStyle name="Cálculo 8 3 5 2 2" xfId="4016"/>
    <cellStyle name="Cálculo 8 3 5 2 2 2" xfId="6914"/>
    <cellStyle name="Cálculo 8 3 5 2 2 2 2" xfId="18536"/>
    <cellStyle name="Cálculo 8 3 5 2 2 2 2 2" xfId="47717"/>
    <cellStyle name="Cálculo 8 3 5 2 2 2 3" xfId="36097"/>
    <cellStyle name="Cálculo 8 3 5 2 2 3" xfId="7064"/>
    <cellStyle name="Cálculo 8 3 5 2 2 3 2" xfId="18613"/>
    <cellStyle name="Cálculo 8 3 5 2 2 3 2 2" xfId="47794"/>
    <cellStyle name="Cálculo 8 3 5 2 2 3 3" xfId="36247"/>
    <cellStyle name="Cálculo 8 3 5 2 2 4" xfId="11084"/>
    <cellStyle name="Cálculo 8 3 5 2 2 4 2" xfId="40265"/>
    <cellStyle name="Cálculo 8 3 5 2 2 5" xfId="33199"/>
    <cellStyle name="Cálculo 8 3 5 2 3" xfId="5474"/>
    <cellStyle name="Cálculo 8 3 5 2 3 2" xfId="12902"/>
    <cellStyle name="Cálculo 8 3 5 2 3 2 2" xfId="42083"/>
    <cellStyle name="Cálculo 8 3 5 2 3 3" xfId="34657"/>
    <cellStyle name="Cálculo 8 3 5 2 4" xfId="9744"/>
    <cellStyle name="Cálculo 8 3 5 2 4 2" xfId="20216"/>
    <cellStyle name="Cálculo 8 3 5 2 4 2 2" xfId="49397"/>
    <cellStyle name="Cálculo 8 3 5 2 4 3" xfId="38927"/>
    <cellStyle name="Cálculo 8 3 5 2 5" xfId="14584"/>
    <cellStyle name="Cálculo 8 3 5 2 5 2" xfId="43765"/>
    <cellStyle name="Cálculo 8 3 5 2 6" xfId="31399"/>
    <cellStyle name="Cálculo 8 3 5 3" xfId="3116"/>
    <cellStyle name="Cálculo 8 3 5 3 2" xfId="6194"/>
    <cellStyle name="Cálculo 8 3 5 3 2 2" xfId="18176"/>
    <cellStyle name="Cálculo 8 3 5 3 2 2 2" xfId="47357"/>
    <cellStyle name="Cálculo 8 3 5 3 2 3" xfId="35377"/>
    <cellStyle name="Cálculo 8 3 5 3 3" xfId="8350"/>
    <cellStyle name="Cálculo 8 3 5 3 3 2" xfId="19375"/>
    <cellStyle name="Cálculo 8 3 5 3 3 2 2" xfId="48556"/>
    <cellStyle name="Cálculo 8 3 5 3 3 3" xfId="37533"/>
    <cellStyle name="Cálculo 8 3 5 3 4" xfId="13958"/>
    <cellStyle name="Cálculo 8 3 5 3 4 2" xfId="43139"/>
    <cellStyle name="Cálculo 8 3 5 3 5" xfId="32299"/>
    <cellStyle name="Cálculo 8 3 5 4" xfId="4754"/>
    <cellStyle name="Cálculo 8 3 5 4 2" xfId="14075"/>
    <cellStyle name="Cálculo 8 3 5 4 2 2" xfId="43256"/>
    <cellStyle name="Cálculo 8 3 5 4 3" xfId="33937"/>
    <cellStyle name="Cálculo 8 3 5 5" xfId="10209"/>
    <cellStyle name="Cálculo 8 3 5 5 2" xfId="20497"/>
    <cellStyle name="Cálculo 8 3 5 5 2 2" xfId="49678"/>
    <cellStyle name="Cálculo 8 3 5 5 3" xfId="39392"/>
    <cellStyle name="Cálculo 8 3 5 6" xfId="16230"/>
    <cellStyle name="Cálculo 8 3 5 6 2" xfId="45411"/>
    <cellStyle name="Cálculo 8 3 5 7" xfId="30499"/>
    <cellStyle name="Cálculo 8 3 6" xfId="1496"/>
    <cellStyle name="Cálculo 8 3 6 2" xfId="3296"/>
    <cellStyle name="Cálculo 8 3 6 2 2" xfId="6338"/>
    <cellStyle name="Cálculo 8 3 6 2 2 2" xfId="18248"/>
    <cellStyle name="Cálculo 8 3 6 2 2 2 2" xfId="47429"/>
    <cellStyle name="Cálculo 8 3 6 2 2 3" xfId="35521"/>
    <cellStyle name="Cálculo 8 3 6 2 3" xfId="9978"/>
    <cellStyle name="Cálculo 8 3 6 2 3 2" xfId="20358"/>
    <cellStyle name="Cálculo 8 3 6 2 3 2 2" xfId="49539"/>
    <cellStyle name="Cálculo 8 3 6 2 3 3" xfId="39161"/>
    <cellStyle name="Cálculo 8 3 6 2 4" xfId="13988"/>
    <cellStyle name="Cálculo 8 3 6 2 4 2" xfId="43169"/>
    <cellStyle name="Cálculo 8 3 6 2 5" xfId="32479"/>
    <cellStyle name="Cálculo 8 3 6 3" xfId="4898"/>
    <cellStyle name="Cálculo 8 3 6 3 2" xfId="15350"/>
    <cellStyle name="Cálculo 8 3 6 3 2 2" xfId="44531"/>
    <cellStyle name="Cálculo 8 3 6 3 3" xfId="34081"/>
    <cellStyle name="Cálculo 8 3 6 4" xfId="9379"/>
    <cellStyle name="Cálculo 8 3 6 4 2" xfId="19998"/>
    <cellStyle name="Cálculo 8 3 6 4 2 2" xfId="49179"/>
    <cellStyle name="Cálculo 8 3 6 4 3" xfId="38562"/>
    <cellStyle name="Cálculo 8 3 6 5" xfId="10821"/>
    <cellStyle name="Cálculo 8 3 6 5 2" xfId="40002"/>
    <cellStyle name="Cálculo 8 3 6 6" xfId="30679"/>
    <cellStyle name="Cálculo 8 3 7" xfId="2396"/>
    <cellStyle name="Cálculo 8 3 7 2" xfId="5618"/>
    <cellStyle name="Cálculo 8 3 7 2 2" xfId="11160"/>
    <cellStyle name="Cálculo 8 3 7 2 2 2" xfId="40341"/>
    <cellStyle name="Cálculo 8 3 7 2 3" xfId="34801"/>
    <cellStyle name="Cálculo 8 3 7 3" xfId="6979"/>
    <cellStyle name="Cálculo 8 3 7 3 2" xfId="18565"/>
    <cellStyle name="Cálculo 8 3 7 3 2 2" xfId="47746"/>
    <cellStyle name="Cálculo 8 3 7 3 3" xfId="36162"/>
    <cellStyle name="Cálculo 8 3 7 4" xfId="14527"/>
    <cellStyle name="Cálculo 8 3 7 4 2" xfId="43708"/>
    <cellStyle name="Cálculo 8 3 7 5" xfId="31579"/>
    <cellStyle name="Cálculo 8 3 8" xfId="4178"/>
    <cellStyle name="Cálculo 8 3 8 2" xfId="16889"/>
    <cellStyle name="Cálculo 8 3 8 2 2" xfId="46070"/>
    <cellStyle name="Cálculo 8 3 8 3" xfId="33361"/>
    <cellStyle name="Cálculo 8 3 9" xfId="9390"/>
    <cellStyle name="Cálculo 8 3 9 2" xfId="20004"/>
    <cellStyle name="Cálculo 8 3 9 2 2" xfId="49185"/>
    <cellStyle name="Cálculo 8 3 9 3" xfId="38573"/>
    <cellStyle name="Cálculo 8 4" xfId="644"/>
    <cellStyle name="Cálculo 8 4 2" xfId="1636"/>
    <cellStyle name="Cálculo 8 4 2 2" xfId="3436"/>
    <cellStyle name="Cálculo 8 4 2 2 2" xfId="6451"/>
    <cellStyle name="Cálculo 8 4 2 2 2 2" xfId="18318"/>
    <cellStyle name="Cálculo 8 4 2 2 2 2 2" xfId="47499"/>
    <cellStyle name="Cálculo 8 4 2 2 2 3" xfId="35634"/>
    <cellStyle name="Cálculo 8 4 2 2 3" xfId="8071"/>
    <cellStyle name="Cálculo 8 4 2 2 3 2" xfId="19205"/>
    <cellStyle name="Cálculo 8 4 2 2 3 2 2" xfId="48386"/>
    <cellStyle name="Cálculo 8 4 2 2 3 3" xfId="37254"/>
    <cellStyle name="Cálculo 8 4 2 2 4" xfId="16412"/>
    <cellStyle name="Cálculo 8 4 2 2 4 2" xfId="45593"/>
    <cellStyle name="Cálculo 8 4 2 2 5" xfId="32619"/>
    <cellStyle name="Cálculo 8 4 2 3" xfId="5011"/>
    <cellStyle name="Cálculo 8 4 2 3 2" xfId="16765"/>
    <cellStyle name="Cálculo 8 4 2 3 2 2" xfId="45946"/>
    <cellStyle name="Cálculo 8 4 2 3 3" xfId="34194"/>
    <cellStyle name="Cálculo 8 4 2 4" xfId="8289"/>
    <cellStyle name="Cálculo 8 4 2 4 2" xfId="19338"/>
    <cellStyle name="Cálculo 8 4 2 4 2 2" xfId="48519"/>
    <cellStyle name="Cálculo 8 4 2 4 3" xfId="37472"/>
    <cellStyle name="Cálculo 8 4 2 5" xfId="15567"/>
    <cellStyle name="Cálculo 8 4 2 5 2" xfId="44748"/>
    <cellStyle name="Cálculo 8 4 2 6" xfId="30819"/>
    <cellStyle name="Cálculo 8 4 3" xfId="2536"/>
    <cellStyle name="Cálculo 8 4 3 2" xfId="5731"/>
    <cellStyle name="Cálculo 8 4 3 2 2" xfId="14639"/>
    <cellStyle name="Cálculo 8 4 3 2 2 2" xfId="43820"/>
    <cellStyle name="Cálculo 8 4 3 2 3" xfId="34914"/>
    <cellStyle name="Cálculo 8 4 3 3" xfId="9818"/>
    <cellStyle name="Cálculo 8 4 3 3 2" xfId="20259"/>
    <cellStyle name="Cálculo 8 4 3 3 2 2" xfId="49440"/>
    <cellStyle name="Cálculo 8 4 3 3 3" xfId="39001"/>
    <cellStyle name="Cálculo 8 4 3 4" xfId="10884"/>
    <cellStyle name="Cálculo 8 4 3 4 2" xfId="40065"/>
    <cellStyle name="Cálculo 8 4 3 5" xfId="31719"/>
    <cellStyle name="Cálculo 8 4 4" xfId="4291"/>
    <cellStyle name="Cálculo 8 4 4 2" xfId="12898"/>
    <cellStyle name="Cálculo 8 4 4 2 2" xfId="42079"/>
    <cellStyle name="Cálculo 8 4 4 3" xfId="33474"/>
    <cellStyle name="Cálculo 8 4 5" xfId="10414"/>
    <cellStyle name="Cálculo 8 4 5 2" xfId="20622"/>
    <cellStyle name="Cálculo 8 4 5 2 2" xfId="49803"/>
    <cellStyle name="Cálculo 8 4 5 3" xfId="39597"/>
    <cellStyle name="Cálculo 8 4 6" xfId="11909"/>
    <cellStyle name="Cálculo 8 4 6 2" xfId="41090"/>
    <cellStyle name="Cálculo 8 4 7" xfId="29847"/>
    <cellStyle name="Cálculo 8 5" xfId="631"/>
    <cellStyle name="Cálculo 8 5 2" xfId="1623"/>
    <cellStyle name="Cálculo 8 5 2 2" xfId="3423"/>
    <cellStyle name="Cálculo 8 5 2 2 2" xfId="6438"/>
    <cellStyle name="Cálculo 8 5 2 2 2 2" xfId="18305"/>
    <cellStyle name="Cálculo 8 5 2 2 2 2 2" xfId="47486"/>
    <cellStyle name="Cálculo 8 5 2 2 2 3" xfId="35621"/>
    <cellStyle name="Cálculo 8 5 2 2 3" xfId="10048"/>
    <cellStyle name="Cálculo 8 5 2 2 3 2" xfId="20400"/>
    <cellStyle name="Cálculo 8 5 2 2 3 2 2" xfId="49581"/>
    <cellStyle name="Cálculo 8 5 2 2 3 3" xfId="39231"/>
    <cellStyle name="Cálculo 8 5 2 2 4" xfId="12704"/>
    <cellStyle name="Cálculo 8 5 2 2 4 2" xfId="41885"/>
    <cellStyle name="Cálculo 8 5 2 2 5" xfId="32606"/>
    <cellStyle name="Cálculo 8 5 2 3" xfId="4998"/>
    <cellStyle name="Cálculo 8 5 2 3 2" xfId="10917"/>
    <cellStyle name="Cálculo 8 5 2 3 2 2" xfId="40098"/>
    <cellStyle name="Cálculo 8 5 2 3 3" xfId="34181"/>
    <cellStyle name="Cálculo 8 5 2 4" xfId="8825"/>
    <cellStyle name="Cálculo 8 5 2 4 2" xfId="19663"/>
    <cellStyle name="Cálculo 8 5 2 4 2 2" xfId="48844"/>
    <cellStyle name="Cálculo 8 5 2 4 3" xfId="38008"/>
    <cellStyle name="Cálculo 8 5 2 5" xfId="13989"/>
    <cellStyle name="Cálculo 8 5 2 5 2" xfId="43170"/>
    <cellStyle name="Cálculo 8 5 2 6" xfId="30806"/>
    <cellStyle name="Cálculo 8 5 3" xfId="2523"/>
    <cellStyle name="Cálculo 8 5 3 2" xfId="5718"/>
    <cellStyle name="Cálculo 8 5 3 2 2" xfId="16553"/>
    <cellStyle name="Cálculo 8 5 3 2 2 2" xfId="45734"/>
    <cellStyle name="Cálculo 8 5 3 2 3" xfId="34901"/>
    <cellStyle name="Cálculo 8 5 3 3" xfId="10352"/>
    <cellStyle name="Cálculo 8 5 3 3 2" xfId="20584"/>
    <cellStyle name="Cálculo 8 5 3 3 2 2" xfId="49765"/>
    <cellStyle name="Cálculo 8 5 3 3 3" xfId="39535"/>
    <cellStyle name="Cálculo 8 5 3 4" xfId="12738"/>
    <cellStyle name="Cálculo 8 5 3 4 2" xfId="41919"/>
    <cellStyle name="Cálculo 8 5 3 5" xfId="31706"/>
    <cellStyle name="Cálculo 8 5 4" xfId="4278"/>
    <cellStyle name="Cálculo 8 5 4 2" xfId="15177"/>
    <cellStyle name="Cálculo 8 5 4 2 2" xfId="44358"/>
    <cellStyle name="Cálculo 8 5 4 3" xfId="33461"/>
    <cellStyle name="Cálculo 8 5 5" xfId="8757"/>
    <cellStyle name="Cálculo 8 5 5 2" xfId="19623"/>
    <cellStyle name="Cálculo 8 5 5 2 2" xfId="48804"/>
    <cellStyle name="Cálculo 8 5 5 3" xfId="37940"/>
    <cellStyle name="Cálculo 8 5 6" xfId="17921"/>
    <cellStyle name="Cálculo 8 5 6 2" xfId="47102"/>
    <cellStyle name="Cálculo 8 5 7" xfId="29834"/>
    <cellStyle name="Cálculo 8 6" xfId="650"/>
    <cellStyle name="Cálculo 8 6 2" xfId="1642"/>
    <cellStyle name="Cálculo 8 6 2 2" xfId="3442"/>
    <cellStyle name="Cálculo 8 6 2 2 2" xfId="6457"/>
    <cellStyle name="Cálculo 8 6 2 2 2 2" xfId="18324"/>
    <cellStyle name="Cálculo 8 6 2 2 2 2 2" xfId="47505"/>
    <cellStyle name="Cálculo 8 6 2 2 2 3" xfId="35640"/>
    <cellStyle name="Cálculo 8 6 2 2 3" xfId="10123"/>
    <cellStyle name="Cálculo 8 6 2 2 3 2" xfId="20448"/>
    <cellStyle name="Cálculo 8 6 2 2 3 2 2" xfId="49629"/>
    <cellStyle name="Cálculo 8 6 2 2 3 3" xfId="39306"/>
    <cellStyle name="Cálculo 8 6 2 2 4" xfId="11334"/>
    <cellStyle name="Cálculo 8 6 2 2 4 2" xfId="40515"/>
    <cellStyle name="Cálculo 8 6 2 2 5" xfId="32625"/>
    <cellStyle name="Cálculo 8 6 2 3" xfId="5017"/>
    <cellStyle name="Cálculo 8 6 2 3 2" xfId="14063"/>
    <cellStyle name="Cálculo 8 6 2 3 2 2" xfId="43244"/>
    <cellStyle name="Cálculo 8 6 2 3 3" xfId="34200"/>
    <cellStyle name="Cálculo 8 6 2 4" xfId="10323"/>
    <cellStyle name="Cálculo 8 6 2 4 2" xfId="20566"/>
    <cellStyle name="Cálculo 8 6 2 4 2 2" xfId="49747"/>
    <cellStyle name="Cálculo 8 6 2 4 3" xfId="39506"/>
    <cellStyle name="Cálculo 8 6 2 5" xfId="16005"/>
    <cellStyle name="Cálculo 8 6 2 5 2" xfId="45186"/>
    <cellStyle name="Cálculo 8 6 2 6" xfId="30825"/>
    <cellStyle name="Cálculo 8 6 3" xfId="2542"/>
    <cellStyle name="Cálculo 8 6 3 2" xfId="5737"/>
    <cellStyle name="Cálculo 8 6 3 2 2" xfId="12896"/>
    <cellStyle name="Cálculo 8 6 3 2 2 2" xfId="42077"/>
    <cellStyle name="Cálculo 8 6 3 2 3" xfId="34920"/>
    <cellStyle name="Cálculo 8 6 3 3" xfId="9546"/>
    <cellStyle name="Cálculo 8 6 3 3 2" xfId="20096"/>
    <cellStyle name="Cálculo 8 6 3 3 2 2" xfId="49277"/>
    <cellStyle name="Cálculo 8 6 3 3 3" xfId="38729"/>
    <cellStyle name="Cálculo 8 6 3 4" xfId="16952"/>
    <cellStyle name="Cálculo 8 6 3 4 2" xfId="46133"/>
    <cellStyle name="Cálculo 8 6 3 5" xfId="31725"/>
    <cellStyle name="Cálculo 8 6 4" xfId="4297"/>
    <cellStyle name="Cálculo 8 6 4 2" xfId="14630"/>
    <cellStyle name="Cálculo 8 6 4 2 2" xfId="43811"/>
    <cellStyle name="Cálculo 8 6 4 3" xfId="33480"/>
    <cellStyle name="Cálculo 8 6 5" xfId="7985"/>
    <cellStyle name="Cálculo 8 6 5 2" xfId="19153"/>
    <cellStyle name="Cálculo 8 6 5 2 2" xfId="48334"/>
    <cellStyle name="Cálculo 8 6 5 3" xfId="37168"/>
    <cellStyle name="Cálculo 8 6 6" xfId="17193"/>
    <cellStyle name="Cálculo 8 6 6 2" xfId="46374"/>
    <cellStyle name="Cálculo 8 6 7" xfId="29853"/>
    <cellStyle name="Cálculo 8 7" xfId="622"/>
    <cellStyle name="Cálculo 8 7 2" xfId="1614"/>
    <cellStyle name="Cálculo 8 7 2 2" xfId="3414"/>
    <cellStyle name="Cálculo 8 7 2 2 2" xfId="6429"/>
    <cellStyle name="Cálculo 8 7 2 2 2 2" xfId="18296"/>
    <cellStyle name="Cálculo 8 7 2 2 2 2 2" xfId="47477"/>
    <cellStyle name="Cálculo 8 7 2 2 2 3" xfId="35612"/>
    <cellStyle name="Cálculo 8 7 2 2 3" xfId="9536"/>
    <cellStyle name="Cálculo 8 7 2 2 3 2" xfId="20088"/>
    <cellStyle name="Cálculo 8 7 2 2 3 2 2" xfId="49269"/>
    <cellStyle name="Cálculo 8 7 2 2 3 3" xfId="38719"/>
    <cellStyle name="Cálculo 8 7 2 2 4" xfId="14013"/>
    <cellStyle name="Cálculo 8 7 2 2 4 2" xfId="43194"/>
    <cellStyle name="Cálculo 8 7 2 2 5" xfId="32597"/>
    <cellStyle name="Cálculo 8 7 2 3" xfId="4989"/>
    <cellStyle name="Cálculo 8 7 2 3 2" xfId="16328"/>
    <cellStyle name="Cálculo 8 7 2 3 2 2" xfId="45509"/>
    <cellStyle name="Cálculo 8 7 2 3 3" xfId="34172"/>
    <cellStyle name="Cálculo 8 7 2 4" xfId="9099"/>
    <cellStyle name="Cálculo 8 7 2 4 2" xfId="19827"/>
    <cellStyle name="Cálculo 8 7 2 4 2 2" xfId="49008"/>
    <cellStyle name="Cálculo 8 7 2 4 3" xfId="38282"/>
    <cellStyle name="Cálculo 8 7 2 5" xfId="12907"/>
    <cellStyle name="Cálculo 8 7 2 5 2" xfId="42088"/>
    <cellStyle name="Cálculo 8 7 2 6" xfId="30797"/>
    <cellStyle name="Cálculo 8 7 3" xfId="2514"/>
    <cellStyle name="Cálculo 8 7 3 2" xfId="5709"/>
    <cellStyle name="Cálculo 8 7 3 2 2" xfId="16241"/>
    <cellStyle name="Cálculo 8 7 3 2 2 2" xfId="45422"/>
    <cellStyle name="Cálculo 8 7 3 2 3" xfId="34892"/>
    <cellStyle name="Cálculo 8 7 3 3" xfId="7593"/>
    <cellStyle name="Cálculo 8 7 3 3 2" xfId="18915"/>
    <cellStyle name="Cálculo 8 7 3 3 2 2" xfId="48096"/>
    <cellStyle name="Cálculo 8 7 3 3 3" xfId="36776"/>
    <cellStyle name="Cálculo 8 7 3 4" xfId="13378"/>
    <cellStyle name="Cálculo 8 7 3 4 2" xfId="42559"/>
    <cellStyle name="Cálculo 8 7 3 5" xfId="31697"/>
    <cellStyle name="Cálculo 8 7 4" xfId="4269"/>
    <cellStyle name="Cálculo 8 7 4 2" xfId="11465"/>
    <cellStyle name="Cálculo 8 7 4 2 2" xfId="40646"/>
    <cellStyle name="Cálculo 8 7 4 3" xfId="33452"/>
    <cellStyle name="Cálculo 8 7 5" xfId="10531"/>
    <cellStyle name="Cálculo 8 7 5 2" xfId="20697"/>
    <cellStyle name="Cálculo 8 7 5 2 2" xfId="49878"/>
    <cellStyle name="Cálculo 8 7 5 3" xfId="39714"/>
    <cellStyle name="Cálculo 8 7 6" xfId="10790"/>
    <cellStyle name="Cálculo 8 7 6 2" xfId="39971"/>
    <cellStyle name="Cálculo 8 7 7" xfId="29825"/>
    <cellStyle name="Cálculo 8 8" xfId="1406"/>
    <cellStyle name="Cálculo 8 8 2" xfId="3206"/>
    <cellStyle name="Cálculo 8 8 2 2" xfId="6266"/>
    <cellStyle name="Cálculo 8 8 2 2 2" xfId="18212"/>
    <cellStyle name="Cálculo 8 8 2 2 2 2" xfId="47393"/>
    <cellStyle name="Cálculo 8 8 2 2 3" xfId="35449"/>
    <cellStyle name="Cálculo 8 8 2 3" xfId="7163"/>
    <cellStyle name="Cálculo 8 8 2 3 2" xfId="18664"/>
    <cellStyle name="Cálculo 8 8 2 3 2 2" xfId="47845"/>
    <cellStyle name="Cálculo 8 8 2 3 3" xfId="36346"/>
    <cellStyle name="Cálculo 8 8 2 4" xfId="17576"/>
    <cellStyle name="Cálculo 8 8 2 4 2" xfId="46757"/>
    <cellStyle name="Cálculo 8 8 2 5" xfId="32389"/>
    <cellStyle name="Cálculo 8 8 3" xfId="4826"/>
    <cellStyle name="Cálculo 8 8 3 2" xfId="16541"/>
    <cellStyle name="Cálculo 8 8 3 2 2" xfId="45722"/>
    <cellStyle name="Cálculo 8 8 3 3" xfId="34009"/>
    <cellStyle name="Cálculo 8 8 4" xfId="8987"/>
    <cellStyle name="Cálculo 8 8 4 2" xfId="19762"/>
    <cellStyle name="Cálculo 8 8 4 2 2" xfId="48943"/>
    <cellStyle name="Cálculo 8 8 4 3" xfId="38170"/>
    <cellStyle name="Cálculo 8 8 5" xfId="13116"/>
    <cellStyle name="Cálculo 8 8 5 2" xfId="42297"/>
    <cellStyle name="Cálculo 8 8 6" xfId="30589"/>
    <cellStyle name="Cálculo 8 9" xfId="2306"/>
    <cellStyle name="Cálculo 8 9 2" xfId="5546"/>
    <cellStyle name="Cálculo 8 9 2 2" xfId="11930"/>
    <cellStyle name="Cálculo 8 9 2 2 2" xfId="41111"/>
    <cellStyle name="Cálculo 8 9 2 3" xfId="34729"/>
    <cellStyle name="Cálculo 8 9 3" xfId="7617"/>
    <cellStyle name="Cálculo 8 9 3 2" xfId="18929"/>
    <cellStyle name="Cálculo 8 9 3 2 2" xfId="48110"/>
    <cellStyle name="Cálculo 8 9 3 3" xfId="36800"/>
    <cellStyle name="Cálculo 8 9 4" xfId="15212"/>
    <cellStyle name="Cálculo 8 9 4 2" xfId="44393"/>
    <cellStyle name="Cálculo 8 9 5" xfId="31489"/>
    <cellStyle name="Cálculo 9" xfId="182"/>
    <cellStyle name="Cálculo 9 10" xfId="4107"/>
    <cellStyle name="Cálculo 9 10 2" xfId="15953"/>
    <cellStyle name="Cálculo 9 10 2 2" xfId="45134"/>
    <cellStyle name="Cálculo 9 10 3" xfId="33290"/>
    <cellStyle name="Cálculo 9 11" xfId="12966"/>
    <cellStyle name="Cálculo 9 11 2" xfId="42147"/>
    <cellStyle name="Cálculo 9 12" xfId="29567"/>
    <cellStyle name="Cálculo 9 2" xfId="429"/>
    <cellStyle name="Cálculo 9 2 10" xfId="8064"/>
    <cellStyle name="Cálculo 9 2 10 2" xfId="19200"/>
    <cellStyle name="Cálculo 9 2 10 2 2" xfId="48381"/>
    <cellStyle name="Cálculo 9 2 10 3" xfId="37247"/>
    <cellStyle name="Cálculo 9 2 11" xfId="12806"/>
    <cellStyle name="Cálculo 9 2 11 2" xfId="41987"/>
    <cellStyle name="Cálculo 9 2 12" xfId="58772"/>
    <cellStyle name="Cálculo 9 2 13" xfId="29635"/>
    <cellStyle name="Cálculo 9 2 2" xfId="519"/>
    <cellStyle name="Cálculo 9 2 2 10" xfId="17135"/>
    <cellStyle name="Cálculo 9 2 2 10 2" xfId="46316"/>
    <cellStyle name="Cálculo 9 2 2 11" xfId="29725"/>
    <cellStyle name="Cálculo 9 2 2 2" xfId="872"/>
    <cellStyle name="Cálculo 9 2 2 2 2" xfId="1810"/>
    <cellStyle name="Cálculo 9 2 2 2 2 2" xfId="3610"/>
    <cellStyle name="Cálculo 9 2 2 2 2 2 2" xfId="6589"/>
    <cellStyle name="Cálculo 9 2 2 2 2 2 2 2" xfId="18393"/>
    <cellStyle name="Cálculo 9 2 2 2 2 2 2 2 2" xfId="47574"/>
    <cellStyle name="Cálculo 9 2 2 2 2 2 2 3" xfId="35772"/>
    <cellStyle name="Cálculo 9 2 2 2 2 2 3" xfId="8229"/>
    <cellStyle name="Cálculo 9 2 2 2 2 2 3 2" xfId="19302"/>
    <cellStyle name="Cálculo 9 2 2 2 2 2 3 2 2" xfId="48483"/>
    <cellStyle name="Cálculo 9 2 2 2 2 2 3 3" xfId="37412"/>
    <cellStyle name="Cálculo 9 2 2 2 2 2 4" xfId="11377"/>
    <cellStyle name="Cálculo 9 2 2 2 2 2 4 2" xfId="40558"/>
    <cellStyle name="Cálculo 9 2 2 2 2 2 5" xfId="32793"/>
    <cellStyle name="Cálculo 9 2 2 2 2 3" xfId="5149"/>
    <cellStyle name="Cálculo 9 2 2 2 2 3 2" xfId="15246"/>
    <cellStyle name="Cálculo 9 2 2 2 2 3 2 2" xfId="44427"/>
    <cellStyle name="Cálculo 9 2 2 2 2 3 3" xfId="34332"/>
    <cellStyle name="Cálculo 9 2 2 2 2 4" xfId="10065"/>
    <cellStyle name="Cálculo 9 2 2 2 2 4 2" xfId="20414"/>
    <cellStyle name="Cálculo 9 2 2 2 2 4 2 2" xfId="49595"/>
    <cellStyle name="Cálculo 9 2 2 2 2 4 3" xfId="39248"/>
    <cellStyle name="Cálculo 9 2 2 2 2 5" xfId="17065"/>
    <cellStyle name="Cálculo 9 2 2 2 2 5 2" xfId="46246"/>
    <cellStyle name="Cálculo 9 2 2 2 2 6" xfId="30993"/>
    <cellStyle name="Cálculo 9 2 2 2 3" xfId="2710"/>
    <cellStyle name="Cálculo 9 2 2 2 3 2" xfId="5869"/>
    <cellStyle name="Cálculo 9 2 2 2 3 2 2" xfId="11015"/>
    <cellStyle name="Cálculo 9 2 2 2 3 2 2 2" xfId="40196"/>
    <cellStyle name="Cálculo 9 2 2 2 3 2 3" xfId="35052"/>
    <cellStyle name="Cálculo 9 2 2 2 3 3" xfId="9290"/>
    <cellStyle name="Cálculo 9 2 2 2 3 3 2" xfId="19945"/>
    <cellStyle name="Cálculo 9 2 2 2 3 3 2 2" xfId="49126"/>
    <cellStyle name="Cálculo 9 2 2 2 3 3 3" xfId="38473"/>
    <cellStyle name="Cálculo 9 2 2 2 3 4" xfId="15591"/>
    <cellStyle name="Cálculo 9 2 2 2 3 4 2" xfId="44772"/>
    <cellStyle name="Cálculo 9 2 2 2 3 5" xfId="31893"/>
    <cellStyle name="Cálculo 9 2 2 2 4" xfId="4429"/>
    <cellStyle name="Cálculo 9 2 2 2 4 2" xfId="18066"/>
    <cellStyle name="Cálculo 9 2 2 2 4 2 2" xfId="47247"/>
    <cellStyle name="Cálculo 9 2 2 2 4 3" xfId="33612"/>
    <cellStyle name="Cálculo 9 2 2 2 5" xfId="8501"/>
    <cellStyle name="Cálculo 9 2 2 2 5 2" xfId="19473"/>
    <cellStyle name="Cálculo 9 2 2 2 5 2 2" xfId="48654"/>
    <cellStyle name="Cálculo 9 2 2 2 5 3" xfId="37684"/>
    <cellStyle name="Cálculo 9 2 2 2 6" xfId="16660"/>
    <cellStyle name="Cálculo 9 2 2 2 6 2" xfId="45841"/>
    <cellStyle name="Cálculo 9 2 2 2 7" xfId="30069"/>
    <cellStyle name="Cálculo 9 2 2 3" xfId="1064"/>
    <cellStyle name="Cálculo 9 2 2 3 2" xfId="1974"/>
    <cellStyle name="Cálculo 9 2 2 3 2 2" xfId="3774"/>
    <cellStyle name="Cálculo 9 2 2 3 2 2 2" xfId="6717"/>
    <cellStyle name="Cálculo 9 2 2 3 2 2 2 2" xfId="18447"/>
    <cellStyle name="Cálculo 9 2 2 3 2 2 2 2 2" xfId="47628"/>
    <cellStyle name="Cálculo 9 2 2 3 2 2 2 3" xfId="35900"/>
    <cellStyle name="Cálculo 9 2 2 3 2 2 3" xfId="7584"/>
    <cellStyle name="Cálculo 9 2 2 3 2 2 3 2" xfId="18910"/>
    <cellStyle name="Cálculo 9 2 2 3 2 2 3 2 2" xfId="48091"/>
    <cellStyle name="Cálculo 9 2 2 3 2 2 3 3" xfId="36767"/>
    <cellStyle name="Cálculo 9 2 2 3 2 2 4" xfId="10625"/>
    <cellStyle name="Cálculo 9 2 2 3 2 2 4 2" xfId="39806"/>
    <cellStyle name="Cálculo 9 2 2 3 2 2 5" xfId="32957"/>
    <cellStyle name="Cálculo 9 2 2 3 2 3" xfId="5277"/>
    <cellStyle name="Cálculo 9 2 2 3 2 3 2" xfId="14548"/>
    <cellStyle name="Cálculo 9 2 2 3 2 3 2 2" xfId="43729"/>
    <cellStyle name="Cálculo 9 2 2 3 2 3 3" xfId="34460"/>
    <cellStyle name="Cálculo 9 2 2 3 2 4" xfId="9899"/>
    <cellStyle name="Cálculo 9 2 2 3 2 4 2" xfId="20310"/>
    <cellStyle name="Cálculo 9 2 2 3 2 4 2 2" xfId="49491"/>
    <cellStyle name="Cálculo 9 2 2 3 2 4 3" xfId="39082"/>
    <cellStyle name="Cálculo 9 2 2 3 2 5" xfId="17993"/>
    <cellStyle name="Cálculo 9 2 2 3 2 5 2" xfId="47174"/>
    <cellStyle name="Cálculo 9 2 2 3 2 6" xfId="31157"/>
    <cellStyle name="Cálculo 9 2 2 3 3" xfId="2874"/>
    <cellStyle name="Cálculo 9 2 2 3 3 2" xfId="5997"/>
    <cellStyle name="Cálculo 9 2 2 3 3 2 2" xfId="10584"/>
    <cellStyle name="Cálculo 9 2 2 3 3 2 2 2" xfId="39765"/>
    <cellStyle name="Cálculo 9 2 2 3 3 2 3" xfId="35180"/>
    <cellStyle name="Cálculo 9 2 2 3 3 3" xfId="9124"/>
    <cellStyle name="Cálculo 9 2 2 3 3 3 2" xfId="19841"/>
    <cellStyle name="Cálculo 9 2 2 3 3 3 2 2" xfId="49022"/>
    <cellStyle name="Cálculo 9 2 2 3 3 3 3" xfId="38307"/>
    <cellStyle name="Cálculo 9 2 2 3 3 4" xfId="14525"/>
    <cellStyle name="Cálculo 9 2 2 3 3 4 2" xfId="43706"/>
    <cellStyle name="Cálculo 9 2 2 3 3 5" xfId="32057"/>
    <cellStyle name="Cálculo 9 2 2 3 4" xfId="4557"/>
    <cellStyle name="Cálculo 9 2 2 3 4 2" xfId="16869"/>
    <cellStyle name="Cálculo 9 2 2 3 4 2 2" xfId="46050"/>
    <cellStyle name="Cálculo 9 2 2 3 4 3" xfId="33740"/>
    <cellStyle name="Cálculo 9 2 2 3 5" xfId="8296"/>
    <cellStyle name="Cálculo 9 2 2 3 5 2" xfId="19342"/>
    <cellStyle name="Cálculo 9 2 2 3 5 2 2" xfId="48523"/>
    <cellStyle name="Cálculo 9 2 2 3 5 3" xfId="37479"/>
    <cellStyle name="Cálculo 9 2 2 3 6" xfId="16547"/>
    <cellStyle name="Cálculo 9 2 2 3 6 2" xfId="45728"/>
    <cellStyle name="Cálculo 9 2 2 3 7" xfId="30254"/>
    <cellStyle name="Cálculo 9 2 2 4" xfId="1214"/>
    <cellStyle name="Cálculo 9 2 2 4 2" xfId="2118"/>
    <cellStyle name="Cálculo 9 2 2 4 2 2" xfId="3918"/>
    <cellStyle name="Cálculo 9 2 2 4 2 2 2" xfId="6834"/>
    <cellStyle name="Cálculo 9 2 2 4 2 2 2 2" xfId="18501"/>
    <cellStyle name="Cálculo 9 2 2 4 2 2 2 2 2" xfId="47682"/>
    <cellStyle name="Cálculo 9 2 2 4 2 2 2 3" xfId="36017"/>
    <cellStyle name="Cálculo 9 2 2 4 2 2 3" xfId="10258"/>
    <cellStyle name="Cálculo 9 2 2 4 2 2 3 2" xfId="20523"/>
    <cellStyle name="Cálculo 9 2 2 4 2 2 3 2 2" xfId="49704"/>
    <cellStyle name="Cálculo 9 2 2 4 2 2 3 3" xfId="39441"/>
    <cellStyle name="Cálculo 9 2 2 4 2 2 4" xfId="15536"/>
    <cellStyle name="Cálculo 9 2 2 4 2 2 4 2" xfId="44717"/>
    <cellStyle name="Cálculo 9 2 2 4 2 2 5" xfId="33101"/>
    <cellStyle name="Cálculo 9 2 2 4 2 3" xfId="5394"/>
    <cellStyle name="Cálculo 9 2 2 4 2 3 2" xfId="17661"/>
    <cellStyle name="Cálculo 9 2 2 4 2 3 2 2" xfId="46842"/>
    <cellStyle name="Cálculo 9 2 2 4 2 3 3" xfId="34577"/>
    <cellStyle name="Cálculo 9 2 2 4 2 4" xfId="10436"/>
    <cellStyle name="Cálculo 9 2 2 4 2 4 2" xfId="20637"/>
    <cellStyle name="Cálculo 9 2 2 4 2 4 2 2" xfId="49818"/>
    <cellStyle name="Cálculo 9 2 2 4 2 4 3" xfId="39619"/>
    <cellStyle name="Cálculo 9 2 2 4 2 5" xfId="17322"/>
    <cellStyle name="Cálculo 9 2 2 4 2 5 2" xfId="46503"/>
    <cellStyle name="Cálculo 9 2 2 4 2 6" xfId="31301"/>
    <cellStyle name="Cálculo 9 2 2 4 3" xfId="3018"/>
    <cellStyle name="Cálculo 9 2 2 4 3 2" xfId="6114"/>
    <cellStyle name="Cálculo 9 2 2 4 3 2 2" xfId="18141"/>
    <cellStyle name="Cálculo 9 2 2 4 3 2 2 2" xfId="47322"/>
    <cellStyle name="Cálculo 9 2 2 4 3 2 3" xfId="35297"/>
    <cellStyle name="Cálculo 9 2 2 4 3 3" xfId="9659"/>
    <cellStyle name="Cálculo 9 2 2 4 3 3 2" xfId="20164"/>
    <cellStyle name="Cálculo 9 2 2 4 3 3 2 2" xfId="49345"/>
    <cellStyle name="Cálculo 9 2 2 4 3 3 3" xfId="38842"/>
    <cellStyle name="Cálculo 9 2 2 4 3 4" xfId="14652"/>
    <cellStyle name="Cálculo 9 2 2 4 3 4 2" xfId="43833"/>
    <cellStyle name="Cálculo 9 2 2 4 3 5" xfId="32201"/>
    <cellStyle name="Cálculo 9 2 2 4 4" xfId="4674"/>
    <cellStyle name="Cálculo 9 2 2 4 4 2" xfId="11018"/>
    <cellStyle name="Cálculo 9 2 2 4 4 2 2" xfId="40199"/>
    <cellStyle name="Cálculo 9 2 2 4 4 3" xfId="33857"/>
    <cellStyle name="Cálculo 9 2 2 4 5" xfId="10249"/>
    <cellStyle name="Cálculo 9 2 2 4 5 2" xfId="20517"/>
    <cellStyle name="Cálculo 9 2 2 4 5 2 2" xfId="49698"/>
    <cellStyle name="Cálculo 9 2 2 4 5 3" xfId="39432"/>
    <cellStyle name="Cálculo 9 2 2 4 6" xfId="17319"/>
    <cellStyle name="Cálculo 9 2 2 4 6 2" xfId="46500"/>
    <cellStyle name="Cálculo 9 2 2 4 7" xfId="30401"/>
    <cellStyle name="Cálculo 9 2 2 5" xfId="1360"/>
    <cellStyle name="Cálculo 9 2 2 5 2" xfId="2262"/>
    <cellStyle name="Cálculo 9 2 2 5 2 2" xfId="4062"/>
    <cellStyle name="Cálculo 9 2 2 5 2 2 2" xfId="6951"/>
    <cellStyle name="Cálculo 9 2 2 5 2 2 2 2" xfId="18555"/>
    <cellStyle name="Cálculo 9 2 2 5 2 2 2 2 2" xfId="47736"/>
    <cellStyle name="Cálculo 9 2 2 5 2 2 2 3" xfId="36134"/>
    <cellStyle name="Cálculo 9 2 2 5 2 2 3" xfId="7018"/>
    <cellStyle name="Cálculo 9 2 2 5 2 2 3 2" xfId="18585"/>
    <cellStyle name="Cálculo 9 2 2 5 2 2 3 2 2" xfId="47766"/>
    <cellStyle name="Cálculo 9 2 2 5 2 2 3 3" xfId="36201"/>
    <cellStyle name="Cálculo 9 2 2 5 2 2 4" xfId="17794"/>
    <cellStyle name="Cálculo 9 2 2 5 2 2 4 2" xfId="46975"/>
    <cellStyle name="Cálculo 9 2 2 5 2 2 5" xfId="33245"/>
    <cellStyle name="Cálculo 9 2 2 5 2 3" xfId="5511"/>
    <cellStyle name="Cálculo 9 2 2 5 2 3 2" xfId="11616"/>
    <cellStyle name="Cálculo 9 2 2 5 2 3 2 2" xfId="40797"/>
    <cellStyle name="Cálculo 9 2 2 5 2 3 3" xfId="34694"/>
    <cellStyle name="Cálculo 9 2 2 5 2 4" xfId="7511"/>
    <cellStyle name="Cálculo 9 2 2 5 2 4 2" xfId="18861"/>
    <cellStyle name="Cálculo 9 2 2 5 2 4 2 2" xfId="48042"/>
    <cellStyle name="Cálculo 9 2 2 5 2 4 3" xfId="36694"/>
    <cellStyle name="Cálculo 9 2 2 5 2 5" xfId="17577"/>
    <cellStyle name="Cálculo 9 2 2 5 2 5 2" xfId="46758"/>
    <cellStyle name="Cálculo 9 2 2 5 2 6" xfId="31445"/>
    <cellStyle name="Cálculo 9 2 2 5 3" xfId="3162"/>
    <cellStyle name="Cálculo 9 2 2 5 3 2" xfId="6231"/>
    <cellStyle name="Cálculo 9 2 2 5 3 2 2" xfId="18195"/>
    <cellStyle name="Cálculo 9 2 2 5 3 2 2 2" xfId="47376"/>
    <cellStyle name="Cálculo 9 2 2 5 3 2 3" xfId="35414"/>
    <cellStyle name="Cálculo 9 2 2 5 3 3" xfId="7207"/>
    <cellStyle name="Cálculo 9 2 2 5 3 3 2" xfId="18690"/>
    <cellStyle name="Cálculo 9 2 2 5 3 3 2 2" xfId="47871"/>
    <cellStyle name="Cálculo 9 2 2 5 3 3 3" xfId="36390"/>
    <cellStyle name="Cálculo 9 2 2 5 3 4" xfId="16890"/>
    <cellStyle name="Cálculo 9 2 2 5 3 4 2" xfId="46071"/>
    <cellStyle name="Cálculo 9 2 2 5 3 5" xfId="32345"/>
    <cellStyle name="Cálculo 9 2 2 5 4" xfId="4791"/>
    <cellStyle name="Cálculo 9 2 2 5 4 2" xfId="17476"/>
    <cellStyle name="Cálculo 9 2 2 5 4 2 2" xfId="46657"/>
    <cellStyle name="Cálculo 9 2 2 5 4 3" xfId="33974"/>
    <cellStyle name="Cálculo 9 2 2 5 5" xfId="8477"/>
    <cellStyle name="Cálculo 9 2 2 5 5 2" xfId="19460"/>
    <cellStyle name="Cálculo 9 2 2 5 5 2 2" xfId="48641"/>
    <cellStyle name="Cálculo 9 2 2 5 5 3" xfId="37660"/>
    <cellStyle name="Cálculo 9 2 2 5 6" xfId="11656"/>
    <cellStyle name="Cálculo 9 2 2 5 6 2" xfId="40837"/>
    <cellStyle name="Cálculo 9 2 2 5 7" xfId="30545"/>
    <cellStyle name="Cálculo 9 2 2 6" xfId="1542"/>
    <cellStyle name="Cálculo 9 2 2 6 2" xfId="3342"/>
    <cellStyle name="Cálculo 9 2 2 6 2 2" xfId="6375"/>
    <cellStyle name="Cálculo 9 2 2 6 2 2 2" xfId="18267"/>
    <cellStyle name="Cálculo 9 2 2 6 2 2 2 2" xfId="47448"/>
    <cellStyle name="Cálculo 9 2 2 6 2 2 3" xfId="35558"/>
    <cellStyle name="Cálculo 9 2 2 6 2 3" xfId="9283"/>
    <cellStyle name="Cálculo 9 2 2 6 2 3 2" xfId="19939"/>
    <cellStyle name="Cálculo 9 2 2 6 2 3 2 2" xfId="49120"/>
    <cellStyle name="Cálculo 9 2 2 6 2 3 3" xfId="38466"/>
    <cellStyle name="Cálculo 9 2 2 6 2 4" xfId="17708"/>
    <cellStyle name="Cálculo 9 2 2 6 2 4 2" xfId="46889"/>
    <cellStyle name="Cálculo 9 2 2 6 2 5" xfId="32525"/>
    <cellStyle name="Cálculo 9 2 2 6 3" xfId="4935"/>
    <cellStyle name="Cálculo 9 2 2 6 3 2" xfId="12064"/>
    <cellStyle name="Cálculo 9 2 2 6 3 2 2" xfId="41245"/>
    <cellStyle name="Cálculo 9 2 2 6 3 3" xfId="34118"/>
    <cellStyle name="Cálculo 9 2 2 6 4" xfId="10362"/>
    <cellStyle name="Cálculo 9 2 2 6 4 2" xfId="20591"/>
    <cellStyle name="Cálculo 9 2 2 6 4 2 2" xfId="49772"/>
    <cellStyle name="Cálculo 9 2 2 6 4 3" xfId="39545"/>
    <cellStyle name="Cálculo 9 2 2 6 5" xfId="10683"/>
    <cellStyle name="Cálculo 9 2 2 6 5 2" xfId="39864"/>
    <cellStyle name="Cálculo 9 2 2 6 6" xfId="30725"/>
    <cellStyle name="Cálculo 9 2 2 7" xfId="2442"/>
    <cellStyle name="Cálculo 9 2 2 7 2" xfId="5655"/>
    <cellStyle name="Cálculo 9 2 2 7 2 2" xfId="13815"/>
    <cellStyle name="Cálculo 9 2 2 7 2 2 2" xfId="42996"/>
    <cellStyle name="Cálculo 9 2 2 7 2 3" xfId="34838"/>
    <cellStyle name="Cálculo 9 2 2 7 3" xfId="9585"/>
    <cellStyle name="Cálculo 9 2 2 7 3 2" xfId="20120"/>
    <cellStyle name="Cálculo 9 2 2 7 3 2 2" xfId="49301"/>
    <cellStyle name="Cálculo 9 2 2 7 3 3" xfId="38768"/>
    <cellStyle name="Cálculo 9 2 2 7 4" xfId="17352"/>
    <cellStyle name="Cálculo 9 2 2 7 4 2" xfId="46533"/>
    <cellStyle name="Cálculo 9 2 2 7 5" xfId="31625"/>
    <cellStyle name="Cálculo 9 2 2 8" xfId="4215"/>
    <cellStyle name="Cálculo 9 2 2 8 2" xfId="15641"/>
    <cellStyle name="Cálculo 9 2 2 8 2 2" xfId="44822"/>
    <cellStyle name="Cálculo 9 2 2 8 3" xfId="33398"/>
    <cellStyle name="Cálculo 9 2 2 9" xfId="9072"/>
    <cellStyle name="Cálculo 9 2 2 9 2" xfId="19809"/>
    <cellStyle name="Cálculo 9 2 2 9 2 2" xfId="48990"/>
    <cellStyle name="Cálculo 9 2 2 9 3" xfId="38255"/>
    <cellStyle name="Cálculo 9 2 3" xfId="782"/>
    <cellStyle name="Cálculo 9 2 3 2" xfId="1720"/>
    <cellStyle name="Cálculo 9 2 3 2 2" xfId="3520"/>
    <cellStyle name="Cálculo 9 2 3 2 2 2" xfId="6517"/>
    <cellStyle name="Cálculo 9 2 3 2 2 2 2" xfId="18357"/>
    <cellStyle name="Cálculo 9 2 3 2 2 2 2 2" xfId="47538"/>
    <cellStyle name="Cálculo 9 2 3 2 2 2 3" xfId="35700"/>
    <cellStyle name="Cálculo 9 2 3 2 2 3" xfId="7945"/>
    <cellStyle name="Cálculo 9 2 3 2 2 3 2" xfId="19128"/>
    <cellStyle name="Cálculo 9 2 3 2 2 3 2 2" xfId="48309"/>
    <cellStyle name="Cálculo 9 2 3 2 2 3 3" xfId="37128"/>
    <cellStyle name="Cálculo 9 2 3 2 2 4" xfId="14646"/>
    <cellStyle name="Cálculo 9 2 3 2 2 4 2" xfId="43827"/>
    <cellStyle name="Cálculo 9 2 3 2 2 5" xfId="32703"/>
    <cellStyle name="Cálculo 9 2 3 2 3" xfId="5077"/>
    <cellStyle name="Cálculo 9 2 3 2 3 2" xfId="16711"/>
    <cellStyle name="Cálculo 9 2 3 2 3 2 2" xfId="45892"/>
    <cellStyle name="Cálculo 9 2 3 2 3 3" xfId="34260"/>
    <cellStyle name="Cálculo 9 2 3 2 4" xfId="8131"/>
    <cellStyle name="Cálculo 9 2 3 2 4 2" xfId="19241"/>
    <cellStyle name="Cálculo 9 2 3 2 4 2 2" xfId="48422"/>
    <cellStyle name="Cálculo 9 2 3 2 4 3" xfId="37314"/>
    <cellStyle name="Cálculo 9 2 3 2 5" xfId="13078"/>
    <cellStyle name="Cálculo 9 2 3 2 5 2" xfId="42259"/>
    <cellStyle name="Cálculo 9 2 3 2 6" xfId="30903"/>
    <cellStyle name="Cálculo 9 2 3 3" xfId="2620"/>
    <cellStyle name="Cálculo 9 2 3 3 2" xfId="5797"/>
    <cellStyle name="Cálculo 9 2 3 3 2 2" xfId="11829"/>
    <cellStyle name="Cálculo 9 2 3 3 2 2 2" xfId="41010"/>
    <cellStyle name="Cálculo 9 2 3 3 2 3" xfId="34980"/>
    <cellStyle name="Cálculo 9 2 3 3 3" xfId="8896"/>
    <cellStyle name="Cálculo 9 2 3 3 3 2" xfId="19704"/>
    <cellStyle name="Cálculo 9 2 3 3 3 2 2" xfId="48885"/>
    <cellStyle name="Cálculo 9 2 3 3 3 3" xfId="38079"/>
    <cellStyle name="Cálculo 9 2 3 3 4" xfId="16340"/>
    <cellStyle name="Cálculo 9 2 3 3 4 2" xfId="45521"/>
    <cellStyle name="Cálculo 9 2 3 3 5" xfId="31803"/>
    <cellStyle name="Cálculo 9 2 3 4" xfId="4357"/>
    <cellStyle name="Cálculo 9 2 3 4 2" xfId="12471"/>
    <cellStyle name="Cálculo 9 2 3 4 2 2" xfId="41652"/>
    <cellStyle name="Cálculo 9 2 3 4 3" xfId="33540"/>
    <cellStyle name="Cálculo 9 2 3 5" xfId="7327"/>
    <cellStyle name="Cálculo 9 2 3 5 2" xfId="18757"/>
    <cellStyle name="Cálculo 9 2 3 5 2 2" xfId="47938"/>
    <cellStyle name="Cálculo 9 2 3 5 3" xfId="36510"/>
    <cellStyle name="Cálculo 9 2 3 6" xfId="18075"/>
    <cellStyle name="Cálculo 9 2 3 6 2" xfId="47256"/>
    <cellStyle name="Cálculo 9 2 3 7" xfId="29979"/>
    <cellStyle name="Cálculo 9 2 4" xfId="974"/>
    <cellStyle name="Cálculo 9 2 4 2" xfId="1884"/>
    <cellStyle name="Cálculo 9 2 4 2 2" xfId="3684"/>
    <cellStyle name="Cálculo 9 2 4 2 2 2" xfId="6645"/>
    <cellStyle name="Cálculo 9 2 4 2 2 2 2" xfId="18411"/>
    <cellStyle name="Cálculo 9 2 4 2 2 2 2 2" xfId="47592"/>
    <cellStyle name="Cálculo 9 2 4 2 2 2 3" xfId="35828"/>
    <cellStyle name="Cálculo 9 2 4 2 2 3" xfId="7776"/>
    <cellStyle name="Cálculo 9 2 4 2 2 3 2" xfId="19028"/>
    <cellStyle name="Cálculo 9 2 4 2 2 3 2 2" xfId="48209"/>
    <cellStyle name="Cálculo 9 2 4 2 2 3 3" xfId="36959"/>
    <cellStyle name="Cálculo 9 2 4 2 2 4" xfId="17684"/>
    <cellStyle name="Cálculo 9 2 4 2 2 4 2" xfId="46865"/>
    <cellStyle name="Cálculo 9 2 4 2 2 5" xfId="32867"/>
    <cellStyle name="Cálculo 9 2 4 2 3" xfId="5205"/>
    <cellStyle name="Cálculo 9 2 4 2 3 2" xfId="17357"/>
    <cellStyle name="Cálculo 9 2 4 2 3 2 2" xfId="46538"/>
    <cellStyle name="Cálculo 9 2 4 2 3 3" xfId="34388"/>
    <cellStyle name="Cálculo 9 2 4 2 4" xfId="8010"/>
    <cellStyle name="Cálculo 9 2 4 2 4 2" xfId="19170"/>
    <cellStyle name="Cálculo 9 2 4 2 4 2 2" xfId="48351"/>
    <cellStyle name="Cálculo 9 2 4 2 4 3" xfId="37193"/>
    <cellStyle name="Cálculo 9 2 4 2 5" xfId="16210"/>
    <cellStyle name="Cálculo 9 2 4 2 5 2" xfId="45391"/>
    <cellStyle name="Cálculo 9 2 4 2 6" xfId="31067"/>
    <cellStyle name="Cálculo 9 2 4 3" xfId="2784"/>
    <cellStyle name="Cálculo 9 2 4 3 2" xfId="5925"/>
    <cellStyle name="Cálculo 9 2 4 3 2 2" xfId="15298"/>
    <cellStyle name="Cálculo 9 2 4 3 2 2 2" xfId="44479"/>
    <cellStyle name="Cálculo 9 2 4 3 2 3" xfId="35108"/>
    <cellStyle name="Cálculo 9 2 4 3 3" xfId="8775"/>
    <cellStyle name="Cálculo 9 2 4 3 3 2" xfId="19635"/>
    <cellStyle name="Cálculo 9 2 4 3 3 2 2" xfId="48816"/>
    <cellStyle name="Cálculo 9 2 4 3 3 3" xfId="37958"/>
    <cellStyle name="Cálculo 9 2 4 3 4" xfId="15210"/>
    <cellStyle name="Cálculo 9 2 4 3 4 2" xfId="44391"/>
    <cellStyle name="Cálculo 9 2 4 3 5" xfId="31967"/>
    <cellStyle name="Cálculo 9 2 4 4" xfId="4485"/>
    <cellStyle name="Cálculo 9 2 4 4 2" xfId="16795"/>
    <cellStyle name="Cálculo 9 2 4 4 2 2" xfId="45976"/>
    <cellStyle name="Cálculo 9 2 4 4 3" xfId="33668"/>
    <cellStyle name="Cálculo 9 2 4 5" xfId="10252"/>
    <cellStyle name="Cálculo 9 2 4 5 2" xfId="20519"/>
    <cellStyle name="Cálculo 9 2 4 5 2 2" xfId="49700"/>
    <cellStyle name="Cálculo 9 2 4 5 3" xfId="39435"/>
    <cellStyle name="Cálculo 9 2 4 6" xfId="12326"/>
    <cellStyle name="Cálculo 9 2 4 6 2" xfId="41507"/>
    <cellStyle name="Cálculo 9 2 4 7" xfId="30164"/>
    <cellStyle name="Cálculo 9 2 5" xfId="1124"/>
    <cellStyle name="Cálculo 9 2 5 2" xfId="2028"/>
    <cellStyle name="Cálculo 9 2 5 2 2" xfId="3828"/>
    <cellStyle name="Cálculo 9 2 5 2 2 2" xfId="6762"/>
    <cellStyle name="Cálculo 9 2 5 2 2 2 2" xfId="18465"/>
    <cellStyle name="Cálculo 9 2 5 2 2 2 2 2" xfId="47646"/>
    <cellStyle name="Cálculo 9 2 5 2 2 2 3" xfId="35945"/>
    <cellStyle name="Cálculo 9 2 5 2 2 3" xfId="8342"/>
    <cellStyle name="Cálculo 9 2 5 2 2 3 2" xfId="19371"/>
    <cellStyle name="Cálculo 9 2 5 2 2 3 2 2" xfId="48552"/>
    <cellStyle name="Cálculo 9 2 5 2 2 3 3" xfId="37525"/>
    <cellStyle name="Cálculo 9 2 5 2 2 4" xfId="16963"/>
    <cellStyle name="Cálculo 9 2 5 2 2 4 2" xfId="46144"/>
    <cellStyle name="Cálculo 9 2 5 2 2 5" xfId="33011"/>
    <cellStyle name="Cálculo 9 2 5 2 3" xfId="5322"/>
    <cellStyle name="Cálculo 9 2 5 2 3 2" xfId="13592"/>
    <cellStyle name="Cálculo 9 2 5 2 3 2 2" xfId="42773"/>
    <cellStyle name="Cálculo 9 2 5 2 3 3" xfId="34505"/>
    <cellStyle name="Cálculo 9 2 5 2 4" xfId="7921"/>
    <cellStyle name="Cálculo 9 2 5 2 4 2" xfId="19113"/>
    <cellStyle name="Cálculo 9 2 5 2 4 2 2" xfId="48294"/>
    <cellStyle name="Cálculo 9 2 5 2 4 3" xfId="37104"/>
    <cellStyle name="Cálculo 9 2 5 2 5" xfId="16018"/>
    <cellStyle name="Cálculo 9 2 5 2 5 2" xfId="45199"/>
    <cellStyle name="Cálculo 9 2 5 2 6" xfId="31211"/>
    <cellStyle name="Cálculo 9 2 5 3" xfId="2928"/>
    <cellStyle name="Cálculo 9 2 5 3 2" xfId="6042"/>
    <cellStyle name="Cálculo 9 2 5 3 2 2" xfId="10566"/>
    <cellStyle name="Cálculo 9 2 5 3 2 2 2" xfId="39747"/>
    <cellStyle name="Cálculo 9 2 5 3 2 3" xfId="35225"/>
    <cellStyle name="Cálculo 9 2 5 3 3" xfId="8694"/>
    <cellStyle name="Cálculo 9 2 5 3 3 2" xfId="19585"/>
    <cellStyle name="Cálculo 9 2 5 3 3 2 2" xfId="48766"/>
    <cellStyle name="Cálculo 9 2 5 3 3 3" xfId="37877"/>
    <cellStyle name="Cálculo 9 2 5 3 4" xfId="11683"/>
    <cellStyle name="Cálculo 9 2 5 3 4 2" xfId="40864"/>
    <cellStyle name="Cálculo 9 2 5 3 5" xfId="32111"/>
    <cellStyle name="Cálculo 9 2 5 4" xfId="4602"/>
    <cellStyle name="Cálculo 9 2 5 4 2" xfId="11832"/>
    <cellStyle name="Cálculo 9 2 5 4 2 2" xfId="41013"/>
    <cellStyle name="Cálculo 9 2 5 4 3" xfId="33785"/>
    <cellStyle name="Cálculo 9 2 5 5" xfId="8333"/>
    <cellStyle name="Cálculo 9 2 5 5 2" xfId="19367"/>
    <cellStyle name="Cálculo 9 2 5 5 2 2" xfId="48548"/>
    <cellStyle name="Cálculo 9 2 5 5 3" xfId="37516"/>
    <cellStyle name="Cálculo 9 2 5 6" xfId="16583"/>
    <cellStyle name="Cálculo 9 2 5 6 2" xfId="45764"/>
    <cellStyle name="Cálculo 9 2 5 7" xfId="30311"/>
    <cellStyle name="Cálculo 9 2 6" xfId="1270"/>
    <cellStyle name="Cálculo 9 2 6 2" xfId="2172"/>
    <cellStyle name="Cálculo 9 2 6 2 2" xfId="3972"/>
    <cellStyle name="Cálculo 9 2 6 2 2 2" xfId="6879"/>
    <cellStyle name="Cálculo 9 2 6 2 2 2 2" xfId="18519"/>
    <cellStyle name="Cálculo 9 2 6 2 2 2 2 2" xfId="47700"/>
    <cellStyle name="Cálculo 9 2 6 2 2 2 3" xfId="36062"/>
    <cellStyle name="Cálculo 9 2 6 2 2 3" xfId="7108"/>
    <cellStyle name="Cálculo 9 2 6 2 2 3 2" xfId="18639"/>
    <cellStyle name="Cálculo 9 2 6 2 2 3 2 2" xfId="47820"/>
    <cellStyle name="Cálculo 9 2 6 2 2 3 3" xfId="36291"/>
    <cellStyle name="Cálculo 9 2 6 2 2 4" xfId="15028"/>
    <cellStyle name="Cálculo 9 2 6 2 2 4 2" xfId="44209"/>
    <cellStyle name="Cálculo 9 2 6 2 2 5" xfId="33155"/>
    <cellStyle name="Cálculo 9 2 6 2 3" xfId="5439"/>
    <cellStyle name="Cálculo 9 2 6 2 3 2" xfId="17341"/>
    <cellStyle name="Cálculo 9 2 6 2 3 2 2" xfId="46522"/>
    <cellStyle name="Cálculo 9 2 6 2 3 3" xfId="34622"/>
    <cellStyle name="Cálculo 9 2 6 2 4" xfId="8467"/>
    <cellStyle name="Cálculo 9 2 6 2 4 2" xfId="19454"/>
    <cellStyle name="Cálculo 9 2 6 2 4 2 2" xfId="48635"/>
    <cellStyle name="Cálculo 9 2 6 2 4 3" xfId="37650"/>
    <cellStyle name="Cálculo 9 2 6 2 5" xfId="15695"/>
    <cellStyle name="Cálculo 9 2 6 2 5 2" xfId="44876"/>
    <cellStyle name="Cálculo 9 2 6 2 6" xfId="31355"/>
    <cellStyle name="Cálculo 9 2 6 3" xfId="3072"/>
    <cellStyle name="Cálculo 9 2 6 3 2" xfId="6159"/>
    <cellStyle name="Cálculo 9 2 6 3 2 2" xfId="18159"/>
    <cellStyle name="Cálculo 9 2 6 3 2 2 2" xfId="47340"/>
    <cellStyle name="Cálculo 9 2 6 3 2 3" xfId="35342"/>
    <cellStyle name="Cálculo 9 2 6 3 3" xfId="9985"/>
    <cellStyle name="Cálculo 9 2 6 3 3 2" xfId="20364"/>
    <cellStyle name="Cálculo 9 2 6 3 3 2 2" xfId="49545"/>
    <cellStyle name="Cálculo 9 2 6 3 3 3" xfId="39168"/>
    <cellStyle name="Cálculo 9 2 6 3 4" xfId="12036"/>
    <cellStyle name="Cálculo 9 2 6 3 4 2" xfId="41217"/>
    <cellStyle name="Cálculo 9 2 6 3 5" xfId="32255"/>
    <cellStyle name="Cálculo 9 2 6 4" xfId="4719"/>
    <cellStyle name="Cálculo 9 2 6 4 2" xfId="13138"/>
    <cellStyle name="Cálculo 9 2 6 4 2 2" xfId="42319"/>
    <cellStyle name="Cálculo 9 2 6 4 3" xfId="33902"/>
    <cellStyle name="Cálculo 9 2 6 5" xfId="9266"/>
    <cellStyle name="Cálculo 9 2 6 5 2" xfId="19929"/>
    <cellStyle name="Cálculo 9 2 6 5 2 2" xfId="49110"/>
    <cellStyle name="Cálculo 9 2 6 5 3" xfId="38449"/>
    <cellStyle name="Cálculo 9 2 6 6" xfId="15693"/>
    <cellStyle name="Cálculo 9 2 6 6 2" xfId="44874"/>
    <cellStyle name="Cálculo 9 2 6 7" xfId="30455"/>
    <cellStyle name="Cálculo 9 2 7" xfId="1452"/>
    <cellStyle name="Cálculo 9 2 7 2" xfId="3252"/>
    <cellStyle name="Cálculo 9 2 7 2 2" xfId="6303"/>
    <cellStyle name="Cálculo 9 2 7 2 2 2" xfId="18231"/>
    <cellStyle name="Cálculo 9 2 7 2 2 2 2" xfId="47412"/>
    <cellStyle name="Cálculo 9 2 7 2 2 3" xfId="35486"/>
    <cellStyle name="Cálculo 9 2 7 2 3" xfId="8889"/>
    <cellStyle name="Cálculo 9 2 7 2 3 2" xfId="19700"/>
    <cellStyle name="Cálculo 9 2 7 2 3 2 2" xfId="48881"/>
    <cellStyle name="Cálculo 9 2 7 2 3 3" xfId="38072"/>
    <cellStyle name="Cálculo 9 2 7 2 4" xfId="11598"/>
    <cellStyle name="Cálculo 9 2 7 2 4 2" xfId="40779"/>
    <cellStyle name="Cálculo 9 2 7 2 5" xfId="32435"/>
    <cellStyle name="Cálculo 9 2 7 3" xfId="4863"/>
    <cellStyle name="Cálculo 9 2 7 3 2" xfId="15079"/>
    <cellStyle name="Cálculo 9 2 7 3 2 2" xfId="44260"/>
    <cellStyle name="Cálculo 9 2 7 3 3" xfId="34046"/>
    <cellStyle name="Cálculo 9 2 7 4" xfId="8053"/>
    <cellStyle name="Cálculo 9 2 7 4 2" xfId="19194"/>
    <cellStyle name="Cálculo 9 2 7 4 2 2" xfId="48375"/>
    <cellStyle name="Cálculo 9 2 7 4 3" xfId="37236"/>
    <cellStyle name="Cálculo 9 2 7 5" xfId="17803"/>
    <cellStyle name="Cálculo 9 2 7 5 2" xfId="46984"/>
    <cellStyle name="Cálculo 9 2 7 6" xfId="30635"/>
    <cellStyle name="Cálculo 9 2 8" xfId="2352"/>
    <cellStyle name="Cálculo 9 2 8 2" xfId="5583"/>
    <cellStyle name="Cálculo 9 2 8 2 2" xfId="17073"/>
    <cellStyle name="Cálculo 9 2 8 2 2 2" xfId="46254"/>
    <cellStyle name="Cálculo 9 2 8 2 3" xfId="34766"/>
    <cellStyle name="Cálculo 9 2 8 3" xfId="7610"/>
    <cellStyle name="Cálculo 9 2 8 3 2" xfId="18926"/>
    <cellStyle name="Cálculo 9 2 8 3 2 2" xfId="48107"/>
    <cellStyle name="Cálculo 9 2 8 3 3" xfId="36793"/>
    <cellStyle name="Cálculo 9 2 8 4" xfId="15667"/>
    <cellStyle name="Cálculo 9 2 8 4 2" xfId="44848"/>
    <cellStyle name="Cálculo 9 2 8 5" xfId="31535"/>
    <cellStyle name="Cálculo 9 2 9" xfId="4143"/>
    <cellStyle name="Cálculo 9 2 9 2" xfId="16921"/>
    <cellStyle name="Cálculo 9 2 9 2 2" xfId="46102"/>
    <cellStyle name="Cálculo 9 2 9 3" xfId="33326"/>
    <cellStyle name="Cálculo 9 3" xfId="474"/>
    <cellStyle name="Cálculo 9 3 10" xfId="16268"/>
    <cellStyle name="Cálculo 9 3 10 2" xfId="45449"/>
    <cellStyle name="Cálculo 9 3 11" xfId="29680"/>
    <cellStyle name="Cálculo 9 3 2" xfId="827"/>
    <cellStyle name="Cálculo 9 3 2 2" xfId="1765"/>
    <cellStyle name="Cálculo 9 3 2 2 2" xfId="3565"/>
    <cellStyle name="Cálculo 9 3 2 2 2 2" xfId="6553"/>
    <cellStyle name="Cálculo 9 3 2 2 2 2 2" xfId="18375"/>
    <cellStyle name="Cálculo 9 3 2 2 2 2 2 2" xfId="47556"/>
    <cellStyle name="Cálculo 9 3 2 2 2 2 3" xfId="35736"/>
    <cellStyle name="Cálculo 9 3 2 2 2 3" xfId="7739"/>
    <cellStyle name="Cálculo 9 3 2 2 2 3 2" xfId="19004"/>
    <cellStyle name="Cálculo 9 3 2 2 2 3 2 2" xfId="48185"/>
    <cellStyle name="Cálculo 9 3 2 2 2 3 3" xfId="36922"/>
    <cellStyle name="Cálculo 9 3 2 2 2 4" xfId="13701"/>
    <cellStyle name="Cálculo 9 3 2 2 2 4 2" xfId="42882"/>
    <cellStyle name="Cálculo 9 3 2 2 2 5" xfId="32748"/>
    <cellStyle name="Cálculo 9 3 2 2 3" xfId="5113"/>
    <cellStyle name="Cálculo 9 3 2 2 3 2" xfId="15533"/>
    <cellStyle name="Cálculo 9 3 2 2 3 2 2" xfId="44714"/>
    <cellStyle name="Cálculo 9 3 2 2 3 3" xfId="34296"/>
    <cellStyle name="Cálculo 9 3 2 2 4" xfId="7677"/>
    <cellStyle name="Cálculo 9 3 2 2 4 2" xfId="18965"/>
    <cellStyle name="Cálculo 9 3 2 2 4 2 2" xfId="48146"/>
    <cellStyle name="Cálculo 9 3 2 2 4 3" xfId="36860"/>
    <cellStyle name="Cálculo 9 3 2 2 5" xfId="15737"/>
    <cellStyle name="Cálculo 9 3 2 2 5 2" xfId="44918"/>
    <cellStyle name="Cálculo 9 3 2 2 6" xfId="30948"/>
    <cellStyle name="Cálculo 9 3 2 3" xfId="2665"/>
    <cellStyle name="Cálculo 9 3 2 3 2" xfId="5833"/>
    <cellStyle name="Cálculo 9 3 2 3 2 2" xfId="11371"/>
    <cellStyle name="Cálculo 9 3 2 3 2 2 2" xfId="40552"/>
    <cellStyle name="Cálculo 9 3 2 3 2 3" xfId="35016"/>
    <cellStyle name="Cálculo 9 3 2 3 3" xfId="8463"/>
    <cellStyle name="Cálculo 9 3 2 3 3 2" xfId="19451"/>
    <cellStyle name="Cálculo 9 3 2 3 3 2 2" xfId="48632"/>
    <cellStyle name="Cálculo 9 3 2 3 3 3" xfId="37646"/>
    <cellStyle name="Cálculo 9 3 2 3 4" xfId="11905"/>
    <cellStyle name="Cálculo 9 3 2 3 4 2" xfId="41086"/>
    <cellStyle name="Cálculo 9 3 2 3 5" xfId="31848"/>
    <cellStyle name="Cálculo 9 3 2 4" xfId="4393"/>
    <cellStyle name="Cálculo 9 3 2 4 2" xfId="17218"/>
    <cellStyle name="Cálculo 9 3 2 4 2 2" xfId="46399"/>
    <cellStyle name="Cálculo 9 3 2 4 3" xfId="33576"/>
    <cellStyle name="Cálculo 9 3 2 5" xfId="8916"/>
    <cellStyle name="Cálculo 9 3 2 5 2" xfId="19718"/>
    <cellStyle name="Cálculo 9 3 2 5 2 2" xfId="48899"/>
    <cellStyle name="Cálculo 9 3 2 5 3" xfId="38099"/>
    <cellStyle name="Cálculo 9 3 2 6" xfId="11564"/>
    <cellStyle name="Cálculo 9 3 2 6 2" xfId="40745"/>
    <cellStyle name="Cálculo 9 3 2 7" xfId="30024"/>
    <cellStyle name="Cálculo 9 3 3" xfId="1019"/>
    <cellStyle name="Cálculo 9 3 3 2" xfId="1929"/>
    <cellStyle name="Cálculo 9 3 3 2 2" xfId="3729"/>
    <cellStyle name="Cálculo 9 3 3 2 2 2" xfId="6681"/>
    <cellStyle name="Cálculo 9 3 3 2 2 2 2" xfId="18429"/>
    <cellStyle name="Cálculo 9 3 3 2 2 2 2 2" xfId="47610"/>
    <cellStyle name="Cálculo 9 3 3 2 2 2 3" xfId="35864"/>
    <cellStyle name="Cálculo 9 3 3 2 2 3" xfId="8266"/>
    <cellStyle name="Cálculo 9 3 3 2 2 3 2" xfId="19322"/>
    <cellStyle name="Cálculo 9 3 3 2 2 3 2 2" xfId="48503"/>
    <cellStyle name="Cálculo 9 3 3 2 2 3 3" xfId="37449"/>
    <cellStyle name="Cálculo 9 3 3 2 2 4" xfId="10652"/>
    <cellStyle name="Cálculo 9 3 3 2 2 4 2" xfId="39833"/>
    <cellStyle name="Cálculo 9 3 3 2 2 5" xfId="32912"/>
    <cellStyle name="Cálculo 9 3 3 2 3" xfId="5241"/>
    <cellStyle name="Cálculo 9 3 3 2 3 2" xfId="14626"/>
    <cellStyle name="Cálculo 9 3 3 2 3 2 2" xfId="43807"/>
    <cellStyle name="Cálculo 9 3 3 2 3 3" xfId="34424"/>
    <cellStyle name="Cálculo 9 3 3 2 4" xfId="7504"/>
    <cellStyle name="Cálculo 9 3 3 2 4 2" xfId="18857"/>
    <cellStyle name="Cálculo 9 3 3 2 4 2 2" xfId="48038"/>
    <cellStyle name="Cálculo 9 3 3 2 4 3" xfId="36687"/>
    <cellStyle name="Cálculo 9 3 3 2 5" xfId="14982"/>
    <cellStyle name="Cálculo 9 3 3 2 5 2" xfId="44163"/>
    <cellStyle name="Cálculo 9 3 3 2 6" xfId="31112"/>
    <cellStyle name="Cálculo 9 3 3 3" xfId="2829"/>
    <cellStyle name="Cálculo 9 3 3 3 2" xfId="5961"/>
    <cellStyle name="Cálculo 9 3 3 3 2 2" xfId="10602"/>
    <cellStyle name="Cálculo 9 3 3 3 2 2 2" xfId="39783"/>
    <cellStyle name="Cálculo 9 3 3 3 2 3" xfId="35144"/>
    <cellStyle name="Cálculo 9 3 3 3 3" xfId="8409"/>
    <cellStyle name="Cálculo 9 3 3 3 3 2" xfId="19413"/>
    <cellStyle name="Cálculo 9 3 3 3 3 2 2" xfId="48594"/>
    <cellStyle name="Cálculo 9 3 3 3 3 3" xfId="37592"/>
    <cellStyle name="Cálculo 9 3 3 3 4" xfId="14443"/>
    <cellStyle name="Cálculo 9 3 3 3 4 2" xfId="43624"/>
    <cellStyle name="Cálculo 9 3 3 3 5" xfId="32012"/>
    <cellStyle name="Cálculo 9 3 3 4" xfId="4521"/>
    <cellStyle name="Cálculo 9 3 3 4 2" xfId="17967"/>
    <cellStyle name="Cálculo 9 3 3 4 2 2" xfId="47148"/>
    <cellStyle name="Cálculo 9 3 3 4 3" xfId="33704"/>
    <cellStyle name="Cálculo 9 3 3 5" xfId="7806"/>
    <cellStyle name="Cálculo 9 3 3 5 2" xfId="19045"/>
    <cellStyle name="Cálculo 9 3 3 5 2 2" xfId="48226"/>
    <cellStyle name="Cálculo 9 3 3 5 3" xfId="36989"/>
    <cellStyle name="Cálculo 9 3 3 6" xfId="10823"/>
    <cellStyle name="Cálculo 9 3 3 6 2" xfId="40004"/>
    <cellStyle name="Cálculo 9 3 3 7" xfId="30209"/>
    <cellStyle name="Cálculo 9 3 4" xfId="1169"/>
    <cellStyle name="Cálculo 9 3 4 2" xfId="2073"/>
    <cellStyle name="Cálculo 9 3 4 2 2" xfId="3873"/>
    <cellStyle name="Cálculo 9 3 4 2 2 2" xfId="6798"/>
    <cellStyle name="Cálculo 9 3 4 2 2 2 2" xfId="18483"/>
    <cellStyle name="Cálculo 9 3 4 2 2 2 2 2" xfId="47664"/>
    <cellStyle name="Cálculo 9 3 4 2 2 2 3" xfId="35981"/>
    <cellStyle name="Cálculo 9 3 4 2 2 3" xfId="8146"/>
    <cellStyle name="Cálculo 9 3 4 2 2 3 2" xfId="19253"/>
    <cellStyle name="Cálculo 9 3 4 2 2 3 2 2" xfId="48434"/>
    <cellStyle name="Cálculo 9 3 4 2 2 3 3" xfId="37329"/>
    <cellStyle name="Cálculo 9 3 4 2 2 4" xfId="11934"/>
    <cellStyle name="Cálculo 9 3 4 2 2 4 2" xfId="41115"/>
    <cellStyle name="Cálculo 9 3 4 2 2 5" xfId="33056"/>
    <cellStyle name="Cálculo 9 3 4 2 3" xfId="5358"/>
    <cellStyle name="Cálculo 9 3 4 2 3 2" xfId="17459"/>
    <cellStyle name="Cálculo 9 3 4 2 3 2 2" xfId="46640"/>
    <cellStyle name="Cálculo 9 3 4 2 3 3" xfId="34541"/>
    <cellStyle name="Cálculo 9 3 4 2 4" xfId="7389"/>
    <cellStyle name="Cálculo 9 3 4 2 4 2" xfId="18789"/>
    <cellStyle name="Cálculo 9 3 4 2 4 2 2" xfId="47970"/>
    <cellStyle name="Cálculo 9 3 4 2 4 3" xfId="36572"/>
    <cellStyle name="Cálculo 9 3 4 2 5" xfId="16048"/>
    <cellStyle name="Cálculo 9 3 4 2 5 2" xfId="45229"/>
    <cellStyle name="Cálculo 9 3 4 2 6" xfId="31256"/>
    <cellStyle name="Cálculo 9 3 4 3" xfId="2973"/>
    <cellStyle name="Cálculo 9 3 4 3 2" xfId="6078"/>
    <cellStyle name="Cálculo 9 3 4 3 2 2" xfId="10548"/>
    <cellStyle name="Cálculo 9 3 4 3 2 2 2" xfId="39729"/>
    <cellStyle name="Cálculo 9 3 4 3 2 3" xfId="35261"/>
    <cellStyle name="Cálculo 9 3 4 3 3" xfId="7457"/>
    <cellStyle name="Cálculo 9 3 4 3 3 2" xfId="18830"/>
    <cellStyle name="Cálculo 9 3 4 3 3 2 2" xfId="48011"/>
    <cellStyle name="Cálculo 9 3 4 3 3 3" xfId="36640"/>
    <cellStyle name="Cálculo 9 3 4 3 4" xfId="15409"/>
    <cellStyle name="Cálculo 9 3 4 3 4 2" xfId="44590"/>
    <cellStyle name="Cálculo 9 3 4 3 5" xfId="32156"/>
    <cellStyle name="Cálculo 9 3 4 4" xfId="4638"/>
    <cellStyle name="Cálculo 9 3 4 4 2" xfId="11374"/>
    <cellStyle name="Cálculo 9 3 4 4 2 2" xfId="40555"/>
    <cellStyle name="Cálculo 9 3 4 4 3" xfId="33821"/>
    <cellStyle name="Cálculo 9 3 4 5" xfId="10406"/>
    <cellStyle name="Cálculo 9 3 4 5 2" xfId="20618"/>
    <cellStyle name="Cálculo 9 3 4 5 2 2" xfId="49799"/>
    <cellStyle name="Cálculo 9 3 4 5 3" xfId="39589"/>
    <cellStyle name="Cálculo 9 3 4 6" xfId="11236"/>
    <cellStyle name="Cálculo 9 3 4 6 2" xfId="40417"/>
    <cellStyle name="Cálculo 9 3 4 7" xfId="30356"/>
    <cellStyle name="Cálculo 9 3 5" xfId="1315"/>
    <cellStyle name="Cálculo 9 3 5 2" xfId="2217"/>
    <cellStyle name="Cálculo 9 3 5 2 2" xfId="4017"/>
    <cellStyle name="Cálculo 9 3 5 2 2 2" xfId="6915"/>
    <cellStyle name="Cálculo 9 3 5 2 2 2 2" xfId="18537"/>
    <cellStyle name="Cálculo 9 3 5 2 2 2 2 2" xfId="47718"/>
    <cellStyle name="Cálculo 9 3 5 2 2 2 3" xfId="36098"/>
    <cellStyle name="Cálculo 9 3 5 2 2 3" xfId="7063"/>
    <cellStyle name="Cálculo 9 3 5 2 2 3 2" xfId="18612"/>
    <cellStyle name="Cálculo 9 3 5 2 2 3 2 2" xfId="47793"/>
    <cellStyle name="Cálculo 9 3 5 2 2 3 3" xfId="36246"/>
    <cellStyle name="Cálculo 9 3 5 2 2 4" xfId="10814"/>
    <cellStyle name="Cálculo 9 3 5 2 2 4 2" xfId="39995"/>
    <cellStyle name="Cálculo 9 3 5 2 2 5" xfId="33200"/>
    <cellStyle name="Cálculo 9 3 5 2 3" xfId="5475"/>
    <cellStyle name="Cálculo 9 3 5 2 3 2" xfId="11629"/>
    <cellStyle name="Cálculo 9 3 5 2 3 2 2" xfId="40810"/>
    <cellStyle name="Cálculo 9 3 5 2 3 3" xfId="34658"/>
    <cellStyle name="Cálculo 9 3 5 2 4" xfId="10513"/>
    <cellStyle name="Cálculo 9 3 5 2 4 2" xfId="20686"/>
    <cellStyle name="Cálculo 9 3 5 2 4 2 2" xfId="49867"/>
    <cellStyle name="Cálculo 9 3 5 2 4 3" xfId="39696"/>
    <cellStyle name="Cálculo 9 3 5 2 5" xfId="12196"/>
    <cellStyle name="Cálculo 9 3 5 2 5 2" xfId="41377"/>
    <cellStyle name="Cálculo 9 3 5 2 6" xfId="31400"/>
    <cellStyle name="Cálculo 9 3 5 3" xfId="3117"/>
    <cellStyle name="Cálculo 9 3 5 3 2" xfId="6195"/>
    <cellStyle name="Cálculo 9 3 5 3 2 2" xfId="18177"/>
    <cellStyle name="Cálculo 9 3 5 3 2 2 2" xfId="47358"/>
    <cellStyle name="Cálculo 9 3 5 3 2 3" xfId="35378"/>
    <cellStyle name="Cálculo 9 3 5 3 3" xfId="9735"/>
    <cellStyle name="Cálculo 9 3 5 3 3 2" xfId="20210"/>
    <cellStyle name="Cálculo 9 3 5 3 3 2 2" xfId="49391"/>
    <cellStyle name="Cálculo 9 3 5 3 3 3" xfId="38918"/>
    <cellStyle name="Cálculo 9 3 5 3 4" xfId="17973"/>
    <cellStyle name="Cálculo 9 3 5 3 4 2" xfId="47154"/>
    <cellStyle name="Cálculo 9 3 5 3 5" xfId="32300"/>
    <cellStyle name="Cálculo 9 3 5 4" xfId="4755"/>
    <cellStyle name="Cálculo 9 3 5 4 2" xfId="16169"/>
    <cellStyle name="Cálculo 9 3 5 4 2 2" xfId="45350"/>
    <cellStyle name="Cálculo 9 3 5 4 3" xfId="33938"/>
    <cellStyle name="Cálculo 9 3 5 5" xfId="8674"/>
    <cellStyle name="Cálculo 9 3 5 5 2" xfId="19576"/>
    <cellStyle name="Cálculo 9 3 5 5 2 2" xfId="48757"/>
    <cellStyle name="Cálculo 9 3 5 5 3" xfId="37857"/>
    <cellStyle name="Cálculo 9 3 5 6" xfId="12606"/>
    <cellStyle name="Cálculo 9 3 5 6 2" xfId="41787"/>
    <cellStyle name="Cálculo 9 3 5 7" xfId="30500"/>
    <cellStyle name="Cálculo 9 3 6" xfId="1497"/>
    <cellStyle name="Cálculo 9 3 6 2" xfId="3297"/>
    <cellStyle name="Cálculo 9 3 6 2 2" xfId="6339"/>
    <cellStyle name="Cálculo 9 3 6 2 2 2" xfId="18249"/>
    <cellStyle name="Cálculo 9 3 6 2 2 2 2" xfId="47430"/>
    <cellStyle name="Cálculo 9 3 6 2 2 3" xfId="35522"/>
    <cellStyle name="Cálculo 9 3 6 2 3" xfId="8442"/>
    <cellStyle name="Cálculo 9 3 6 2 3 2" xfId="19436"/>
    <cellStyle name="Cálculo 9 3 6 2 3 2 2" xfId="48617"/>
    <cellStyle name="Cálculo 9 3 6 2 3 3" xfId="37625"/>
    <cellStyle name="Cálculo 9 3 6 2 4" xfId="17189"/>
    <cellStyle name="Cálculo 9 3 6 2 4 2" xfId="46370"/>
    <cellStyle name="Cálculo 9 3 6 2 5" xfId="32480"/>
    <cellStyle name="Cálculo 9 3 6 3" xfId="4899"/>
    <cellStyle name="Cálculo 9 3 6 3 2" xfId="13071"/>
    <cellStyle name="Cálculo 9 3 6 3 2 2" xfId="42252"/>
    <cellStyle name="Cálculo 9 3 6 3 3" xfId="34082"/>
    <cellStyle name="Cálculo 9 3 6 4" xfId="10144"/>
    <cellStyle name="Cálculo 9 3 6 4 2" xfId="20459"/>
    <cellStyle name="Cálculo 9 3 6 4 2 2" xfId="49640"/>
    <cellStyle name="Cálculo 9 3 6 4 3" xfId="39327"/>
    <cellStyle name="Cálculo 9 3 6 5" xfId="10758"/>
    <cellStyle name="Cálculo 9 3 6 5 2" xfId="39939"/>
    <cellStyle name="Cálculo 9 3 6 6" xfId="30680"/>
    <cellStyle name="Cálculo 9 3 7" xfId="2397"/>
    <cellStyle name="Cálculo 9 3 7 2" xfId="5619"/>
    <cellStyle name="Cálculo 9 3 7 2 2" xfId="15862"/>
    <cellStyle name="Cálculo 9 3 7 2 2 2" xfId="45043"/>
    <cellStyle name="Cálculo 9 3 7 2 3" xfId="34802"/>
    <cellStyle name="Cálculo 9 3 7 3" xfId="7261"/>
    <cellStyle name="Cálculo 9 3 7 3 2" xfId="18721"/>
    <cellStyle name="Cálculo 9 3 7 3 2 2" xfId="47902"/>
    <cellStyle name="Cálculo 9 3 7 3 3" xfId="36444"/>
    <cellStyle name="Cálculo 9 3 7 4" xfId="12131"/>
    <cellStyle name="Cálculo 9 3 7 4 2" xfId="41312"/>
    <cellStyle name="Cálculo 9 3 7 5" xfId="31580"/>
    <cellStyle name="Cálculo 9 3 8" xfId="4179"/>
    <cellStyle name="Cálculo 9 3 8 2" xfId="14229"/>
    <cellStyle name="Cálculo 9 3 8 2 2" xfId="43410"/>
    <cellStyle name="Cálculo 9 3 8 3" xfId="33362"/>
    <cellStyle name="Cálculo 9 3 9" xfId="10156"/>
    <cellStyle name="Cálculo 9 3 9 2" xfId="20465"/>
    <cellStyle name="Cálculo 9 3 9 2 2" xfId="49646"/>
    <cellStyle name="Cálculo 9 3 9 3" xfId="39339"/>
    <cellStyle name="Cálculo 9 4" xfId="645"/>
    <cellStyle name="Cálculo 9 4 2" xfId="1637"/>
    <cellStyle name="Cálculo 9 4 2 2" xfId="3437"/>
    <cellStyle name="Cálculo 9 4 2 2 2" xfId="6452"/>
    <cellStyle name="Cálculo 9 4 2 2 2 2" xfId="18319"/>
    <cellStyle name="Cálculo 9 4 2 2 2 2 2" xfId="47500"/>
    <cellStyle name="Cálculo 9 4 2 2 2 3" xfId="35635"/>
    <cellStyle name="Cálculo 9 4 2 2 3" xfId="9497"/>
    <cellStyle name="Cálculo 9 4 2 2 3 2" xfId="20065"/>
    <cellStyle name="Cálculo 9 4 2 2 3 2 2" xfId="49246"/>
    <cellStyle name="Cálculo 9 4 2 2 3 3" xfId="38680"/>
    <cellStyle name="Cálculo 9 4 2 2 4" xfId="14378"/>
    <cellStyle name="Cálculo 9 4 2 2 4 2" xfId="43559"/>
    <cellStyle name="Cálculo 9 4 2 2 5" xfId="32620"/>
    <cellStyle name="Cálculo 9 4 2 3" xfId="5012"/>
    <cellStyle name="Cálculo 9 4 2 3 2" xfId="13511"/>
    <cellStyle name="Cálculo 9 4 2 3 2 2" xfId="42692"/>
    <cellStyle name="Cálculo 9 4 2 3 3" xfId="34195"/>
    <cellStyle name="Cálculo 9 4 2 4" xfId="9674"/>
    <cellStyle name="Cálculo 9 4 2 4 2" xfId="20174"/>
    <cellStyle name="Cálculo 9 4 2 4 2 2" xfId="49355"/>
    <cellStyle name="Cálculo 9 4 2 4 3" xfId="38857"/>
    <cellStyle name="Cálculo 9 4 2 5" xfId="13318"/>
    <cellStyle name="Cálculo 9 4 2 5 2" xfId="42499"/>
    <cellStyle name="Cálculo 9 4 2 6" xfId="30820"/>
    <cellStyle name="Cálculo 9 4 3" xfId="2537"/>
    <cellStyle name="Cálculo 9 4 3 2" xfId="5732"/>
    <cellStyle name="Cálculo 9 4 3 2 2" xfId="12261"/>
    <cellStyle name="Cálculo 9 4 3 2 2 2" xfId="41442"/>
    <cellStyle name="Cálculo 9 4 3 2 3" xfId="34915"/>
    <cellStyle name="Cálculo 9 4 3 3" xfId="8280"/>
    <cellStyle name="Cálculo 9 4 3 3 2" xfId="19332"/>
    <cellStyle name="Cálculo 9 4 3 3 2 2" xfId="48513"/>
    <cellStyle name="Cálculo 9 4 3 3 3" xfId="37463"/>
    <cellStyle name="Cálculo 9 4 3 4" xfId="17394"/>
    <cellStyle name="Cálculo 9 4 3 4 2" xfId="46575"/>
    <cellStyle name="Cálculo 9 4 3 5" xfId="31720"/>
    <cellStyle name="Cálculo 9 4 4" xfId="4292"/>
    <cellStyle name="Cálculo 9 4 4 2" xfId="11625"/>
    <cellStyle name="Cálculo 9 4 4 2 2" xfId="40806"/>
    <cellStyle name="Cálculo 9 4 4 3" xfId="33475"/>
    <cellStyle name="Cálculo 9 4 5" xfId="8878"/>
    <cellStyle name="Cálculo 9 4 5 2" xfId="19693"/>
    <cellStyle name="Cálculo 9 4 5 2 2" xfId="48874"/>
    <cellStyle name="Cálculo 9 4 5 3" xfId="38061"/>
    <cellStyle name="Cálculo 9 4 6" xfId="11277"/>
    <cellStyle name="Cálculo 9 4 6 2" xfId="40458"/>
    <cellStyle name="Cálculo 9 4 7" xfId="29848"/>
    <cellStyle name="Cálculo 9 5" xfId="630"/>
    <cellStyle name="Cálculo 9 5 2" xfId="1622"/>
    <cellStyle name="Cálculo 9 5 2 2" xfId="3422"/>
    <cellStyle name="Cálculo 9 5 2 2 2" xfId="6437"/>
    <cellStyle name="Cálculo 9 5 2 2 2 2" xfId="18304"/>
    <cellStyle name="Cálculo 9 5 2 2 2 2 2" xfId="47485"/>
    <cellStyle name="Cálculo 9 5 2 2 2 3" xfId="35620"/>
    <cellStyle name="Cálculo 9 5 2 2 3" xfId="9282"/>
    <cellStyle name="Cálculo 9 5 2 2 3 2" xfId="19938"/>
    <cellStyle name="Cálculo 9 5 2 2 3 2 2" xfId="49119"/>
    <cellStyle name="Cálculo 9 5 2 2 3 3" xfId="38465"/>
    <cellStyle name="Cálculo 9 5 2 2 4" xfId="15029"/>
    <cellStyle name="Cálculo 9 5 2 2 4 2" xfId="44210"/>
    <cellStyle name="Cálculo 9 5 2 2 5" xfId="32605"/>
    <cellStyle name="Cálculo 9 5 2 3" xfId="4997"/>
    <cellStyle name="Cálculo 9 5 2 3 2" xfId="11627"/>
    <cellStyle name="Cálculo 9 5 2 3 2 2" xfId="40808"/>
    <cellStyle name="Cálculo 9 5 2 3 3" xfId="34180"/>
    <cellStyle name="Cálculo 9 5 2 4" xfId="10361"/>
    <cellStyle name="Cálculo 9 5 2 4 2" xfId="20590"/>
    <cellStyle name="Cálculo 9 5 2 4 2 2" xfId="49771"/>
    <cellStyle name="Cálculo 9 5 2 4 3" xfId="39544"/>
    <cellStyle name="Cálculo 9 5 2 5" xfId="15975"/>
    <cellStyle name="Cálculo 9 5 2 5 2" xfId="45156"/>
    <cellStyle name="Cálculo 9 5 2 6" xfId="30805"/>
    <cellStyle name="Cálculo 9 5 3" xfId="2522"/>
    <cellStyle name="Cálculo 9 5 3 2" xfId="5717"/>
    <cellStyle name="Cálculo 9 5 3 2 2" xfId="13504"/>
    <cellStyle name="Cálculo 9 5 3 2 2 2" xfId="42685"/>
    <cellStyle name="Cálculo 9 5 3 2 3" xfId="34900"/>
    <cellStyle name="Cálculo 9 5 3 3" xfId="9584"/>
    <cellStyle name="Cálculo 9 5 3 3 2" xfId="20119"/>
    <cellStyle name="Cálculo 9 5 3 3 2 2" xfId="49300"/>
    <cellStyle name="Cálculo 9 5 3 3 3" xfId="38767"/>
    <cellStyle name="Cálculo 9 5 3 4" xfId="15057"/>
    <cellStyle name="Cálculo 9 5 3 4 2" xfId="44238"/>
    <cellStyle name="Cálculo 9 5 3 5" xfId="31705"/>
    <cellStyle name="Cálculo 9 5 4" xfId="4277"/>
    <cellStyle name="Cálculo 9 5 4 2" xfId="17972"/>
    <cellStyle name="Cálculo 9 5 4 2 2" xfId="47153"/>
    <cellStyle name="Cálculo 9 5 4 3" xfId="33460"/>
    <cellStyle name="Cálculo 9 5 5" xfId="10293"/>
    <cellStyle name="Cálculo 9 5 5 2" xfId="20545"/>
    <cellStyle name="Cálculo 9 5 5 2 2" xfId="49726"/>
    <cellStyle name="Cálculo 9 5 5 3" xfId="39476"/>
    <cellStyle name="Cálculo 9 5 6" xfId="17556"/>
    <cellStyle name="Cálculo 9 5 6 2" xfId="46737"/>
    <cellStyle name="Cálculo 9 5 7" xfId="29833"/>
    <cellStyle name="Cálculo 9 6" xfId="651"/>
    <cellStyle name="Cálculo 9 6 2" xfId="1643"/>
    <cellStyle name="Cálculo 9 6 2 2" xfId="3443"/>
    <cellStyle name="Cálculo 9 6 2 2 2" xfId="6458"/>
    <cellStyle name="Cálculo 9 6 2 2 2 2" xfId="18325"/>
    <cellStyle name="Cálculo 9 6 2 2 2 2 2" xfId="47506"/>
    <cellStyle name="Cálculo 9 6 2 2 2 3" xfId="35641"/>
    <cellStyle name="Cálculo 9 6 2 2 3" xfId="8588"/>
    <cellStyle name="Cálculo 9 6 2 2 3 2" xfId="19529"/>
    <cellStyle name="Cálculo 9 6 2 2 3 2 2" xfId="48710"/>
    <cellStyle name="Cálculo 9 6 2 2 3 3" xfId="37771"/>
    <cellStyle name="Cálculo 9 6 2 2 4" xfId="18071"/>
    <cellStyle name="Cálculo 9 6 2 2 4 2" xfId="47252"/>
    <cellStyle name="Cálculo 9 6 2 2 5" xfId="32626"/>
    <cellStyle name="Cálculo 9 6 2 3" xfId="5018"/>
    <cellStyle name="Cálculo 9 6 2 3 2" xfId="17681"/>
    <cellStyle name="Cálculo 9 6 2 3 2 2" xfId="46862"/>
    <cellStyle name="Cálculo 9 6 2 3 3" xfId="34201"/>
    <cellStyle name="Cálculo 9 6 2 4" xfId="8787"/>
    <cellStyle name="Cálculo 9 6 2 4 2" xfId="19644"/>
    <cellStyle name="Cálculo 9 6 2 4 2 2" xfId="48825"/>
    <cellStyle name="Cálculo 9 6 2 4 3" xfId="37970"/>
    <cellStyle name="Cálculo 9 6 2 5" xfId="14916"/>
    <cellStyle name="Cálculo 9 6 2 5 2" xfId="44097"/>
    <cellStyle name="Cálculo 9 6 2 6" xfId="30826"/>
    <cellStyle name="Cálculo 9 6 3" xfId="2543"/>
    <cellStyle name="Cálculo 9 6 3 2" xfId="5738"/>
    <cellStyle name="Cálculo 9 6 3 2 2" xfId="11624"/>
    <cellStyle name="Cálculo 9 6 3 2 2 2" xfId="40805"/>
    <cellStyle name="Cálculo 9 6 3 2 3" xfId="34921"/>
    <cellStyle name="Cálculo 9 6 3 3" xfId="10314"/>
    <cellStyle name="Cálculo 9 6 3 3 2" xfId="20560"/>
    <cellStyle name="Cálculo 9 6 3 3 2 2" xfId="49741"/>
    <cellStyle name="Cálculo 9 6 3 3 3" xfId="39497"/>
    <cellStyle name="Cálculo 9 6 3 4" xfId="14087"/>
    <cellStyle name="Cálculo 9 6 3 4 2" xfId="43268"/>
    <cellStyle name="Cálculo 9 6 3 5" xfId="31726"/>
    <cellStyle name="Cálculo 9 6 4" xfId="4298"/>
    <cellStyle name="Cálculo 9 6 4 2" xfId="12251"/>
    <cellStyle name="Cálculo 9 6 4 2 2" xfId="41432"/>
    <cellStyle name="Cálculo 9 6 4 3" xfId="33481"/>
    <cellStyle name="Cálculo 9 6 5" xfId="9410"/>
    <cellStyle name="Cálculo 9 6 5 2" xfId="20015"/>
    <cellStyle name="Cálculo 9 6 5 2 2" xfId="49196"/>
    <cellStyle name="Cálculo 9 6 5 3" xfId="38593"/>
    <cellStyle name="Cálculo 9 6 6" xfId="13083"/>
    <cellStyle name="Cálculo 9 6 6 2" xfId="42264"/>
    <cellStyle name="Cálculo 9 6 7" xfId="29854"/>
    <cellStyle name="Cálculo 9 7" xfId="621"/>
    <cellStyle name="Cálculo 9 7 2" xfId="1613"/>
    <cellStyle name="Cálculo 9 7 2 2" xfId="3413"/>
    <cellStyle name="Cálculo 9 7 2 2 2" xfId="6428"/>
    <cellStyle name="Cálculo 9 7 2 2 2 2" xfId="18295"/>
    <cellStyle name="Cálculo 9 7 2 2 2 2 2" xfId="47476"/>
    <cellStyle name="Cálculo 9 7 2 2 2 3" xfId="35611"/>
    <cellStyle name="Cálculo 9 7 2 2 3" xfId="8113"/>
    <cellStyle name="Cálculo 9 7 2 2 3 2" xfId="19231"/>
    <cellStyle name="Cálculo 9 7 2 2 3 2 2" xfId="48412"/>
    <cellStyle name="Cálculo 9 7 2 2 3 3" xfId="37296"/>
    <cellStyle name="Cálculo 9 7 2 2 4" xfId="16363"/>
    <cellStyle name="Cálculo 9 7 2 2 4 2" xfId="45544"/>
    <cellStyle name="Cálculo 9 7 2 2 5" xfId="32596"/>
    <cellStyle name="Cálculo 9 7 2 3" xfId="4988"/>
    <cellStyle name="Cálculo 9 7 2 3 2" xfId="13522"/>
    <cellStyle name="Cálculo 9 7 2 3 2 2" xfId="42703"/>
    <cellStyle name="Cálculo 9 7 2 3 3" xfId="34171"/>
    <cellStyle name="Cálculo 9 7 2 4" xfId="7636"/>
    <cellStyle name="Cálculo 9 7 2 4 2" xfId="18941"/>
    <cellStyle name="Cálculo 9 7 2 4 2 2" xfId="48122"/>
    <cellStyle name="Cálculo 9 7 2 4 3" xfId="36819"/>
    <cellStyle name="Cálculo 9 7 2 5" xfId="15207"/>
    <cellStyle name="Cálculo 9 7 2 5 2" xfId="44388"/>
    <cellStyle name="Cálculo 9 7 2 6" xfId="30796"/>
    <cellStyle name="Cálculo 9 7 3" xfId="2513"/>
    <cellStyle name="Cálculo 9 7 3 2" xfId="5708"/>
    <cellStyle name="Cálculo 9 7 3 2 2" xfId="12267"/>
    <cellStyle name="Cálculo 9 7 3 2 2 2" xfId="41448"/>
    <cellStyle name="Cálculo 9 7 3 2 3" xfId="34891"/>
    <cellStyle name="Cálculo 9 7 3 3" xfId="8456"/>
    <cellStyle name="Cálculo 9 7 3 3 2" xfId="19447"/>
    <cellStyle name="Cálculo 9 7 3 3 2 2" xfId="48628"/>
    <cellStyle name="Cálculo 9 7 3 3 3" xfId="37639"/>
    <cellStyle name="Cálculo 9 7 3 4" xfId="10755"/>
    <cellStyle name="Cálculo 9 7 3 4 2" xfId="39936"/>
    <cellStyle name="Cálculo 9 7 3 5" xfId="31696"/>
    <cellStyle name="Cálculo 9 7 4" xfId="4268"/>
    <cellStyle name="Cálculo 9 7 4 2" xfId="12735"/>
    <cellStyle name="Cálculo 9 7 4 2 2" xfId="41916"/>
    <cellStyle name="Cálculo 9 7 4 3" xfId="33451"/>
    <cellStyle name="Cálculo 9 7 5" xfId="9762"/>
    <cellStyle name="Cálculo 9 7 5 2" xfId="20228"/>
    <cellStyle name="Cálculo 9 7 5 2 2" xfId="49409"/>
    <cellStyle name="Cálculo 9 7 5 3" xfId="38945"/>
    <cellStyle name="Cálculo 9 7 6" xfId="11060"/>
    <cellStyle name="Cálculo 9 7 6 2" xfId="40241"/>
    <cellStyle name="Cálculo 9 7 7" xfId="29824"/>
    <cellStyle name="Cálculo 9 8" xfId="1407"/>
    <cellStyle name="Cálculo 9 8 2" xfId="3207"/>
    <cellStyle name="Cálculo 9 8 2 2" xfId="6267"/>
    <cellStyle name="Cálculo 9 8 2 2 2" xfId="18213"/>
    <cellStyle name="Cálculo 9 8 2 2 2 2" xfId="47394"/>
    <cellStyle name="Cálculo 9 8 2 2 3" xfId="35450"/>
    <cellStyle name="Cálculo 9 8 2 3" xfId="7162"/>
    <cellStyle name="Cálculo 9 8 2 3 2" xfId="18663"/>
    <cellStyle name="Cálculo 9 8 2 3 2 2" xfId="47844"/>
    <cellStyle name="Cálculo 9 8 2 3 3" xfId="36345"/>
    <cellStyle name="Cálculo 9 8 2 4" xfId="14849"/>
    <cellStyle name="Cálculo 9 8 2 4 2" xfId="44030"/>
    <cellStyle name="Cálculo 9 8 2 5" xfId="32390"/>
    <cellStyle name="Cálculo 9 8 3" xfId="4827"/>
    <cellStyle name="Cálculo 9 8 3 2" xfId="15467"/>
    <cellStyle name="Cálculo 9 8 3 2 2" xfId="44648"/>
    <cellStyle name="Cálculo 9 8 3 3" xfId="34010"/>
    <cellStyle name="Cálculo 9 8 4" xfId="8213"/>
    <cellStyle name="Cálculo 9 8 4 2" xfId="19293"/>
    <cellStyle name="Cálculo 9 8 4 2 2" xfId="48474"/>
    <cellStyle name="Cálculo 9 8 4 3" xfId="37396"/>
    <cellStyle name="Cálculo 9 8 5" xfId="11840"/>
    <cellStyle name="Cálculo 9 8 5 2" xfId="41021"/>
    <cellStyle name="Cálculo 9 8 6" xfId="30590"/>
    <cellStyle name="Cálculo 9 9" xfId="2307"/>
    <cellStyle name="Cálculo 9 9 2" xfId="5547"/>
    <cellStyle name="Cálculo 9 9 2 2" xfId="11298"/>
    <cellStyle name="Cálculo 9 9 2 2 2" xfId="40479"/>
    <cellStyle name="Cálculo 9 9 2 3" xfId="34730"/>
    <cellStyle name="Cálculo 9 9 3" xfId="7282"/>
    <cellStyle name="Cálculo 9 9 3 2" xfId="18734"/>
    <cellStyle name="Cálculo 9 9 3 2 2" xfId="47915"/>
    <cellStyle name="Cálculo 9 9 3 3" xfId="36465"/>
    <cellStyle name="Cálculo 9 9 4" xfId="12912"/>
    <cellStyle name="Cálculo 9 9 4 2" xfId="42093"/>
    <cellStyle name="Cálculo 9 9 5" xfId="31490"/>
    <cellStyle name="Célula de Verificação 10" xfId="183"/>
    <cellStyle name="Célula de Verificação 2" xfId="184"/>
    <cellStyle name="Célula de Verificação 3" xfId="185"/>
    <cellStyle name="Célula de Verificação 4" xfId="186"/>
    <cellStyle name="Célula de Verificação 5" xfId="187"/>
    <cellStyle name="Célula de Verificação 6" xfId="188"/>
    <cellStyle name="Célula de Verificação 7" xfId="189"/>
    <cellStyle name="Célula de Verificação 8" xfId="190"/>
    <cellStyle name="Célula de Verificação 9" xfId="191"/>
    <cellStyle name="Célula Vinculada 10" xfId="192"/>
    <cellStyle name="Célula Vinculada 2" xfId="193"/>
    <cellStyle name="Célula Vinculada 3" xfId="194"/>
    <cellStyle name="Célula Vinculada 4" xfId="195"/>
    <cellStyle name="Célula Vinculada 5" xfId="196"/>
    <cellStyle name="Célula Vinculada 6" xfId="197"/>
    <cellStyle name="Célula Vinculada 7" xfId="198"/>
    <cellStyle name="Célula Vinculada 8" xfId="199"/>
    <cellStyle name="Célula Vinculada 9" xfId="200"/>
    <cellStyle name="Ênfase1 10" xfId="201"/>
    <cellStyle name="Ênfase1 2" xfId="202"/>
    <cellStyle name="Ênfase1 3" xfId="203"/>
    <cellStyle name="Ênfase1 4" xfId="204"/>
    <cellStyle name="Ênfase1 5" xfId="205"/>
    <cellStyle name="Ênfase1 6" xfId="206"/>
    <cellStyle name="Ênfase1 7" xfId="207"/>
    <cellStyle name="Ênfase1 8" xfId="208"/>
    <cellStyle name="Ênfase1 9" xfId="209"/>
    <cellStyle name="Ênfase2 10" xfId="210"/>
    <cellStyle name="Ênfase2 2" xfId="211"/>
    <cellStyle name="Ênfase2 3" xfId="212"/>
    <cellStyle name="Ênfase2 4" xfId="213"/>
    <cellStyle name="Ênfase2 5" xfId="214"/>
    <cellStyle name="Ênfase2 6" xfId="215"/>
    <cellStyle name="Ênfase2 7" xfId="216"/>
    <cellStyle name="Ênfase2 8" xfId="217"/>
    <cellStyle name="Ênfase2 9" xfId="218"/>
    <cellStyle name="Ênfase3 10" xfId="219"/>
    <cellStyle name="Ênfase3 2" xfId="220"/>
    <cellStyle name="Ênfase3 3" xfId="221"/>
    <cellStyle name="Ênfase3 4" xfId="222"/>
    <cellStyle name="Ênfase3 5" xfId="223"/>
    <cellStyle name="Ênfase3 6" xfId="224"/>
    <cellStyle name="Ênfase3 7" xfId="225"/>
    <cellStyle name="Ênfase3 8" xfId="226"/>
    <cellStyle name="Ênfase3 9" xfId="227"/>
    <cellStyle name="Ênfase4 10" xfId="228"/>
    <cellStyle name="Ênfase4 2" xfId="229"/>
    <cellStyle name="Ênfase4 3" xfId="230"/>
    <cellStyle name="Ênfase4 4" xfId="231"/>
    <cellStyle name="Ênfase4 5" xfId="232"/>
    <cellStyle name="Ênfase4 6" xfId="233"/>
    <cellStyle name="Ênfase4 7" xfId="234"/>
    <cellStyle name="Ênfase4 8" xfId="235"/>
    <cellStyle name="Ênfase4 9" xfId="236"/>
    <cellStyle name="Ênfase5 10" xfId="237"/>
    <cellStyle name="Ênfase5 2" xfId="238"/>
    <cellStyle name="Ênfase5 3" xfId="239"/>
    <cellStyle name="Ênfase5 4" xfId="240"/>
    <cellStyle name="Ênfase5 5" xfId="241"/>
    <cellStyle name="Ênfase5 6" xfId="242"/>
    <cellStyle name="Ênfase5 7" xfId="243"/>
    <cellStyle name="Ênfase5 8" xfId="244"/>
    <cellStyle name="Ênfase5 9" xfId="245"/>
    <cellStyle name="Ênfase6 10" xfId="246"/>
    <cellStyle name="Ênfase6 2" xfId="247"/>
    <cellStyle name="Ênfase6 3" xfId="248"/>
    <cellStyle name="Ênfase6 4" xfId="249"/>
    <cellStyle name="Ênfase6 5" xfId="250"/>
    <cellStyle name="Ênfase6 6" xfId="251"/>
    <cellStyle name="Ênfase6 7" xfId="252"/>
    <cellStyle name="Ênfase6 8" xfId="253"/>
    <cellStyle name="Ênfase6 9" xfId="254"/>
    <cellStyle name="Entrada 10" xfId="255"/>
    <cellStyle name="Entrada 10 10" xfId="4108"/>
    <cellStyle name="Entrada 10 10 2" xfId="14347"/>
    <cellStyle name="Entrada 10 10 2 2" xfId="43528"/>
    <cellStyle name="Entrada 10 10 3" xfId="33291"/>
    <cellStyle name="Entrada 10 11" xfId="11591"/>
    <cellStyle name="Entrada 10 11 2" xfId="40772"/>
    <cellStyle name="Entrada 10 12" xfId="29568"/>
    <cellStyle name="Entrada 10 2" xfId="430"/>
    <cellStyle name="Entrada 10 2 10" xfId="9490"/>
    <cellStyle name="Entrada 10 2 10 2" xfId="20060"/>
    <cellStyle name="Entrada 10 2 10 2 2" xfId="49241"/>
    <cellStyle name="Entrada 10 2 10 3" xfId="38673"/>
    <cellStyle name="Entrada 10 2 11" xfId="11534"/>
    <cellStyle name="Entrada 10 2 11 2" xfId="40715"/>
    <cellStyle name="Entrada 10 2 12" xfId="58773"/>
    <cellStyle name="Entrada 10 2 13" xfId="29636"/>
    <cellStyle name="Entrada 10 2 2" xfId="520"/>
    <cellStyle name="Entrada 10 2 2 10" xfId="12608"/>
    <cellStyle name="Entrada 10 2 2 10 2" xfId="41789"/>
    <cellStyle name="Entrada 10 2 2 11" xfId="29726"/>
    <cellStyle name="Entrada 10 2 2 2" xfId="873"/>
    <cellStyle name="Entrada 10 2 2 2 2" xfId="1811"/>
    <cellStyle name="Entrada 10 2 2 2 2 2" xfId="3611"/>
    <cellStyle name="Entrada 10 2 2 2 2 2 2" xfId="6590"/>
    <cellStyle name="Entrada 10 2 2 2 2 2 2 2" xfId="18394"/>
    <cellStyle name="Entrada 10 2 2 2 2 2 2 2 2" xfId="47575"/>
    <cellStyle name="Entrada 10 2 2 2 2 2 2 3" xfId="35773"/>
    <cellStyle name="Entrada 10 2 2 2 2 2 3" xfId="9215"/>
    <cellStyle name="Entrada 10 2 2 2 2 2 3 2" xfId="19899"/>
    <cellStyle name="Entrada 10 2 2 2 2 2 3 2 2" xfId="49080"/>
    <cellStyle name="Entrada 10 2 2 2 2 2 3 3" xfId="38398"/>
    <cellStyle name="Entrada 10 2 2 2 2 2 4" xfId="17558"/>
    <cellStyle name="Entrada 10 2 2 2 2 2 4 2" xfId="46739"/>
    <cellStyle name="Entrada 10 2 2 2 2 2 5" xfId="32794"/>
    <cellStyle name="Entrada 10 2 2 2 2 3" xfId="5150"/>
    <cellStyle name="Entrada 10 2 2 2 2 3 2" xfId="12952"/>
    <cellStyle name="Entrada 10 2 2 2 2 3 2 2" xfId="42133"/>
    <cellStyle name="Entrada 10 2 2 2 2 3 3" xfId="34333"/>
    <cellStyle name="Entrada 10 2 2 2 2 4" xfId="8529"/>
    <cellStyle name="Entrada 10 2 2 2 2 4 2" xfId="19493"/>
    <cellStyle name="Entrada 10 2 2 2 2 4 2 2" xfId="48674"/>
    <cellStyle name="Entrada 10 2 2 2 2 4 3" xfId="37712"/>
    <cellStyle name="Entrada 10 2 2 2 2 5" xfId="14612"/>
    <cellStyle name="Entrada 10 2 2 2 2 5 2" xfId="43793"/>
    <cellStyle name="Entrada 10 2 2 2 2 6" xfId="30994"/>
    <cellStyle name="Entrada 10 2 2 2 3" xfId="2711"/>
    <cellStyle name="Entrada 10 2 2 2 3 2" xfId="5870"/>
    <cellStyle name="Entrada 10 2 2 2 3 2 2" xfId="17941"/>
    <cellStyle name="Entrada 10 2 2 2 3 2 2 2" xfId="47122"/>
    <cellStyle name="Entrada 10 2 2 2 3 2 3" xfId="35053"/>
    <cellStyle name="Entrada 10 2 2 2 3 3" xfId="10056"/>
    <cellStyle name="Entrada 10 2 2 2 3 3 2" xfId="20407"/>
    <cellStyle name="Entrada 10 2 2 2 3 3 2 2" xfId="49588"/>
    <cellStyle name="Entrada 10 2 2 2 3 3 3" xfId="39239"/>
    <cellStyle name="Entrada 10 2 2 2 3 4" xfId="13345"/>
    <cellStyle name="Entrada 10 2 2 2 3 4 2" xfId="42526"/>
    <cellStyle name="Entrada 10 2 2 2 3 5" xfId="31894"/>
    <cellStyle name="Entrada 10 2 2 2 4" xfId="4430"/>
    <cellStyle name="Entrada 10 2 2 2 4 2" xfId="14125"/>
    <cellStyle name="Entrada 10 2 2 2 4 2 2" xfId="43306"/>
    <cellStyle name="Entrada 10 2 2 2 4 3" xfId="33613"/>
    <cellStyle name="Entrada 10 2 2 2 5" xfId="7689"/>
    <cellStyle name="Entrada 10 2 2 2 5 2" xfId="18972"/>
    <cellStyle name="Entrada 10 2 2 2 5 2 2" xfId="48153"/>
    <cellStyle name="Entrada 10 2 2 2 5 3" xfId="36872"/>
    <cellStyle name="Entrada 10 2 2 2 6" xfId="16968"/>
    <cellStyle name="Entrada 10 2 2 2 6 2" xfId="46149"/>
    <cellStyle name="Entrada 10 2 2 2 7" xfId="30070"/>
    <cellStyle name="Entrada 10 2 2 3" xfId="1065"/>
    <cellStyle name="Entrada 10 2 2 3 2" xfId="1975"/>
    <cellStyle name="Entrada 10 2 2 3 2 2" xfId="3775"/>
    <cellStyle name="Entrada 10 2 2 3 2 2 2" xfId="6718"/>
    <cellStyle name="Entrada 10 2 2 3 2 2 2 2" xfId="18448"/>
    <cellStyle name="Entrada 10 2 2 3 2 2 2 2 2" xfId="47629"/>
    <cellStyle name="Entrada 10 2 2 3 2 2 2 3" xfId="35901"/>
    <cellStyle name="Entrada 10 2 2 3 2 2 3" xfId="9188"/>
    <cellStyle name="Entrada 10 2 2 3 2 2 3 2" xfId="19880"/>
    <cellStyle name="Entrada 10 2 2 3 2 2 3 2 2" xfId="49061"/>
    <cellStyle name="Entrada 10 2 2 3 2 2 3 3" xfId="38371"/>
    <cellStyle name="Entrada 10 2 2 3 2 2 4" xfId="10624"/>
    <cellStyle name="Entrada 10 2 2 3 2 2 4 2" xfId="39805"/>
    <cellStyle name="Entrada 10 2 2 3 2 2 5" xfId="32958"/>
    <cellStyle name="Entrada 10 2 2 3 2 3" xfId="5278"/>
    <cellStyle name="Entrada 10 2 2 3 2 3 2" xfId="12157"/>
    <cellStyle name="Entrada 10 2 2 3 2 3 2 2" xfId="41338"/>
    <cellStyle name="Entrada 10 2 2 3 2 3 3" xfId="34461"/>
    <cellStyle name="Entrada 10 2 2 3 2 4" xfId="8362"/>
    <cellStyle name="Entrada 10 2 2 3 2 4 2" xfId="19384"/>
    <cellStyle name="Entrada 10 2 2 3 2 4 2 2" xfId="48565"/>
    <cellStyle name="Entrada 10 2 2 3 2 4 3" xfId="37545"/>
    <cellStyle name="Entrada 10 2 2 3 2 5" xfId="13466"/>
    <cellStyle name="Entrada 10 2 2 3 2 5 2" xfId="42647"/>
    <cellStyle name="Entrada 10 2 2 3 2 6" xfId="31158"/>
    <cellStyle name="Entrada 10 2 2 3 3" xfId="2875"/>
    <cellStyle name="Entrada 10 2 2 3 3 2" xfId="5998"/>
    <cellStyle name="Entrada 10 2 2 3 3 2 2" xfId="10583"/>
    <cellStyle name="Entrada 10 2 2 3 3 2 2 2" xfId="39764"/>
    <cellStyle name="Entrada 10 2 2 3 3 2 3" xfId="35181"/>
    <cellStyle name="Entrada 10 2 2 3 3 3" xfId="9890"/>
    <cellStyle name="Entrada 10 2 2 3 3 3 2" xfId="20303"/>
    <cellStyle name="Entrada 10 2 2 3 3 3 2 2" xfId="49484"/>
    <cellStyle name="Entrada 10 2 2 3 3 3 3" xfId="39073"/>
    <cellStyle name="Entrada 10 2 2 3 3 4" xfId="12129"/>
    <cellStyle name="Entrada 10 2 2 3 3 4 2" xfId="41310"/>
    <cellStyle name="Entrada 10 2 2 3 3 5" xfId="32058"/>
    <cellStyle name="Entrada 10 2 2 3 4" xfId="4558"/>
    <cellStyle name="Entrada 10 2 2 3 4 2" xfId="13429"/>
    <cellStyle name="Entrada 10 2 2 3 4 2 2" xfId="42610"/>
    <cellStyle name="Entrada 10 2 2 3 4 3" xfId="33741"/>
    <cellStyle name="Entrada 10 2 2 3 5" xfId="9681"/>
    <cellStyle name="Entrada 10 2 2 3 5 2" xfId="20178"/>
    <cellStyle name="Entrada 10 2 2 3 5 2 2" xfId="49359"/>
    <cellStyle name="Entrada 10 2 2 3 5 3" xfId="38864"/>
    <cellStyle name="Entrada 10 2 2 3 6" xfId="12804"/>
    <cellStyle name="Entrada 10 2 2 3 6 2" xfId="41985"/>
    <cellStyle name="Entrada 10 2 2 3 7" xfId="30255"/>
    <cellStyle name="Entrada 10 2 2 4" xfId="1215"/>
    <cellStyle name="Entrada 10 2 2 4 2" xfId="2119"/>
    <cellStyle name="Entrada 10 2 2 4 2 2" xfId="3919"/>
    <cellStyle name="Entrada 10 2 2 4 2 2 2" xfId="6835"/>
    <cellStyle name="Entrada 10 2 2 4 2 2 2 2" xfId="18502"/>
    <cellStyle name="Entrada 10 2 2 4 2 2 2 2 2" xfId="47683"/>
    <cellStyle name="Entrada 10 2 2 4 2 2 2 3" xfId="36018"/>
    <cellStyle name="Entrada 10 2 2 4 2 2 3" xfId="8722"/>
    <cellStyle name="Entrada 10 2 2 4 2 2 3 2" xfId="19601"/>
    <cellStyle name="Entrada 10 2 2 4 2 2 3 2 2" xfId="48782"/>
    <cellStyle name="Entrada 10 2 2 4 2 2 3 3" xfId="37905"/>
    <cellStyle name="Entrada 10 2 2 4 2 2 4" xfId="13281"/>
    <cellStyle name="Entrada 10 2 2 4 2 2 4 2" xfId="42462"/>
    <cellStyle name="Entrada 10 2 2 4 2 2 5" xfId="33102"/>
    <cellStyle name="Entrada 10 2 2 4 2 3" xfId="5395"/>
    <cellStyle name="Entrada 10 2 2 4 2 3 2" xfId="14576"/>
    <cellStyle name="Entrada 10 2 2 4 2 3 2 2" xfId="43757"/>
    <cellStyle name="Entrada 10 2 2 4 2 3 3" xfId="34578"/>
    <cellStyle name="Entrada 10 2 2 4 2 4" xfId="8900"/>
    <cellStyle name="Entrada 10 2 2 4 2 4 2" xfId="19707"/>
    <cellStyle name="Entrada 10 2 2 4 2 4 2 2" xfId="48888"/>
    <cellStyle name="Entrada 10 2 2 4 2 4 3" xfId="38083"/>
    <cellStyle name="Entrada 10 2 2 4 2 5" xfId="13794"/>
    <cellStyle name="Entrada 10 2 2 4 2 5 2" xfId="42975"/>
    <cellStyle name="Entrada 10 2 2 4 2 6" xfId="31302"/>
    <cellStyle name="Entrada 10 2 2 4 3" xfId="3019"/>
    <cellStyle name="Entrada 10 2 2 4 3 2" xfId="6115"/>
    <cellStyle name="Entrada 10 2 2 4 3 2 2" xfId="18142"/>
    <cellStyle name="Entrada 10 2 2 4 3 2 2 2" xfId="47323"/>
    <cellStyle name="Entrada 10 2 2 4 3 2 3" xfId="35298"/>
    <cellStyle name="Entrada 10 2 2 4 3 3" xfId="10427"/>
    <cellStyle name="Entrada 10 2 2 4 3 3 2" xfId="20631"/>
    <cellStyle name="Entrada 10 2 2 4 3 3 2 2" xfId="49812"/>
    <cellStyle name="Entrada 10 2 2 4 3 3 3" xfId="39610"/>
    <cellStyle name="Entrada 10 2 2 4 3 4" xfId="12273"/>
    <cellStyle name="Entrada 10 2 2 4 3 4 2" xfId="41454"/>
    <cellStyle name="Entrada 10 2 2 4 3 5" xfId="32202"/>
    <cellStyle name="Entrada 10 2 2 4 4" xfId="4675"/>
    <cellStyle name="Entrada 10 2 2 4 4 2" xfId="16735"/>
    <cellStyle name="Entrada 10 2 2 4 4 2 2" xfId="45916"/>
    <cellStyle name="Entrada 10 2 2 4 4 3" xfId="33858"/>
    <cellStyle name="Entrada 10 2 2 4 5" xfId="8713"/>
    <cellStyle name="Entrada 10 2 2 4 5 2" xfId="19595"/>
    <cellStyle name="Entrada 10 2 2 4 5 2 2" xfId="48776"/>
    <cellStyle name="Entrada 10 2 2 4 5 3" xfId="37896"/>
    <cellStyle name="Entrada 10 2 2 4 6" xfId="17653"/>
    <cellStyle name="Entrada 10 2 2 4 6 2" xfId="46834"/>
    <cellStyle name="Entrada 10 2 2 4 7" xfId="30402"/>
    <cellStyle name="Entrada 10 2 2 5" xfId="1361"/>
    <cellStyle name="Entrada 10 2 2 5 2" xfId="2263"/>
    <cellStyle name="Entrada 10 2 2 5 2 2" xfId="4063"/>
    <cellStyle name="Entrada 10 2 2 5 2 2 2" xfId="6952"/>
    <cellStyle name="Entrada 10 2 2 5 2 2 2 2" xfId="18556"/>
    <cellStyle name="Entrada 10 2 2 5 2 2 2 2 2" xfId="47737"/>
    <cellStyle name="Entrada 10 2 2 5 2 2 2 3" xfId="36135"/>
    <cellStyle name="Entrada 10 2 2 5 2 2 3" xfId="7017"/>
    <cellStyle name="Entrada 10 2 2 5 2 2 3 2" xfId="18584"/>
    <cellStyle name="Entrada 10 2 2 5 2 2 3 2 2" xfId="47765"/>
    <cellStyle name="Entrada 10 2 2 5 2 2 3 3" xfId="36200"/>
    <cellStyle name="Entrada 10 2 2 5 2 2 4" xfId="15183"/>
    <cellStyle name="Entrada 10 2 2 5 2 2 4 2" xfId="44364"/>
    <cellStyle name="Entrada 10 2 2 5 2 2 5" xfId="33246"/>
    <cellStyle name="Entrada 10 2 2 5 2 3" xfId="5512"/>
    <cellStyle name="Entrada 10 2 2 5 2 3 2" xfId="10905"/>
    <cellStyle name="Entrada 10 2 2 5 2 3 2 2" xfId="40086"/>
    <cellStyle name="Entrada 10 2 2 5 2 3 3" xfId="34695"/>
    <cellStyle name="Entrada 10 2 2 5 2 4" xfId="7624"/>
    <cellStyle name="Entrada 10 2 2 5 2 4 2" xfId="18934"/>
    <cellStyle name="Entrada 10 2 2 5 2 4 2 2" xfId="48115"/>
    <cellStyle name="Entrada 10 2 2 5 2 4 3" xfId="36807"/>
    <cellStyle name="Entrada 10 2 2 5 2 5" xfId="14752"/>
    <cellStyle name="Entrada 10 2 2 5 2 5 2" xfId="43933"/>
    <cellStyle name="Entrada 10 2 2 5 2 6" xfId="31446"/>
    <cellStyle name="Entrada 10 2 2 5 3" xfId="3163"/>
    <cellStyle name="Entrada 10 2 2 5 3 2" xfId="6232"/>
    <cellStyle name="Entrada 10 2 2 5 3 2 2" xfId="18196"/>
    <cellStyle name="Entrada 10 2 2 5 3 2 2 2" xfId="47377"/>
    <cellStyle name="Entrada 10 2 2 5 3 2 3" xfId="35415"/>
    <cellStyle name="Entrada 10 2 2 5 3 3" xfId="7206"/>
    <cellStyle name="Entrada 10 2 2 5 3 3 2" xfId="18689"/>
    <cellStyle name="Entrada 10 2 2 5 3 3 2 2" xfId="47870"/>
    <cellStyle name="Entrada 10 2 2 5 3 3 3" xfId="36389"/>
    <cellStyle name="Entrada 10 2 2 5 3 4" xfId="14127"/>
    <cellStyle name="Entrada 10 2 2 5 3 4 2" xfId="43308"/>
    <cellStyle name="Entrada 10 2 2 5 3 5" xfId="32346"/>
    <cellStyle name="Entrada 10 2 2 5 4" xfId="4792"/>
    <cellStyle name="Entrada 10 2 2 5 4 2" xfId="15190"/>
    <cellStyle name="Entrada 10 2 2 5 4 2 2" xfId="44371"/>
    <cellStyle name="Entrada 10 2 2 5 4 3" xfId="33975"/>
    <cellStyle name="Entrada 10 2 2 5 5" xfId="7644"/>
    <cellStyle name="Entrada 10 2 2 5 5 2" xfId="18945"/>
    <cellStyle name="Entrada 10 2 2 5 5 2 2" xfId="48126"/>
    <cellStyle name="Entrada 10 2 2 5 5 3" xfId="36827"/>
    <cellStyle name="Entrada 10 2 2 5 6" xfId="10992"/>
    <cellStyle name="Entrada 10 2 2 5 6 2" xfId="40173"/>
    <cellStyle name="Entrada 10 2 2 5 7" xfId="30546"/>
    <cellStyle name="Entrada 10 2 2 6" xfId="1543"/>
    <cellStyle name="Entrada 10 2 2 6 2" xfId="3343"/>
    <cellStyle name="Entrada 10 2 2 6 2 2" xfId="6376"/>
    <cellStyle name="Entrada 10 2 2 6 2 2 2" xfId="18268"/>
    <cellStyle name="Entrada 10 2 2 6 2 2 2 2" xfId="47449"/>
    <cellStyle name="Entrada 10 2 2 6 2 2 3" xfId="35559"/>
    <cellStyle name="Entrada 10 2 2 6 2 3" xfId="10049"/>
    <cellStyle name="Entrada 10 2 2 6 2 3 2" xfId="20401"/>
    <cellStyle name="Entrada 10 2 2 6 2 3 2 2" xfId="49582"/>
    <cellStyle name="Entrada 10 2 2 6 2 3 3" xfId="39232"/>
    <cellStyle name="Entrada 10 2 2 6 2 4" xfId="14154"/>
    <cellStyle name="Entrada 10 2 2 6 2 4 2" xfId="43335"/>
    <cellStyle name="Entrada 10 2 2 6 2 5" xfId="32526"/>
    <cellStyle name="Entrada 10 2 2 6 3" xfId="4936"/>
    <cellStyle name="Entrada 10 2 2 6 3 2" xfId="11433"/>
    <cellStyle name="Entrada 10 2 2 6 3 2 2" xfId="40614"/>
    <cellStyle name="Entrada 10 2 2 6 3 3" xfId="34119"/>
    <cellStyle name="Entrada 10 2 2 6 4" xfId="8826"/>
    <cellStyle name="Entrada 10 2 2 6 4 2" xfId="19664"/>
    <cellStyle name="Entrada 10 2 2 6 4 2 2" xfId="48845"/>
    <cellStyle name="Entrada 10 2 2 6 4 3" xfId="38009"/>
    <cellStyle name="Entrada 10 2 2 6 5" xfId="10682"/>
    <cellStyle name="Entrada 10 2 2 6 5 2" xfId="39863"/>
    <cellStyle name="Entrada 10 2 2 6 6" xfId="30726"/>
    <cellStyle name="Entrada 10 2 2 7" xfId="2443"/>
    <cellStyle name="Entrada 10 2 2 7 2" xfId="5656"/>
    <cellStyle name="Entrada 10 2 2 7 2 2" xfId="17820"/>
    <cellStyle name="Entrada 10 2 2 7 2 2 2" xfId="47001"/>
    <cellStyle name="Entrada 10 2 2 7 2 3" xfId="34839"/>
    <cellStyle name="Entrada 10 2 2 7 3" xfId="10353"/>
    <cellStyle name="Entrada 10 2 2 7 3 2" xfId="20585"/>
    <cellStyle name="Entrada 10 2 2 7 3 2 2" xfId="49766"/>
    <cellStyle name="Entrada 10 2 2 7 3 3" xfId="39536"/>
    <cellStyle name="Entrada 10 2 2 7 4" xfId="14695"/>
    <cellStyle name="Entrada 10 2 2 7 4 2" xfId="43876"/>
    <cellStyle name="Entrada 10 2 2 7 5" xfId="31626"/>
    <cellStyle name="Entrada 10 2 2 8" xfId="4216"/>
    <cellStyle name="Entrada 10 2 2 8 2" xfId="15588"/>
    <cellStyle name="Entrada 10 2 2 8 2 2" xfId="44769"/>
    <cellStyle name="Entrada 10 2 2 8 3" xfId="33399"/>
    <cellStyle name="Entrada 10 2 2 9" xfId="9838"/>
    <cellStyle name="Entrada 10 2 2 9 2" xfId="20271"/>
    <cellStyle name="Entrada 10 2 2 9 2 2" xfId="49452"/>
    <cellStyle name="Entrada 10 2 2 9 3" xfId="39021"/>
    <cellStyle name="Entrada 10 2 3" xfId="783"/>
    <cellStyle name="Entrada 10 2 3 2" xfId="1721"/>
    <cellStyle name="Entrada 10 2 3 2 2" xfId="3521"/>
    <cellStyle name="Entrada 10 2 3 2 2 2" xfId="6518"/>
    <cellStyle name="Entrada 10 2 3 2 2 2 2" xfId="18358"/>
    <cellStyle name="Entrada 10 2 3 2 2 2 2 2" xfId="47539"/>
    <cellStyle name="Entrada 10 2 3 2 2 2 3" xfId="35701"/>
    <cellStyle name="Entrada 10 2 3 2 2 3" xfId="9357"/>
    <cellStyle name="Entrada 10 2 3 2 2 3 2" xfId="19985"/>
    <cellStyle name="Entrada 10 2 3 2 2 3 2 2" xfId="49166"/>
    <cellStyle name="Entrada 10 2 3 2 2 3 3" xfId="38540"/>
    <cellStyle name="Entrada 10 2 3 2 2 4" xfId="12268"/>
    <cellStyle name="Entrada 10 2 3 2 2 4 2" xfId="41449"/>
    <cellStyle name="Entrada 10 2 3 2 2 5" xfId="32704"/>
    <cellStyle name="Entrada 10 2 3 2 3" xfId="5078"/>
    <cellStyle name="Entrada 10 2 3 2 3 2" xfId="15377"/>
    <cellStyle name="Entrada 10 2 3 2 3 2 2" xfId="44558"/>
    <cellStyle name="Entrada 10 2 3 2 3 3" xfId="34261"/>
    <cellStyle name="Entrada 10 2 3 2 4" xfId="9554"/>
    <cellStyle name="Entrada 10 2 3 2 4 2" xfId="20100"/>
    <cellStyle name="Entrada 10 2 3 2 4 2 2" xfId="49281"/>
    <cellStyle name="Entrada 10 2 3 2 4 3" xfId="38737"/>
    <cellStyle name="Entrada 10 2 3 2 5" xfId="11803"/>
    <cellStyle name="Entrada 10 2 3 2 5 2" xfId="40984"/>
    <cellStyle name="Entrada 10 2 3 2 6" xfId="30904"/>
    <cellStyle name="Entrada 10 2 3 3" xfId="2621"/>
    <cellStyle name="Entrada 10 2 3 3 2" xfId="5798"/>
    <cellStyle name="Entrada 10 2 3 3 2 2" xfId="11192"/>
    <cellStyle name="Entrada 10 2 3 3 2 2 2" xfId="40373"/>
    <cellStyle name="Entrada 10 2 3 3 2 3" xfId="34981"/>
    <cellStyle name="Entrada 10 2 3 3 3" xfId="8122"/>
    <cellStyle name="Entrada 10 2 3 3 3 2" xfId="19236"/>
    <cellStyle name="Entrada 10 2 3 3 3 2 2" xfId="48417"/>
    <cellStyle name="Entrada 10 2 3 3 3 3" xfId="37305"/>
    <cellStyle name="Entrada 10 2 3 3 4" xfId="13599"/>
    <cellStyle name="Entrada 10 2 3 3 4 2" xfId="42780"/>
    <cellStyle name="Entrada 10 2 3 3 5" xfId="31804"/>
    <cellStyle name="Entrada 10 2 3 4" xfId="4358"/>
    <cellStyle name="Entrada 10 2 3 4 2" xfId="17710"/>
    <cellStyle name="Entrada 10 2 3 4 2 2" xfId="46891"/>
    <cellStyle name="Entrada 10 2 3 4 3" xfId="33541"/>
    <cellStyle name="Entrada 10 2 3 5" xfId="9032"/>
    <cellStyle name="Entrada 10 2 3 5 2" xfId="19784"/>
    <cellStyle name="Entrada 10 2 3 5 2 2" xfId="48965"/>
    <cellStyle name="Entrada 10 2 3 5 3" xfId="38215"/>
    <cellStyle name="Entrada 10 2 3 6" xfId="15972"/>
    <cellStyle name="Entrada 10 2 3 6 2" xfId="45153"/>
    <cellStyle name="Entrada 10 2 3 7" xfId="29980"/>
    <cellStyle name="Entrada 10 2 4" xfId="975"/>
    <cellStyle name="Entrada 10 2 4 2" xfId="1885"/>
    <cellStyle name="Entrada 10 2 4 2 2" xfId="3685"/>
    <cellStyle name="Entrada 10 2 4 2 2 2" xfId="6646"/>
    <cellStyle name="Entrada 10 2 4 2 2 2 2" xfId="18412"/>
    <cellStyle name="Entrada 10 2 4 2 2 2 2 2" xfId="47593"/>
    <cellStyle name="Entrada 10 2 4 2 2 2 3" xfId="35829"/>
    <cellStyle name="Entrada 10 2 4 2 2 3" xfId="7449"/>
    <cellStyle name="Entrada 10 2 4 2 2 3 2" xfId="18825"/>
    <cellStyle name="Entrada 10 2 4 2 2 3 2 2" xfId="48006"/>
    <cellStyle name="Entrada 10 2 4 2 2 3 3" xfId="36632"/>
    <cellStyle name="Entrada 10 2 4 2 2 4" xfId="14847"/>
    <cellStyle name="Entrada 10 2 4 2 2 4 2" xfId="44028"/>
    <cellStyle name="Entrada 10 2 4 2 2 5" xfId="32868"/>
    <cellStyle name="Entrada 10 2 4 2 3" xfId="5206"/>
    <cellStyle name="Entrada 10 2 4 2 3 2" xfId="14177"/>
    <cellStyle name="Entrada 10 2 4 2 3 2 2" xfId="43358"/>
    <cellStyle name="Entrada 10 2 4 2 3 3" xfId="34389"/>
    <cellStyle name="Entrada 10 2 4 2 4" xfId="9435"/>
    <cellStyle name="Entrada 10 2 4 2 4 2" xfId="20032"/>
    <cellStyle name="Entrada 10 2 4 2 4 2 2" xfId="49213"/>
    <cellStyle name="Entrada 10 2 4 2 4 3" xfId="38618"/>
    <cellStyle name="Entrada 10 2 4 2 5" xfId="14354"/>
    <cellStyle name="Entrada 10 2 4 2 5 2" xfId="43535"/>
    <cellStyle name="Entrada 10 2 4 2 6" xfId="31068"/>
    <cellStyle name="Entrada 10 2 4 3" xfId="2785"/>
    <cellStyle name="Entrada 10 2 4 3 2" xfId="5926"/>
    <cellStyle name="Entrada 10 2 4 3 2 2" xfId="13014"/>
    <cellStyle name="Entrada 10 2 4 3 2 2 2" xfId="42195"/>
    <cellStyle name="Entrada 10 2 4 3 2 3" xfId="35109"/>
    <cellStyle name="Entrada 10 2 4 3 3" xfId="8001"/>
    <cellStyle name="Entrada 10 2 4 3 3 2" xfId="19164"/>
    <cellStyle name="Entrada 10 2 4 3 3 2 2" xfId="48345"/>
    <cellStyle name="Entrada 10 2 4 3 3 3" xfId="37184"/>
    <cellStyle name="Entrada 10 2 4 3 4" xfId="12910"/>
    <cellStyle name="Entrada 10 2 4 3 4 2" xfId="42091"/>
    <cellStyle name="Entrada 10 2 4 3 5" xfId="31968"/>
    <cellStyle name="Entrada 10 2 4 4" xfId="4486"/>
    <cellStyle name="Entrada 10 2 4 4 2" xfId="14746"/>
    <cellStyle name="Entrada 10 2 4 4 2 2" xfId="43927"/>
    <cellStyle name="Entrada 10 2 4 4 3" xfId="33669"/>
    <cellStyle name="Entrada 10 2 4 5" xfId="8716"/>
    <cellStyle name="Entrada 10 2 4 5 2" xfId="19597"/>
    <cellStyle name="Entrada 10 2 4 5 2 2" xfId="48778"/>
    <cellStyle name="Entrada 10 2 4 5 3" xfId="37899"/>
    <cellStyle name="Entrada 10 2 4 6" xfId="17143"/>
    <cellStyle name="Entrada 10 2 4 6 2" xfId="46324"/>
    <cellStyle name="Entrada 10 2 4 7" xfId="30165"/>
    <cellStyle name="Entrada 10 2 5" xfId="1125"/>
    <cellStyle name="Entrada 10 2 5 2" xfId="2029"/>
    <cellStyle name="Entrada 10 2 5 2 2" xfId="3829"/>
    <cellStyle name="Entrada 10 2 5 2 2 2" xfId="6763"/>
    <cellStyle name="Entrada 10 2 5 2 2 2 2" xfId="18466"/>
    <cellStyle name="Entrada 10 2 5 2 2 2 2 2" xfId="47647"/>
    <cellStyle name="Entrada 10 2 5 2 2 2 3" xfId="35946"/>
    <cellStyle name="Entrada 10 2 5 2 2 3" xfId="9727"/>
    <cellStyle name="Entrada 10 2 5 2 2 3 2" xfId="20206"/>
    <cellStyle name="Entrada 10 2 5 2 2 3 2 2" xfId="49387"/>
    <cellStyle name="Entrada 10 2 5 2 2 3 3" xfId="38910"/>
    <cellStyle name="Entrada 10 2 5 2 2 4" xfId="13517"/>
    <cellStyle name="Entrada 10 2 5 2 2 4 2" xfId="42698"/>
    <cellStyle name="Entrada 10 2 5 2 2 5" xfId="33012"/>
    <cellStyle name="Entrada 10 2 5 2 3" xfId="5323"/>
    <cellStyle name="Entrada 10 2 5 2 3 2" xfId="17168"/>
    <cellStyle name="Entrada 10 2 5 2 3 2 2" xfId="46349"/>
    <cellStyle name="Entrada 10 2 5 2 3 3" xfId="34506"/>
    <cellStyle name="Entrada 10 2 5 2 4" xfId="9333"/>
    <cellStyle name="Entrada 10 2 5 2 4 2" xfId="19970"/>
    <cellStyle name="Entrada 10 2 5 2 4 2 2" xfId="49151"/>
    <cellStyle name="Entrada 10 2 5 2 4 3" xfId="38516"/>
    <cellStyle name="Entrada 10 2 5 2 5" xfId="15310"/>
    <cellStyle name="Entrada 10 2 5 2 5 2" xfId="44491"/>
    <cellStyle name="Entrada 10 2 5 2 6" xfId="31212"/>
    <cellStyle name="Entrada 10 2 5 3" xfId="2929"/>
    <cellStyle name="Entrada 10 2 5 3 2" xfId="6043"/>
    <cellStyle name="Entrada 10 2 5 3 2 2" xfId="10565"/>
    <cellStyle name="Entrada 10 2 5 3 2 2 2" xfId="39746"/>
    <cellStyle name="Entrada 10 2 5 3 2 3" xfId="35226"/>
    <cellStyle name="Entrada 10 2 5 3 3" xfId="7912"/>
    <cellStyle name="Entrada 10 2 5 3 3 2" xfId="19109"/>
    <cellStyle name="Entrada 10 2 5 3 3 2 2" xfId="48290"/>
    <cellStyle name="Entrada 10 2 5 3 3 3" xfId="37095"/>
    <cellStyle name="Entrada 10 2 5 3 4" xfId="11022"/>
    <cellStyle name="Entrada 10 2 5 3 4 2" xfId="40203"/>
    <cellStyle name="Entrada 10 2 5 3 5" xfId="32112"/>
    <cellStyle name="Entrada 10 2 5 4" xfId="4603"/>
    <cellStyle name="Entrada 10 2 5 4 2" xfId="11195"/>
    <cellStyle name="Entrada 10 2 5 4 2 2" xfId="40376"/>
    <cellStyle name="Entrada 10 2 5 4 3" xfId="33786"/>
    <cellStyle name="Entrada 10 2 5 5" xfId="9718"/>
    <cellStyle name="Entrada 10 2 5 5 2" xfId="20202"/>
    <cellStyle name="Entrada 10 2 5 5 2 2" xfId="49383"/>
    <cellStyle name="Entrada 10 2 5 5 3" xfId="38901"/>
    <cellStyle name="Entrada 10 2 5 6" xfId="12443"/>
    <cellStyle name="Entrada 10 2 5 6 2" xfId="41624"/>
    <cellStyle name="Entrada 10 2 5 7" xfId="30312"/>
    <cellStyle name="Entrada 10 2 6" xfId="1271"/>
    <cellStyle name="Entrada 10 2 6 2" xfId="2173"/>
    <cellStyle name="Entrada 10 2 6 2 2" xfId="3973"/>
    <cellStyle name="Entrada 10 2 6 2 2 2" xfId="6880"/>
    <cellStyle name="Entrada 10 2 6 2 2 2 2" xfId="18520"/>
    <cellStyle name="Entrada 10 2 6 2 2 2 2 2" xfId="47701"/>
    <cellStyle name="Entrada 10 2 6 2 2 2 3" xfId="36063"/>
    <cellStyle name="Entrada 10 2 6 2 2 3" xfId="7107"/>
    <cellStyle name="Entrada 10 2 6 2 2 3 2" xfId="18638"/>
    <cellStyle name="Entrada 10 2 6 2 2 3 2 2" xfId="47819"/>
    <cellStyle name="Entrada 10 2 6 2 2 3 3" xfId="36290"/>
    <cellStyle name="Entrada 10 2 6 2 2 4" xfId="12703"/>
    <cellStyle name="Entrada 10 2 6 2 2 4 2" xfId="41884"/>
    <cellStyle name="Entrada 10 2 6 2 2 5" xfId="33156"/>
    <cellStyle name="Entrada 10 2 6 2 3" xfId="5440"/>
    <cellStyle name="Entrada 10 2 6 2 3 2" xfId="13620"/>
    <cellStyle name="Entrada 10 2 6 2 3 2 2" xfId="42801"/>
    <cellStyle name="Entrada 10 2 6 2 3 3" xfId="34623"/>
    <cellStyle name="Entrada 10 2 6 2 4" xfId="7629"/>
    <cellStyle name="Entrada 10 2 6 2 4 2" xfId="18936"/>
    <cellStyle name="Entrada 10 2 6 2 4 2 2" xfId="48117"/>
    <cellStyle name="Entrada 10 2 6 2 4 3" xfId="36812"/>
    <cellStyle name="Entrada 10 2 6 2 5" xfId="15541"/>
    <cellStyle name="Entrada 10 2 6 2 5 2" xfId="44722"/>
    <cellStyle name="Entrada 10 2 6 2 6" xfId="31356"/>
    <cellStyle name="Entrada 10 2 6 3" xfId="3073"/>
    <cellStyle name="Entrada 10 2 6 3 2" xfId="6160"/>
    <cellStyle name="Entrada 10 2 6 3 2 2" xfId="18160"/>
    <cellStyle name="Entrada 10 2 6 3 2 2 2" xfId="47341"/>
    <cellStyle name="Entrada 10 2 6 3 2 3" xfId="35343"/>
    <cellStyle name="Entrada 10 2 6 3 3" xfId="8449"/>
    <cellStyle name="Entrada 10 2 6 3 3 2" xfId="19442"/>
    <cellStyle name="Entrada 10 2 6 3 3 2 2" xfId="48623"/>
    <cellStyle name="Entrada 10 2 6 3 3 3" xfId="37632"/>
    <cellStyle name="Entrada 10 2 6 3 4" xfId="11406"/>
    <cellStyle name="Entrada 10 2 6 3 4 2" xfId="40587"/>
    <cellStyle name="Entrada 10 2 6 3 5" xfId="32256"/>
    <cellStyle name="Entrada 10 2 6 4" xfId="4720"/>
    <cellStyle name="Entrada 10 2 6 4 2" xfId="11862"/>
    <cellStyle name="Entrada 10 2 6 4 2 2" xfId="41043"/>
    <cellStyle name="Entrada 10 2 6 4 3" xfId="33903"/>
    <cellStyle name="Entrada 10 2 6 5" xfId="10032"/>
    <cellStyle name="Entrada 10 2 6 5 2" xfId="20391"/>
    <cellStyle name="Entrada 10 2 6 5 2 2" xfId="49572"/>
    <cellStyle name="Entrada 10 2 6 5 3" xfId="39215"/>
    <cellStyle name="Entrada 10 2 6 6" xfId="13288"/>
    <cellStyle name="Entrada 10 2 6 6 2" xfId="42469"/>
    <cellStyle name="Entrada 10 2 6 7" xfId="30456"/>
    <cellStyle name="Entrada 10 2 7" xfId="1453"/>
    <cellStyle name="Entrada 10 2 7 2" xfId="3253"/>
    <cellStyle name="Entrada 10 2 7 2 2" xfId="6304"/>
    <cellStyle name="Entrada 10 2 7 2 2 2" xfId="18232"/>
    <cellStyle name="Entrada 10 2 7 2 2 2 2" xfId="47413"/>
    <cellStyle name="Entrada 10 2 7 2 2 3" xfId="35487"/>
    <cellStyle name="Entrada 10 2 7 2 3" xfId="8115"/>
    <cellStyle name="Entrada 10 2 7 2 3 2" xfId="19232"/>
    <cellStyle name="Entrada 10 2 7 2 3 2 2" xfId="48413"/>
    <cellStyle name="Entrada 10 2 7 2 3 3" xfId="37298"/>
    <cellStyle name="Entrada 10 2 7 2 4" xfId="10886"/>
    <cellStyle name="Entrada 10 2 7 2 4 2" xfId="40067"/>
    <cellStyle name="Entrada 10 2 7 2 5" xfId="32436"/>
    <cellStyle name="Entrada 10 2 7 3" xfId="4864"/>
    <cellStyle name="Entrada 10 2 7 3 2" xfId="12764"/>
    <cellStyle name="Entrada 10 2 7 3 2 2" xfId="41945"/>
    <cellStyle name="Entrada 10 2 7 3 3" xfId="34047"/>
    <cellStyle name="Entrada 10 2 7 4" xfId="9479"/>
    <cellStyle name="Entrada 10 2 7 4 2" xfId="20054"/>
    <cellStyle name="Entrada 10 2 7 4 2 2" xfId="49235"/>
    <cellStyle name="Entrada 10 2 7 4 3" xfId="38662"/>
    <cellStyle name="Entrada 10 2 7 5" xfId="16491"/>
    <cellStyle name="Entrada 10 2 7 5 2" xfId="45672"/>
    <cellStyle name="Entrada 10 2 7 6" xfId="30636"/>
    <cellStyle name="Entrada 10 2 8" xfId="2353"/>
    <cellStyle name="Entrada 10 2 8 2" xfId="5584"/>
    <cellStyle name="Entrada 10 2 8 2 2" xfId="13849"/>
    <cellStyle name="Entrada 10 2 8 2 2 2" xfId="43030"/>
    <cellStyle name="Entrada 10 2 8 2 3" xfId="34767"/>
    <cellStyle name="Entrada 10 2 8 3" xfId="7273"/>
    <cellStyle name="Entrada 10 2 8 3 2" xfId="18729"/>
    <cellStyle name="Entrada 10 2 8 3 2 2" xfId="47910"/>
    <cellStyle name="Entrada 10 2 8 3 3" xfId="36456"/>
    <cellStyle name="Entrada 10 2 8 4" xfId="15565"/>
    <cellStyle name="Entrada 10 2 8 4 2" xfId="44746"/>
    <cellStyle name="Entrada 10 2 8 5" xfId="31536"/>
    <cellStyle name="Entrada 10 2 9" xfId="4144"/>
    <cellStyle name="Entrada 10 2 9 2" xfId="13956"/>
    <cellStyle name="Entrada 10 2 9 2 2" xfId="43137"/>
    <cellStyle name="Entrada 10 2 9 3" xfId="33327"/>
    <cellStyle name="Entrada 10 3" xfId="475"/>
    <cellStyle name="Entrada 10 3 10" xfId="15690"/>
    <cellStyle name="Entrada 10 3 10 2" xfId="44871"/>
    <cellStyle name="Entrada 10 3 11" xfId="29681"/>
    <cellStyle name="Entrada 10 3 2" xfId="828"/>
    <cellStyle name="Entrada 10 3 2 2" xfId="1766"/>
    <cellStyle name="Entrada 10 3 2 2 2" xfId="3566"/>
    <cellStyle name="Entrada 10 3 2 2 2 2" xfId="6554"/>
    <cellStyle name="Entrada 10 3 2 2 2 2 2" xfId="18376"/>
    <cellStyle name="Entrada 10 3 2 2 2 2 2 2" xfId="47557"/>
    <cellStyle name="Entrada 10 3 2 2 2 2 3" xfId="35737"/>
    <cellStyle name="Entrada 10 3 2 2 2 3" xfId="7412"/>
    <cellStyle name="Entrada 10 3 2 2 2 3 2" xfId="18801"/>
    <cellStyle name="Entrada 10 3 2 2 2 3 2 2" xfId="47982"/>
    <cellStyle name="Entrada 10 3 2 2 2 3 3" xfId="36595"/>
    <cellStyle name="Entrada 10 3 2 2 2 4" xfId="16010"/>
    <cellStyle name="Entrada 10 3 2 2 2 4 2" xfId="45191"/>
    <cellStyle name="Entrada 10 3 2 2 2 5" xfId="32749"/>
    <cellStyle name="Entrada 10 3 2 2 3" xfId="5114"/>
    <cellStyle name="Entrada 10 3 2 2 3 2" xfId="13278"/>
    <cellStyle name="Entrada 10 3 2 2 3 2 2" xfId="42459"/>
    <cellStyle name="Entrada 10 3 2 2 3 3" xfId="34297"/>
    <cellStyle name="Entrada 10 3 2 2 4" xfId="9159"/>
    <cellStyle name="Entrada 10 3 2 2 4 2" xfId="19864"/>
    <cellStyle name="Entrada 10 3 2 2 4 2 2" xfId="49045"/>
    <cellStyle name="Entrada 10 3 2 2 4 3" xfId="38342"/>
    <cellStyle name="Entrada 10 3 2 2 5" xfId="15502"/>
    <cellStyle name="Entrada 10 3 2 2 5 2" xfId="44683"/>
    <cellStyle name="Entrada 10 3 2 2 6" xfId="30949"/>
    <cellStyle name="Entrada 10 3 2 3" xfId="2666"/>
    <cellStyle name="Entrada 10 3 2 3 2" xfId="5834"/>
    <cellStyle name="Entrada 10 3 2 3 2 2" xfId="16599"/>
    <cellStyle name="Entrada 10 3 2 3 2 2 2" xfId="45780"/>
    <cellStyle name="Entrada 10 3 2 3 2 3" xfId="35017"/>
    <cellStyle name="Entrada 10 3 2 3 3" xfId="7600"/>
    <cellStyle name="Entrada 10 3 2 3 3 2" xfId="18920"/>
    <cellStyle name="Entrada 10 3 2 3 3 2 2" xfId="48101"/>
    <cellStyle name="Entrada 10 3 2 3 3 3" xfId="36783"/>
    <cellStyle name="Entrada 10 3 2 3 4" xfId="11273"/>
    <cellStyle name="Entrada 10 3 2 3 4 2" xfId="40454"/>
    <cellStyle name="Entrada 10 3 2 3 5" xfId="31849"/>
    <cellStyle name="Entrada 10 3 2 4" xfId="4394"/>
    <cellStyle name="Entrada 10 3 2 4 2" xfId="14414"/>
    <cellStyle name="Entrada 10 3 2 4 2 2" xfId="43595"/>
    <cellStyle name="Entrada 10 3 2 4 3" xfId="33577"/>
    <cellStyle name="Entrada 10 3 2 5" xfId="8142"/>
    <cellStyle name="Entrada 10 3 2 5 2" xfId="19249"/>
    <cellStyle name="Entrada 10 3 2 5 2 2" xfId="48430"/>
    <cellStyle name="Entrada 10 3 2 5 3" xfId="37325"/>
    <cellStyle name="Entrada 10 3 2 6" xfId="17934"/>
    <cellStyle name="Entrada 10 3 2 6 2" xfId="47115"/>
    <cellStyle name="Entrada 10 3 2 7" xfId="30025"/>
    <cellStyle name="Entrada 10 3 3" xfId="1020"/>
    <cellStyle name="Entrada 10 3 3 2" xfId="1930"/>
    <cellStyle name="Entrada 10 3 3 2 2" xfId="3730"/>
    <cellStyle name="Entrada 10 3 3 2 2 2" xfId="6682"/>
    <cellStyle name="Entrada 10 3 3 2 2 2 2" xfId="18430"/>
    <cellStyle name="Entrada 10 3 3 2 2 2 2 2" xfId="47611"/>
    <cellStyle name="Entrada 10 3 3 2 2 2 3" xfId="35865"/>
    <cellStyle name="Entrada 10 3 3 2 2 3" xfId="9651"/>
    <cellStyle name="Entrada 10 3 3 2 2 3 2" xfId="20158"/>
    <cellStyle name="Entrada 10 3 3 2 2 3 2 2" xfId="49339"/>
    <cellStyle name="Entrada 10 3 3 2 2 3 3" xfId="38834"/>
    <cellStyle name="Entrada 10 3 3 2 2 4" xfId="10651"/>
    <cellStyle name="Entrada 10 3 3 2 2 4 2" xfId="39832"/>
    <cellStyle name="Entrada 10 3 3 2 2 5" xfId="32913"/>
    <cellStyle name="Entrada 10 3 3 2 3" xfId="5242"/>
    <cellStyle name="Entrada 10 3 3 2 3 2" xfId="12246"/>
    <cellStyle name="Entrada 10 3 3 2 3 2 2" xfId="41427"/>
    <cellStyle name="Entrada 10 3 3 2 3 3" xfId="34425"/>
    <cellStyle name="Entrada 10 3 3 2 4" xfId="9240"/>
    <cellStyle name="Entrada 10 3 3 2 4 2" xfId="19915"/>
    <cellStyle name="Entrada 10 3 3 2 4 2 2" xfId="49096"/>
    <cellStyle name="Entrada 10 3 3 2 4 3" xfId="38423"/>
    <cellStyle name="Entrada 10 3 3 2 5" xfId="12648"/>
    <cellStyle name="Entrada 10 3 3 2 5 2" xfId="41829"/>
    <cellStyle name="Entrada 10 3 3 2 6" xfId="31113"/>
    <cellStyle name="Entrada 10 3 3 3" xfId="2830"/>
    <cellStyle name="Entrada 10 3 3 3 2" xfId="5962"/>
    <cellStyle name="Entrada 10 3 3 3 2 2" xfId="10601"/>
    <cellStyle name="Entrada 10 3 3 3 2 2 2" xfId="39782"/>
    <cellStyle name="Entrada 10 3 3 3 2 3" xfId="35145"/>
    <cellStyle name="Entrada 10 3 3 3 3" xfId="7546"/>
    <cellStyle name="Entrada 10 3 3 3 3 2" xfId="18882"/>
    <cellStyle name="Entrada 10 3 3 3 3 2 2" xfId="48063"/>
    <cellStyle name="Entrada 10 3 3 3 3 3" xfId="36729"/>
    <cellStyle name="Entrada 10 3 3 3 4" xfId="15669"/>
    <cellStyle name="Entrada 10 3 3 3 4 2" xfId="44850"/>
    <cellStyle name="Entrada 10 3 3 3 5" xfId="32013"/>
    <cellStyle name="Entrada 10 3 3 4" xfId="4522"/>
    <cellStyle name="Entrada 10 3 3 4 2" xfId="13519"/>
    <cellStyle name="Entrada 10 3 3 4 2 2" xfId="42700"/>
    <cellStyle name="Entrada 10 3 3 4 3" xfId="33705"/>
    <cellStyle name="Entrada 10 3 3 5" xfId="7479"/>
    <cellStyle name="Entrada 10 3 3 5 2" xfId="18841"/>
    <cellStyle name="Entrada 10 3 3 5 2 2" xfId="48022"/>
    <cellStyle name="Entrada 10 3 3 5 3" xfId="36662"/>
    <cellStyle name="Entrada 10 3 3 6" xfId="10760"/>
    <cellStyle name="Entrada 10 3 3 6 2" xfId="39941"/>
    <cellStyle name="Entrada 10 3 3 7" xfId="30210"/>
    <cellStyle name="Entrada 10 3 4" xfId="1170"/>
    <cellStyle name="Entrada 10 3 4 2" xfId="2074"/>
    <cellStyle name="Entrada 10 3 4 2 2" xfId="3874"/>
    <cellStyle name="Entrada 10 3 4 2 2 2" xfId="6799"/>
    <cellStyle name="Entrada 10 3 4 2 2 2 2" xfId="18484"/>
    <cellStyle name="Entrada 10 3 4 2 2 2 2 2" xfId="47665"/>
    <cellStyle name="Entrada 10 3 4 2 2 2 3" xfId="35982"/>
    <cellStyle name="Entrada 10 3 4 2 2 3" xfId="9568"/>
    <cellStyle name="Entrada 10 3 4 2 2 3 2" xfId="20111"/>
    <cellStyle name="Entrada 10 3 4 2 2 3 2 2" xfId="49292"/>
    <cellStyle name="Entrada 10 3 4 2 2 3 3" xfId="38751"/>
    <cellStyle name="Entrada 10 3 4 2 2 4" xfId="11303"/>
    <cellStyle name="Entrada 10 3 4 2 2 4 2" xfId="40484"/>
    <cellStyle name="Entrada 10 3 4 2 2 5" xfId="33057"/>
    <cellStyle name="Entrada 10 3 4 2 3" xfId="5359"/>
    <cellStyle name="Entrada 10 3 4 2 3 2" xfId="14881"/>
    <cellStyle name="Entrada 10 3 4 2 3 2 2" xfId="44062"/>
    <cellStyle name="Entrada 10 3 4 2 3 3" xfId="34542"/>
    <cellStyle name="Entrada 10 3 4 2 4" xfId="7307"/>
    <cellStyle name="Entrada 10 3 4 2 4 2" xfId="18743"/>
    <cellStyle name="Entrada 10 3 4 2 4 2 2" xfId="47924"/>
    <cellStyle name="Entrada 10 3 4 2 4 3" xfId="36490"/>
    <cellStyle name="Entrada 10 3 4 2 5" xfId="14616"/>
    <cellStyle name="Entrada 10 3 4 2 5 2" xfId="43797"/>
    <cellStyle name="Entrada 10 3 4 2 6" xfId="31257"/>
    <cellStyle name="Entrada 10 3 4 3" xfId="2974"/>
    <cellStyle name="Entrada 10 3 4 3 2" xfId="6079"/>
    <cellStyle name="Entrada 10 3 4 3 2 2" xfId="10547"/>
    <cellStyle name="Entrada 10 3 4 3 2 2 2" xfId="39728"/>
    <cellStyle name="Entrada 10 3 4 3 2 3" xfId="35262"/>
    <cellStyle name="Entrada 10 3 4 3 3" xfId="7380"/>
    <cellStyle name="Entrada 10 3 4 3 3 2" xfId="18785"/>
    <cellStyle name="Entrada 10 3 4 3 3 2 2" xfId="47966"/>
    <cellStyle name="Entrada 10 3 4 3 3 3" xfId="36563"/>
    <cellStyle name="Entrada 10 3 4 3 4" xfId="13143"/>
    <cellStyle name="Entrada 10 3 4 3 4 2" xfId="42324"/>
    <cellStyle name="Entrada 10 3 4 3 5" xfId="32157"/>
    <cellStyle name="Entrada 10 3 4 4" xfId="4639"/>
    <cellStyle name="Entrada 10 3 4 4 2" xfId="16079"/>
    <cellStyle name="Entrada 10 3 4 4 2 2" xfId="45260"/>
    <cellStyle name="Entrada 10 3 4 4 3" xfId="33822"/>
    <cellStyle name="Entrada 10 3 4 5" xfId="8870"/>
    <cellStyle name="Entrada 10 3 4 5 2" xfId="19689"/>
    <cellStyle name="Entrada 10 3 4 5 2 2" xfId="48870"/>
    <cellStyle name="Entrada 10 3 4 5 3" xfId="38053"/>
    <cellStyle name="Entrada 10 3 4 6" xfId="16568"/>
    <cellStyle name="Entrada 10 3 4 6 2" xfId="45749"/>
    <cellStyle name="Entrada 10 3 4 7" xfId="30357"/>
    <cellStyle name="Entrada 10 3 5" xfId="1316"/>
    <cellStyle name="Entrada 10 3 5 2" xfId="2218"/>
    <cellStyle name="Entrada 10 3 5 2 2" xfId="4018"/>
    <cellStyle name="Entrada 10 3 5 2 2 2" xfId="6916"/>
    <cellStyle name="Entrada 10 3 5 2 2 2 2" xfId="18538"/>
    <cellStyle name="Entrada 10 3 5 2 2 2 2 2" xfId="47719"/>
    <cellStyle name="Entrada 10 3 5 2 2 2 3" xfId="36099"/>
    <cellStyle name="Entrada 10 3 5 2 2 3" xfId="7062"/>
    <cellStyle name="Entrada 10 3 5 2 2 3 2" xfId="18611"/>
    <cellStyle name="Entrada 10 3 5 2 2 3 2 2" xfId="47792"/>
    <cellStyle name="Entrada 10 3 5 2 2 3 3" xfId="36245"/>
    <cellStyle name="Entrada 10 3 5 2 2 4" xfId="16371"/>
    <cellStyle name="Entrada 10 3 5 2 2 4 2" xfId="45552"/>
    <cellStyle name="Entrada 10 3 5 2 2 5" xfId="33201"/>
    <cellStyle name="Entrada 10 3 5 2 3" xfId="5476"/>
    <cellStyle name="Entrada 10 3 5 2 3 2" xfId="10919"/>
    <cellStyle name="Entrada 10 3 5 2 3 2 2" xfId="40100"/>
    <cellStyle name="Entrada 10 3 5 2 3 3" xfId="34659"/>
    <cellStyle name="Entrada 10 3 5 2 4" xfId="8977"/>
    <cellStyle name="Entrada 10 3 5 2 4 2" xfId="19756"/>
    <cellStyle name="Entrada 10 3 5 2 4 2 2" xfId="48937"/>
    <cellStyle name="Entrada 10 3 5 2 4 3" xfId="38160"/>
    <cellStyle name="Entrada 10 3 5 2 5" xfId="17296"/>
    <cellStyle name="Entrada 10 3 5 2 5 2" xfId="46477"/>
    <cellStyle name="Entrada 10 3 5 2 6" xfId="31401"/>
    <cellStyle name="Entrada 10 3 5 3" xfId="3118"/>
    <cellStyle name="Entrada 10 3 5 3 2" xfId="6196"/>
    <cellStyle name="Entrada 10 3 5 3 2 2" xfId="18178"/>
    <cellStyle name="Entrada 10 3 5 3 2 2 2" xfId="47359"/>
    <cellStyle name="Entrada 10 3 5 3 2 3" xfId="35379"/>
    <cellStyle name="Entrada 10 3 5 3 3" xfId="10504"/>
    <cellStyle name="Entrada 10 3 5 3 3 2" xfId="20680"/>
    <cellStyle name="Entrada 10 3 5 3 3 2 2" xfId="49861"/>
    <cellStyle name="Entrada 10 3 5 3 3 3" xfId="39687"/>
    <cellStyle name="Entrada 10 3 5 3 4" xfId="15083"/>
    <cellStyle name="Entrada 10 3 5 3 4 2" xfId="44264"/>
    <cellStyle name="Entrada 10 3 5 3 5" xfId="32301"/>
    <cellStyle name="Entrada 10 3 5 4" xfId="4756"/>
    <cellStyle name="Entrada 10 3 5 4 2" xfId="15198"/>
    <cellStyle name="Entrada 10 3 5 4 2 2" xfId="44379"/>
    <cellStyle name="Entrada 10 3 5 4 3" xfId="33939"/>
    <cellStyle name="Entrada 10 3 5 5" xfId="7892"/>
    <cellStyle name="Entrada 10 3 5 5 2" xfId="19099"/>
    <cellStyle name="Entrada 10 3 5 5 2 2" xfId="48280"/>
    <cellStyle name="Entrada 10 3 5 5 3" xfId="37075"/>
    <cellStyle name="Entrada 10 3 5 6" xfId="17259"/>
    <cellStyle name="Entrada 10 3 5 6 2" xfId="46440"/>
    <cellStyle name="Entrada 10 3 5 7" xfId="30501"/>
    <cellStyle name="Entrada 10 3 6" xfId="1498"/>
    <cellStyle name="Entrada 10 3 6 2" xfId="3298"/>
    <cellStyle name="Entrada 10 3 6 2 2" xfId="6340"/>
    <cellStyle name="Entrada 10 3 6 2 2 2" xfId="18250"/>
    <cellStyle name="Entrada 10 3 6 2 2 2 2" xfId="47431"/>
    <cellStyle name="Entrada 10 3 6 2 2 3" xfId="35523"/>
    <cellStyle name="Entrada 10 3 6 2 3" xfId="7579"/>
    <cellStyle name="Entrada 10 3 6 2 3 2" xfId="18905"/>
    <cellStyle name="Entrada 10 3 6 2 3 2 2" xfId="48086"/>
    <cellStyle name="Entrada 10 3 6 2 3 3" xfId="36762"/>
    <cellStyle name="Entrada 10 3 6 2 4" xfId="15109"/>
    <cellStyle name="Entrada 10 3 6 2 4 2" xfId="44290"/>
    <cellStyle name="Entrada 10 3 6 2 5" xfId="32481"/>
    <cellStyle name="Entrada 10 3 6 3" xfId="4900"/>
    <cellStyle name="Entrada 10 3 6 3 2" xfId="11796"/>
    <cellStyle name="Entrada 10 3 6 3 2 2" xfId="40977"/>
    <cellStyle name="Entrada 10 3 6 3 3" xfId="34083"/>
    <cellStyle name="Entrada 10 3 6 4" xfId="8609"/>
    <cellStyle name="Entrada 10 3 6 4 2" xfId="19540"/>
    <cellStyle name="Entrada 10 3 6 4 2 2" xfId="48721"/>
    <cellStyle name="Entrada 10 3 6 4 3" xfId="37792"/>
    <cellStyle name="Entrada 10 3 6 5" xfId="10723"/>
    <cellStyle name="Entrada 10 3 6 5 2" xfId="39904"/>
    <cellStyle name="Entrada 10 3 6 6" xfId="30681"/>
    <cellStyle name="Entrada 10 3 7" xfId="2398"/>
    <cellStyle name="Entrada 10 3 7 2" xfId="5620"/>
    <cellStyle name="Entrada 10 3 7 2 2" xfId="13563"/>
    <cellStyle name="Entrada 10 3 7 2 2 2" xfId="42744"/>
    <cellStyle name="Entrada 10 3 7 2 3" xfId="34803"/>
    <cellStyle name="Entrada 10 3 7 3" xfId="7260"/>
    <cellStyle name="Entrada 10 3 7 3 2" xfId="18720"/>
    <cellStyle name="Entrada 10 3 7 3 2 2" xfId="47901"/>
    <cellStyle name="Entrada 10 3 7 3 3" xfId="36443"/>
    <cellStyle name="Entrada 10 3 7 4" xfId="17833"/>
    <cellStyle name="Entrada 10 3 7 4 2" xfId="47014"/>
    <cellStyle name="Entrada 10 3 7 5" xfId="31581"/>
    <cellStyle name="Entrada 10 3 8" xfId="4180"/>
    <cellStyle name="Entrada 10 3 8 2" xfId="16740"/>
    <cellStyle name="Entrada 10 3 8 2 2" xfId="45921"/>
    <cellStyle name="Entrada 10 3 8 3" xfId="33363"/>
    <cellStyle name="Entrada 10 3 9" xfId="8621"/>
    <cellStyle name="Entrada 10 3 9 2" xfId="19546"/>
    <cellStyle name="Entrada 10 3 9 2 2" xfId="48727"/>
    <cellStyle name="Entrada 10 3 9 3" xfId="37804"/>
    <cellStyle name="Entrada 10 4" xfId="657"/>
    <cellStyle name="Entrada 10 4 2" xfId="1649"/>
    <cellStyle name="Entrada 10 4 2 2" xfId="3449"/>
    <cellStyle name="Entrada 10 4 2 2 2" xfId="6464"/>
    <cellStyle name="Entrada 10 4 2 2 2 2" xfId="18331"/>
    <cellStyle name="Entrada 10 4 2 2 2 2 2" xfId="47512"/>
    <cellStyle name="Entrada 10 4 2 2 2 3" xfId="35647"/>
    <cellStyle name="Entrada 10 4 2 2 3" xfId="9770"/>
    <cellStyle name="Entrada 10 4 2 2 3 2" xfId="20233"/>
    <cellStyle name="Entrada 10 4 2 2 3 2 2" xfId="49414"/>
    <cellStyle name="Entrada 10 4 2 2 3 3" xfId="38953"/>
    <cellStyle name="Entrada 10 4 2 2 4" xfId="14286"/>
    <cellStyle name="Entrada 10 4 2 2 4 2" xfId="43467"/>
    <cellStyle name="Entrada 10 4 2 2 5" xfId="32632"/>
    <cellStyle name="Entrada 10 4 2 3" xfId="5024"/>
    <cellStyle name="Entrada 10 4 2 3 2" xfId="13513"/>
    <cellStyle name="Entrada 10 4 2 3 2 2" xfId="42694"/>
    <cellStyle name="Entrada 10 4 2 3 3" xfId="34207"/>
    <cellStyle name="Entrada 10 4 2 4" xfId="9301"/>
    <cellStyle name="Entrada 10 4 2 4 2" xfId="19954"/>
    <cellStyle name="Entrada 10 4 2 4 2 2" xfId="49135"/>
    <cellStyle name="Entrada 10 4 2 4 3" xfId="38484"/>
    <cellStyle name="Entrada 10 4 2 5" xfId="13216"/>
    <cellStyle name="Entrada 10 4 2 5 2" xfId="42397"/>
    <cellStyle name="Entrada 10 4 2 6" xfId="30832"/>
    <cellStyle name="Entrada 10 4 3" xfId="2549"/>
    <cellStyle name="Entrada 10 4 3 2" xfId="5744"/>
    <cellStyle name="Entrada 10 4 3 2 2" xfId="12253"/>
    <cellStyle name="Entrada 10 4 3 2 2 2" xfId="41434"/>
    <cellStyle name="Entrada 10 4 3 2 3" xfId="34927"/>
    <cellStyle name="Entrada 10 4 3 3" xfId="7879"/>
    <cellStyle name="Entrada 10 4 3 3 2" xfId="19092"/>
    <cellStyle name="Entrada 10 4 3 3 2 2" xfId="48273"/>
    <cellStyle name="Entrada 10 4 3 3 3" xfId="37062"/>
    <cellStyle name="Entrada 10 4 3 4" xfId="16708"/>
    <cellStyle name="Entrada 10 4 3 4 2" xfId="45889"/>
    <cellStyle name="Entrada 10 4 3 5" xfId="31732"/>
    <cellStyle name="Entrada 10 4 4" xfId="4304"/>
    <cellStyle name="Entrada 10 4 4 2" xfId="11613"/>
    <cellStyle name="Entrada 10 4 4 2 2" xfId="40794"/>
    <cellStyle name="Entrada 10 4 4 3" xfId="33487"/>
    <cellStyle name="Entrada 10 4 5" xfId="8503"/>
    <cellStyle name="Entrada 10 4 5 2" xfId="19475"/>
    <cellStyle name="Entrada 10 4 5 2 2" xfId="48656"/>
    <cellStyle name="Entrada 10 4 5 3" xfId="37686"/>
    <cellStyle name="Entrada 10 4 6" xfId="16589"/>
    <cellStyle name="Entrada 10 4 6 2" xfId="45770"/>
    <cellStyle name="Entrada 10 4 7" xfId="29860"/>
    <cellStyle name="Entrada 10 5" xfId="620"/>
    <cellStyle name="Entrada 10 5 2" xfId="1612"/>
    <cellStyle name="Entrada 10 5 2 2" xfId="3412"/>
    <cellStyle name="Entrada 10 5 2 2 2" xfId="6427"/>
    <cellStyle name="Entrada 10 5 2 2 2 2" xfId="18294"/>
    <cellStyle name="Entrada 10 5 2 2 2 2 2" xfId="47475"/>
    <cellStyle name="Entrada 10 5 2 2 2 3" xfId="35610"/>
    <cellStyle name="Entrada 10 5 2 2 3" xfId="8887"/>
    <cellStyle name="Entrada 10 5 2 2 3 2" xfId="19699"/>
    <cellStyle name="Entrada 10 5 2 2 3 2 2" xfId="48880"/>
    <cellStyle name="Entrada 10 5 2 2 3 3" xfId="38070"/>
    <cellStyle name="Entrada 10 5 2 2 4" xfId="12192"/>
    <cellStyle name="Entrada 10 5 2 2 4 2" xfId="41373"/>
    <cellStyle name="Entrada 10 5 2 2 5" xfId="32595"/>
    <cellStyle name="Entrada 10 5 2 3" xfId="4987"/>
    <cellStyle name="Entrada 10 5 2 3 2" xfId="16784"/>
    <cellStyle name="Entrada 10 5 2 3 2 2" xfId="45965"/>
    <cellStyle name="Entrada 10 5 2 3 3" xfId="34170"/>
    <cellStyle name="Entrada 10 5 2 4" xfId="8474"/>
    <cellStyle name="Entrada 10 5 2 4 2" xfId="19459"/>
    <cellStyle name="Entrada 10 5 2 4 2 2" xfId="48640"/>
    <cellStyle name="Entrada 10 5 2 4 3" xfId="37657"/>
    <cellStyle name="Entrada 10 5 2 5" xfId="16640"/>
    <cellStyle name="Entrada 10 5 2 5 2" xfId="45821"/>
    <cellStyle name="Entrada 10 5 2 6" xfId="30795"/>
    <cellStyle name="Entrada 10 5 3" xfId="2512"/>
    <cellStyle name="Entrada 10 5 3 2" xfId="5707"/>
    <cellStyle name="Entrada 10 5 3 2 2" xfId="14645"/>
    <cellStyle name="Entrada 10 5 3 2 2 2" xfId="43826"/>
    <cellStyle name="Entrada 10 5 3 2 3" xfId="34890"/>
    <cellStyle name="Entrada 10 5 3 3" xfId="9992"/>
    <cellStyle name="Entrada 10 5 3 3 2" xfId="20369"/>
    <cellStyle name="Entrada 10 5 3 3 2 2" xfId="49550"/>
    <cellStyle name="Entrada 10 5 3 3 3" xfId="39175"/>
    <cellStyle name="Entrada 10 5 3 4" xfId="17838"/>
    <cellStyle name="Entrada 10 5 3 4 2" xfId="47019"/>
    <cellStyle name="Entrada 10 5 3 5" xfId="31695"/>
    <cellStyle name="Entrada 10 5 4" xfId="4267"/>
    <cellStyle name="Entrada 10 5 4 2" xfId="15054"/>
    <cellStyle name="Entrada 10 5 4 2 2" xfId="44235"/>
    <cellStyle name="Entrada 10 5 4 3" xfId="33450"/>
    <cellStyle name="Entrada 10 5 5" xfId="8377"/>
    <cellStyle name="Entrada 10 5 5 2" xfId="19394"/>
    <cellStyle name="Entrada 10 5 5 2 2" xfId="48575"/>
    <cellStyle name="Entrada 10 5 5 3" xfId="37560"/>
    <cellStyle name="Entrada 10 5 6" xfId="11721"/>
    <cellStyle name="Entrada 10 5 6 2" xfId="40902"/>
    <cellStyle name="Entrada 10 5 7" xfId="29823"/>
    <cellStyle name="Entrada 10 6" xfId="666"/>
    <cellStyle name="Entrada 10 6 2" xfId="1658"/>
    <cellStyle name="Entrada 10 6 2 2" xfId="3458"/>
    <cellStyle name="Entrada 10 6 2 2 2" xfId="6473"/>
    <cellStyle name="Entrada 10 6 2 2 2 2" xfId="18340"/>
    <cellStyle name="Entrada 10 6 2 2 2 2 2" xfId="47521"/>
    <cellStyle name="Entrada 10 6 2 2 2 3" xfId="35656"/>
    <cellStyle name="Entrada 10 6 2 2 3" xfId="7577"/>
    <cellStyle name="Entrada 10 6 2 2 3 2" xfId="18904"/>
    <cellStyle name="Entrada 10 6 2 2 3 2 2" xfId="48085"/>
    <cellStyle name="Entrada 10 6 2 2 3 3" xfId="36760"/>
    <cellStyle name="Entrada 10 6 2 2 4" xfId="14748"/>
    <cellStyle name="Entrada 10 6 2 2 4 2" xfId="43929"/>
    <cellStyle name="Entrada 10 6 2 2 5" xfId="32641"/>
    <cellStyle name="Entrada 10 6 2 3" xfId="5033"/>
    <cellStyle name="Entrada 10 6 2 3 2" xfId="11618"/>
    <cellStyle name="Entrada 10 6 2 3 2 2" xfId="40799"/>
    <cellStyle name="Entrada 10 6 2 3 3" xfId="34216"/>
    <cellStyle name="Entrada 10 6 2 4" xfId="8984"/>
    <cellStyle name="Entrada 10 6 2 4 2" xfId="19761"/>
    <cellStyle name="Entrada 10 6 2 4 2 2" xfId="48942"/>
    <cellStyle name="Entrada 10 6 2 4 3" xfId="38167"/>
    <cellStyle name="Entrada 10 6 2 5" xfId="14263"/>
    <cellStyle name="Entrada 10 6 2 5 2" xfId="43444"/>
    <cellStyle name="Entrada 10 6 2 6" xfId="30841"/>
    <cellStyle name="Entrada 10 6 3" xfId="2558"/>
    <cellStyle name="Entrada 10 6 3 2" xfId="5753"/>
    <cellStyle name="Entrada 10 6 3 2 2" xfId="13424"/>
    <cellStyle name="Entrada 10 6 3 2 2 2" xfId="42605"/>
    <cellStyle name="Entrada 10 6 3 2 3" xfId="34936"/>
    <cellStyle name="Entrada 10 6 3 3" xfId="10511"/>
    <cellStyle name="Entrada 10 6 3 3 2" xfId="20685"/>
    <cellStyle name="Entrada 10 6 3 3 2 2" xfId="49866"/>
    <cellStyle name="Entrada 10 6 3 3 3" xfId="39694"/>
    <cellStyle name="Entrada 10 6 3 4" xfId="12874"/>
    <cellStyle name="Entrada 10 6 3 4 2" xfId="42055"/>
    <cellStyle name="Entrada 10 6 3 5" xfId="31741"/>
    <cellStyle name="Entrada 10 6 4" xfId="4313"/>
    <cellStyle name="Entrada 10 6 4 2" xfId="16935"/>
    <cellStyle name="Entrada 10 6 4 2 2" xfId="46116"/>
    <cellStyle name="Entrada 10 6 4 3" xfId="33496"/>
    <cellStyle name="Entrada 10 6 5" xfId="9604"/>
    <cellStyle name="Entrada 10 6 5 2" xfId="20133"/>
    <cellStyle name="Entrada 10 6 5 2 2" xfId="49314"/>
    <cellStyle name="Entrada 10 6 5 3" xfId="38787"/>
    <cellStyle name="Entrada 10 6 6" xfId="17401"/>
    <cellStyle name="Entrada 10 6 6 2" xfId="46582"/>
    <cellStyle name="Entrada 10 6 7" xfId="29869"/>
    <cellStyle name="Entrada 10 7" xfId="611"/>
    <cellStyle name="Entrada 10 7 2" xfId="1603"/>
    <cellStyle name="Entrada 10 7 2 2" xfId="3403"/>
    <cellStyle name="Entrada 10 7 2 2 2" xfId="6418"/>
    <cellStyle name="Entrada 10 7 2 2 2 2" xfId="18285"/>
    <cellStyle name="Entrada 10 7 2 2 2 2 2" xfId="47466"/>
    <cellStyle name="Entrada 10 7 2 2 2 3" xfId="35601"/>
    <cellStyle name="Entrada 10 7 2 2 3" xfId="10085"/>
    <cellStyle name="Entrada 10 7 2 2 3 2" xfId="20425"/>
    <cellStyle name="Entrada 10 7 2 2 3 2 2" xfId="49606"/>
    <cellStyle name="Entrada 10 7 2 2 3 3" xfId="39268"/>
    <cellStyle name="Entrada 10 7 2 2 4" xfId="17841"/>
    <cellStyle name="Entrada 10 7 2 2 4 2" xfId="47022"/>
    <cellStyle name="Entrada 10 7 2 2 5" xfId="32586"/>
    <cellStyle name="Entrada 10 7 2 3" xfId="4978"/>
    <cellStyle name="Entrada 10 7 2 3 2" xfId="16202"/>
    <cellStyle name="Entrada 10 7 2 3 2 2" xfId="45383"/>
    <cellStyle name="Entrada 10 7 2 3 3" xfId="34161"/>
    <cellStyle name="Entrada 10 7 2 4" xfId="10028"/>
    <cellStyle name="Entrada 10 7 2 4 2" xfId="20390"/>
    <cellStyle name="Entrada 10 7 2 4 2 2" xfId="49571"/>
    <cellStyle name="Entrada 10 7 2 4 3" xfId="39211"/>
    <cellStyle name="Entrada 10 7 2 5" xfId="11600"/>
    <cellStyle name="Entrada 10 7 2 5 2" xfId="40781"/>
    <cellStyle name="Entrada 10 7 2 6" xfId="30786"/>
    <cellStyle name="Entrada 10 7 3" xfId="2503"/>
    <cellStyle name="Entrada 10 7 3 2" xfId="5698"/>
    <cellStyle name="Entrada 10 7 3 2 2" xfId="16703"/>
    <cellStyle name="Entrada 10 7 3 2 2 2" xfId="45884"/>
    <cellStyle name="Entrada 10 7 3 2 3" xfId="34881"/>
    <cellStyle name="Entrada 10 7 3 3" xfId="9235"/>
    <cellStyle name="Entrada 10 7 3 3 2" xfId="19912"/>
    <cellStyle name="Entrada 10 7 3 3 2 2" xfId="49093"/>
    <cellStyle name="Entrada 10 7 3 3 3" xfId="38418"/>
    <cellStyle name="Entrada 10 7 3 4" xfId="12387"/>
    <cellStyle name="Entrada 10 7 3 4 2" xfId="41568"/>
    <cellStyle name="Entrada 10 7 3 5" xfId="31686"/>
    <cellStyle name="Entrada 10 7 4" xfId="4258"/>
    <cellStyle name="Entrada 10 7 4 2" xfId="10750"/>
    <cellStyle name="Entrada 10 7 4 2 2" xfId="39931"/>
    <cellStyle name="Entrada 10 7 4 3" xfId="33441"/>
    <cellStyle name="Entrada 10 7 5" xfId="10216"/>
    <cellStyle name="Entrada 10 7 5 2" xfId="20500"/>
    <cellStyle name="Entrada 10 7 5 2 2" xfId="49681"/>
    <cellStyle name="Entrada 10 7 5 3" xfId="39399"/>
    <cellStyle name="Entrada 10 7 6" xfId="13117"/>
    <cellStyle name="Entrada 10 7 6 2" xfId="42298"/>
    <cellStyle name="Entrada 10 7 7" xfId="29814"/>
    <cellStyle name="Entrada 10 8" xfId="1408"/>
    <cellStyle name="Entrada 10 8 2" xfId="3208"/>
    <cellStyle name="Entrada 10 8 2 2" xfId="6268"/>
    <cellStyle name="Entrada 10 8 2 2 2" xfId="18214"/>
    <cellStyle name="Entrada 10 8 2 2 2 2" xfId="47395"/>
    <cellStyle name="Entrada 10 8 2 2 3" xfId="35451"/>
    <cellStyle name="Entrada 10 8 2 3" xfId="9006"/>
    <cellStyle name="Entrada 10 8 2 3 2" xfId="19772"/>
    <cellStyle name="Entrada 10 8 2 3 2 2" xfId="48953"/>
    <cellStyle name="Entrada 10 8 2 3 3" xfId="38189"/>
    <cellStyle name="Entrada 10 8 2 4" xfId="12503"/>
    <cellStyle name="Entrada 10 8 2 4 2" xfId="41684"/>
    <cellStyle name="Entrada 10 8 2 5" xfId="32391"/>
    <cellStyle name="Entrada 10 8 3" xfId="4828"/>
    <cellStyle name="Entrada 10 8 3 2" xfId="13206"/>
    <cellStyle name="Entrada 10 8 3 2 2" xfId="42387"/>
    <cellStyle name="Entrada 10 8 3 3" xfId="34011"/>
    <cellStyle name="Entrada 10 8 4" xfId="9635"/>
    <cellStyle name="Entrada 10 8 4 2" xfId="20150"/>
    <cellStyle name="Entrada 10 8 4 2 2" xfId="49331"/>
    <cellStyle name="Entrada 10 8 4 3" xfId="38818"/>
    <cellStyle name="Entrada 10 8 5" xfId="11203"/>
    <cellStyle name="Entrada 10 8 5 2" xfId="40384"/>
    <cellStyle name="Entrada 10 8 6" xfId="30591"/>
    <cellStyle name="Entrada 10 9" xfId="2308"/>
    <cellStyle name="Entrada 10 9 2" xfId="5548"/>
    <cellStyle name="Entrada 10 9 2 2" xfId="17419"/>
    <cellStyle name="Entrada 10 9 2 2 2" xfId="46600"/>
    <cellStyle name="Entrada 10 9 2 3" xfId="34731"/>
    <cellStyle name="Entrada 10 9 3" xfId="7983"/>
    <cellStyle name="Entrada 10 9 3 2" xfId="19152"/>
    <cellStyle name="Entrada 10 9 3 2 2" xfId="48333"/>
    <cellStyle name="Entrada 10 9 3 3" xfId="37166"/>
    <cellStyle name="Entrada 10 9 4" xfId="11639"/>
    <cellStyle name="Entrada 10 9 4 2" xfId="40820"/>
    <cellStyle name="Entrada 10 9 5" xfId="31491"/>
    <cellStyle name="Entrada 2" xfId="256"/>
    <cellStyle name="Entrada 2 10" xfId="4109"/>
    <cellStyle name="Entrada 2 10 2" xfId="16991"/>
    <cellStyle name="Entrada 2 10 2 2" xfId="46172"/>
    <cellStyle name="Entrada 2 10 3" xfId="33292"/>
    <cellStyle name="Entrada 2 11" xfId="10856"/>
    <cellStyle name="Entrada 2 11 2" xfId="40037"/>
    <cellStyle name="Entrada 2 12" xfId="29569"/>
    <cellStyle name="Entrada 2 2" xfId="431"/>
    <cellStyle name="Entrada 2 2 10" xfId="10257"/>
    <cellStyle name="Entrada 2 2 10 2" xfId="20522"/>
    <cellStyle name="Entrada 2 2 10 2 2" xfId="49703"/>
    <cellStyle name="Entrada 2 2 10 3" xfId="39440"/>
    <cellStyle name="Entrada 2 2 11" xfId="16393"/>
    <cellStyle name="Entrada 2 2 11 2" xfId="45574"/>
    <cellStyle name="Entrada 2 2 12" xfId="58774"/>
    <cellStyle name="Entrada 2 2 13" xfId="29637"/>
    <cellStyle name="Entrada 2 2 2" xfId="521"/>
    <cellStyle name="Entrada 2 2 2 10" xfId="17689"/>
    <cellStyle name="Entrada 2 2 2 10 2" xfId="46870"/>
    <cellStyle name="Entrada 2 2 2 11" xfId="29727"/>
    <cellStyle name="Entrada 2 2 2 2" xfId="874"/>
    <cellStyle name="Entrada 2 2 2 2 2" xfId="1812"/>
    <cellStyle name="Entrada 2 2 2 2 2 2" xfId="3612"/>
    <cellStyle name="Entrada 2 2 2 2 2 2 2" xfId="6591"/>
    <cellStyle name="Entrada 2 2 2 2 2 2 2 2" xfId="18395"/>
    <cellStyle name="Entrada 2 2 2 2 2 2 2 2 2" xfId="47576"/>
    <cellStyle name="Entrada 2 2 2 2 2 2 2 3" xfId="35774"/>
    <cellStyle name="Entrada 2 2 2 2 2 2 3" xfId="9981"/>
    <cellStyle name="Entrada 2 2 2 2 2 2 3 2" xfId="20361"/>
    <cellStyle name="Entrada 2 2 2 2 2 2 3 2 2" xfId="49542"/>
    <cellStyle name="Entrada 2 2 2 2 2 2 3 3" xfId="39164"/>
    <cellStyle name="Entrada 2 2 2 2 2 2 4" xfId="13766"/>
    <cellStyle name="Entrada 2 2 2 2 2 2 4 2" xfId="42947"/>
    <cellStyle name="Entrada 2 2 2 2 2 2 5" xfId="32795"/>
    <cellStyle name="Entrada 2 2 2 2 2 3" xfId="5151"/>
    <cellStyle name="Entrada 2 2 2 2 2 3 2" xfId="11678"/>
    <cellStyle name="Entrada 2 2 2 2 2 3 2 2" xfId="40859"/>
    <cellStyle name="Entrada 2 2 2 2 2 3 3" xfId="34334"/>
    <cellStyle name="Entrada 2 2 2 2 2 4" xfId="7720"/>
    <cellStyle name="Entrada 2 2 2 2 2 4 2" xfId="18993"/>
    <cellStyle name="Entrada 2 2 2 2 2 4 2 2" xfId="48174"/>
    <cellStyle name="Entrada 2 2 2 2 2 4 3" xfId="36903"/>
    <cellStyle name="Entrada 2 2 2 2 2 5" xfId="12230"/>
    <cellStyle name="Entrada 2 2 2 2 2 5 2" xfId="41411"/>
    <cellStyle name="Entrada 2 2 2 2 2 6" xfId="30995"/>
    <cellStyle name="Entrada 2 2 2 2 3" xfId="2712"/>
    <cellStyle name="Entrada 2 2 2 2 3 2" xfId="5871"/>
    <cellStyle name="Entrada 2 2 2 2 3 2 2" xfId="13456"/>
    <cellStyle name="Entrada 2 2 2 2 3 2 2 2" xfId="42637"/>
    <cellStyle name="Entrada 2 2 2 2 3 2 3" xfId="35054"/>
    <cellStyle name="Entrada 2 2 2 2 3 3" xfId="8520"/>
    <cellStyle name="Entrada 2 2 2 2 3 3 2" xfId="19486"/>
    <cellStyle name="Entrada 2 2 2 2 3 3 2 2" xfId="48667"/>
    <cellStyle name="Entrada 2 2 2 2 3 3 3" xfId="37703"/>
    <cellStyle name="Entrada 2 2 2 2 3 4" xfId="12068"/>
    <cellStyle name="Entrada 2 2 2 2 3 4 2" xfId="41249"/>
    <cellStyle name="Entrada 2 2 2 2 3 5" xfId="31895"/>
    <cellStyle name="Entrada 2 2 2 2 4" xfId="4431"/>
    <cellStyle name="Entrada 2 2 2 2 4 2" xfId="17946"/>
    <cellStyle name="Entrada 2 2 2 2 4 2 2" xfId="47127"/>
    <cellStyle name="Entrada 2 2 2 2 4 3" xfId="33614"/>
    <cellStyle name="Entrada 2 2 2 2 5" xfId="9391"/>
    <cellStyle name="Entrada 2 2 2 2 5 2" xfId="20005"/>
    <cellStyle name="Entrada 2 2 2 2 5 2 2" xfId="49186"/>
    <cellStyle name="Entrada 2 2 2 2 5 3" xfId="38574"/>
    <cellStyle name="Entrada 2 2 2 2 6" xfId="13051"/>
    <cellStyle name="Entrada 2 2 2 2 6 2" xfId="42232"/>
    <cellStyle name="Entrada 2 2 2 2 7" xfId="30071"/>
    <cellStyle name="Entrada 2 2 2 3" xfId="1066"/>
    <cellStyle name="Entrada 2 2 2 3 2" xfId="1976"/>
    <cellStyle name="Entrada 2 2 2 3 2 2" xfId="3776"/>
    <cellStyle name="Entrada 2 2 2 3 2 2 2" xfId="6719"/>
    <cellStyle name="Entrada 2 2 2 3 2 2 2 2" xfId="18449"/>
    <cellStyle name="Entrada 2 2 2 3 2 2 2 2 2" xfId="47630"/>
    <cellStyle name="Entrada 2 2 2 3 2 2 2 3" xfId="35902"/>
    <cellStyle name="Entrada 2 2 2 3 2 2 3" xfId="9954"/>
    <cellStyle name="Entrada 2 2 2 3 2 2 3 2" xfId="20342"/>
    <cellStyle name="Entrada 2 2 2 3 2 2 3 2 2" xfId="49523"/>
    <cellStyle name="Entrada 2 2 2 3 2 2 3 3" xfId="39137"/>
    <cellStyle name="Entrada 2 2 2 3 2 2 4" xfId="10623"/>
    <cellStyle name="Entrada 2 2 2 3 2 2 4 2" xfId="39804"/>
    <cellStyle name="Entrada 2 2 2 3 2 2 5" xfId="32959"/>
    <cellStyle name="Entrada 2 2 2 3 2 3" xfId="5279"/>
    <cellStyle name="Entrada 2 2 2 3 2 3 2" xfId="16392"/>
    <cellStyle name="Entrada 2 2 2 3 2 3 2 2" xfId="45573"/>
    <cellStyle name="Entrada 2 2 2 3 2 3 3" xfId="34462"/>
    <cellStyle name="Entrada 2 2 2 3 2 4" xfId="9747"/>
    <cellStyle name="Entrada 2 2 2 3 2 4 2" xfId="20218"/>
    <cellStyle name="Entrada 2 2 2 3 2 4 2 2" xfId="49399"/>
    <cellStyle name="Entrada 2 2 2 3 2 4 3" xfId="38930"/>
    <cellStyle name="Entrada 2 2 2 3 2 5" xfId="17288"/>
    <cellStyle name="Entrada 2 2 2 3 2 5 2" xfId="46469"/>
    <cellStyle name="Entrada 2 2 2 3 2 6" xfId="31159"/>
    <cellStyle name="Entrada 2 2 2 3 3" xfId="2876"/>
    <cellStyle name="Entrada 2 2 2 3 3 2" xfId="5999"/>
    <cellStyle name="Entrada 2 2 2 3 3 2 2" xfId="10582"/>
    <cellStyle name="Entrada 2 2 2 3 3 2 2 2" xfId="39763"/>
    <cellStyle name="Entrada 2 2 2 3 3 2 3" xfId="35182"/>
    <cellStyle name="Entrada 2 2 2 3 3 3" xfId="8353"/>
    <cellStyle name="Entrada 2 2 2 3 3 3 2" xfId="19377"/>
    <cellStyle name="Entrada 2 2 2 3 3 3 2 2" xfId="48558"/>
    <cellStyle name="Entrada 2 2 2 3 3 3 3" xfId="37536"/>
    <cellStyle name="Entrada 2 2 2 3 3 4" xfId="16276"/>
    <cellStyle name="Entrada 2 2 2 3 3 4 2" xfId="45457"/>
    <cellStyle name="Entrada 2 2 2 3 3 5" xfId="32059"/>
    <cellStyle name="Entrada 2 2 2 3 4" xfId="4559"/>
    <cellStyle name="Entrada 2 2 2 3 4 2" xfId="15966"/>
    <cellStyle name="Entrada 2 2 2 3 4 2 2" xfId="45147"/>
    <cellStyle name="Entrada 2 2 2 3 4 3" xfId="33742"/>
    <cellStyle name="Entrada 2 2 2 3 5" xfId="10449"/>
    <cellStyle name="Entrada 2 2 2 3 5 2" xfId="20645"/>
    <cellStyle name="Entrada 2 2 2 3 5 2 2" xfId="49826"/>
    <cellStyle name="Entrada 2 2 2 3 5 3" xfId="39632"/>
    <cellStyle name="Entrada 2 2 2 3 6" xfId="11532"/>
    <cellStyle name="Entrada 2 2 2 3 6 2" xfId="40713"/>
    <cellStyle name="Entrada 2 2 2 3 7" xfId="30256"/>
    <cellStyle name="Entrada 2 2 2 4" xfId="1216"/>
    <cellStyle name="Entrada 2 2 2 4 2" xfId="2120"/>
    <cellStyle name="Entrada 2 2 2 4 2 2" xfId="3920"/>
    <cellStyle name="Entrada 2 2 2 4 2 2 2" xfId="6836"/>
    <cellStyle name="Entrada 2 2 2 4 2 2 2 2" xfId="18503"/>
    <cellStyle name="Entrada 2 2 2 4 2 2 2 2 2" xfId="47684"/>
    <cellStyle name="Entrada 2 2 2 4 2 2 2 3" xfId="36019"/>
    <cellStyle name="Entrada 2 2 2 4 2 2 3" xfId="7940"/>
    <cellStyle name="Entrada 2 2 2 4 2 2 3 2" xfId="19125"/>
    <cellStyle name="Entrada 2 2 2 4 2 2 3 2 2" xfId="48306"/>
    <cellStyle name="Entrada 2 2 2 4 2 2 3 3" xfId="37123"/>
    <cellStyle name="Entrada 2 2 2 4 2 2 4" xfId="12005"/>
    <cellStyle name="Entrada 2 2 2 4 2 2 4 2" xfId="41186"/>
    <cellStyle name="Entrada 2 2 2 4 2 2 5" xfId="33103"/>
    <cellStyle name="Entrada 2 2 2 4 2 3" xfId="5396"/>
    <cellStyle name="Entrada 2 2 2 4 2 3 2" xfId="12188"/>
    <cellStyle name="Entrada 2 2 2 4 2 3 2 2" xfId="41369"/>
    <cellStyle name="Entrada 2 2 2 4 2 3 3" xfId="34579"/>
    <cellStyle name="Entrada 2 2 2 4 2 4" xfId="8126"/>
    <cellStyle name="Entrada 2 2 2 4 2 4 2" xfId="19238"/>
    <cellStyle name="Entrada 2 2 2 4 2 4 2 2" xfId="48419"/>
    <cellStyle name="Entrada 2 2 2 4 2 4 3" xfId="37309"/>
    <cellStyle name="Entrada 2 2 2 4 2 5" xfId="17719"/>
    <cellStyle name="Entrada 2 2 2 4 2 5 2" xfId="46900"/>
    <cellStyle name="Entrada 2 2 2 4 2 6" xfId="31303"/>
    <cellStyle name="Entrada 2 2 2 4 3" xfId="3020"/>
    <cellStyle name="Entrada 2 2 2 4 3 2" xfId="6116"/>
    <cellStyle name="Entrada 2 2 2 4 3 2 2" xfId="18143"/>
    <cellStyle name="Entrada 2 2 2 4 3 2 2 2" xfId="47324"/>
    <cellStyle name="Entrada 2 2 2 4 3 2 3" xfId="35299"/>
    <cellStyle name="Entrada 2 2 2 4 3 3" xfId="8891"/>
    <cellStyle name="Entrada 2 2 2 4 3 3 2" xfId="19701"/>
    <cellStyle name="Entrada 2 2 2 4 3 3 2 2" xfId="48882"/>
    <cellStyle name="Entrada 2 2 2 4 3 3 3" xfId="38074"/>
    <cellStyle name="Entrada 2 2 2 4 3 4" xfId="17493"/>
    <cellStyle name="Entrada 2 2 2 4 3 4 2" xfId="46674"/>
    <cellStyle name="Entrada 2 2 2 4 3 5" xfId="32203"/>
    <cellStyle name="Entrada 2 2 2 4 4" xfId="4676"/>
    <cellStyle name="Entrada 2 2 2 4 4 2" xfId="13459"/>
    <cellStyle name="Entrada 2 2 2 4 4 2 2" xfId="42640"/>
    <cellStyle name="Entrada 2 2 2 4 4 3" xfId="33859"/>
    <cellStyle name="Entrada 2 2 2 4 5" xfId="7931"/>
    <cellStyle name="Entrada 2 2 2 4 5 2" xfId="19118"/>
    <cellStyle name="Entrada 2 2 2 4 5 2 2" xfId="48299"/>
    <cellStyle name="Entrada 2 2 2 4 5 3" xfId="37114"/>
    <cellStyle name="Entrada 2 2 2 4 6" xfId="12916"/>
    <cellStyle name="Entrada 2 2 2 4 6 2" xfId="42097"/>
    <cellStyle name="Entrada 2 2 2 4 7" xfId="30403"/>
    <cellStyle name="Entrada 2 2 2 5" xfId="1362"/>
    <cellStyle name="Entrada 2 2 2 5 2" xfId="2264"/>
    <cellStyle name="Entrada 2 2 2 5 2 2" xfId="4064"/>
    <cellStyle name="Entrada 2 2 2 5 2 2 2" xfId="6953"/>
    <cellStyle name="Entrada 2 2 2 5 2 2 2 2" xfId="18557"/>
    <cellStyle name="Entrada 2 2 2 5 2 2 2 2 2" xfId="47738"/>
    <cellStyle name="Entrada 2 2 2 5 2 2 2 3" xfId="36136"/>
    <cellStyle name="Entrada 2 2 2 5 2 2 3" xfId="7016"/>
    <cellStyle name="Entrada 2 2 2 5 2 2 3 2" xfId="18583"/>
    <cellStyle name="Entrada 2 2 2 5 2 2 3 2 2" xfId="47764"/>
    <cellStyle name="Entrada 2 2 2 5 2 2 3 3" xfId="36199"/>
    <cellStyle name="Entrada 2 2 2 5 2 2 4" xfId="12884"/>
    <cellStyle name="Entrada 2 2 2 5 2 2 4 2" xfId="42065"/>
    <cellStyle name="Entrada 2 2 2 5 2 2 5" xfId="33247"/>
    <cellStyle name="Entrada 2 2 2 5 2 3" xfId="5513"/>
    <cellStyle name="Entrada 2 2 2 5 2 3 2" xfId="16962"/>
    <cellStyle name="Entrada 2 2 2 5 2 3 2 2" xfId="46143"/>
    <cellStyle name="Entrada 2 2 2 5 2 3 3" xfId="34696"/>
    <cellStyle name="Entrada 2 2 2 5 2 4" xfId="7296"/>
    <cellStyle name="Entrada 2 2 2 5 2 4 2" xfId="18738"/>
    <cellStyle name="Entrada 2 2 2 5 2 4 2 2" xfId="47919"/>
    <cellStyle name="Entrada 2 2 2 5 2 4 3" xfId="36479"/>
    <cellStyle name="Entrada 2 2 2 5 2 5" xfId="12388"/>
    <cellStyle name="Entrada 2 2 2 5 2 5 2" xfId="41569"/>
    <cellStyle name="Entrada 2 2 2 5 2 6" xfId="31447"/>
    <cellStyle name="Entrada 2 2 2 5 3" xfId="3164"/>
    <cellStyle name="Entrada 2 2 2 5 3 2" xfId="6233"/>
    <cellStyle name="Entrada 2 2 2 5 3 2 2" xfId="18197"/>
    <cellStyle name="Entrada 2 2 2 5 3 2 2 2" xfId="47378"/>
    <cellStyle name="Entrada 2 2 2 5 3 2 3" xfId="35416"/>
    <cellStyle name="Entrada 2 2 2 5 3 3" xfId="7205"/>
    <cellStyle name="Entrada 2 2 2 5 3 3 2" xfId="18688"/>
    <cellStyle name="Entrada 2 2 2 5 3 3 2 2" xfId="47869"/>
    <cellStyle name="Entrada 2 2 2 5 3 3 3" xfId="36388"/>
    <cellStyle name="Entrada 2 2 2 5 3 4" xfId="16741"/>
    <cellStyle name="Entrada 2 2 2 5 3 4 2" xfId="45922"/>
    <cellStyle name="Entrada 2 2 2 5 3 5" xfId="32347"/>
    <cellStyle name="Entrada 2 2 2 5 4" xfId="4793"/>
    <cellStyle name="Entrada 2 2 2 5 4 2" xfId="12891"/>
    <cellStyle name="Entrada 2 2 2 5 4 2 2" xfId="42072"/>
    <cellStyle name="Entrada 2 2 2 5 4 3" xfId="33976"/>
    <cellStyle name="Entrada 2 2 2 5 5" xfId="9102"/>
    <cellStyle name="Entrada 2 2 2 5 5 2" xfId="19829"/>
    <cellStyle name="Entrada 2 2 2 5 5 2 2" xfId="49010"/>
    <cellStyle name="Entrada 2 2 2 5 5 3" xfId="38285"/>
    <cellStyle name="Entrada 2 2 2 5 6" xfId="16113"/>
    <cellStyle name="Entrada 2 2 2 5 6 2" xfId="45294"/>
    <cellStyle name="Entrada 2 2 2 5 7" xfId="30547"/>
    <cellStyle name="Entrada 2 2 2 6" xfId="1544"/>
    <cellStyle name="Entrada 2 2 2 6 2" xfId="3344"/>
    <cellStyle name="Entrada 2 2 2 6 2 2" xfId="6377"/>
    <cellStyle name="Entrada 2 2 2 6 2 2 2" xfId="18269"/>
    <cellStyle name="Entrada 2 2 2 6 2 2 2 2" xfId="47450"/>
    <cellStyle name="Entrada 2 2 2 6 2 2 3" xfId="35560"/>
    <cellStyle name="Entrada 2 2 2 6 2 3" xfId="8513"/>
    <cellStyle name="Entrada 2 2 2 6 2 3 2" xfId="19480"/>
    <cellStyle name="Entrada 2 2 2 6 2 3 2 2" xfId="48661"/>
    <cellStyle name="Entrada 2 2 2 6 2 3 3" xfId="37696"/>
    <cellStyle name="Entrada 2 2 2 6 2 4" xfId="17081"/>
    <cellStyle name="Entrada 2 2 2 6 2 4 2" xfId="46262"/>
    <cellStyle name="Entrada 2 2 2 6 2 5" xfId="32527"/>
    <cellStyle name="Entrada 2 2 2 6 3" xfId="4937"/>
    <cellStyle name="Entrada 2 2 2 6 3 2" xfId="18013"/>
    <cellStyle name="Entrada 2 2 2 6 3 2 2" xfId="47194"/>
    <cellStyle name="Entrada 2 2 2 6 3 3" xfId="34120"/>
    <cellStyle name="Entrada 2 2 2 6 4" xfId="8052"/>
    <cellStyle name="Entrada 2 2 2 6 4 2" xfId="19193"/>
    <cellStyle name="Entrada 2 2 2 6 4 2 2" xfId="48374"/>
    <cellStyle name="Entrada 2 2 2 6 4 3" xfId="37235"/>
    <cellStyle name="Entrada 2 2 2 6 5" xfId="10681"/>
    <cellStyle name="Entrada 2 2 2 6 5 2" xfId="39862"/>
    <cellStyle name="Entrada 2 2 2 6 6" xfId="30727"/>
    <cellStyle name="Entrada 2 2 2 7" xfId="2444"/>
    <cellStyle name="Entrada 2 2 2 7 2" xfId="5657"/>
    <cellStyle name="Entrada 2 2 2 7 2 2" xfId="14935"/>
    <cellStyle name="Entrada 2 2 2 7 2 2 2" xfId="44116"/>
    <cellStyle name="Entrada 2 2 2 7 2 3" xfId="34840"/>
    <cellStyle name="Entrada 2 2 2 7 3" xfId="8817"/>
    <cellStyle name="Entrada 2 2 2 7 3 2" xfId="19658"/>
    <cellStyle name="Entrada 2 2 2 7 3 2 2" xfId="48839"/>
    <cellStyle name="Entrada 2 2 2 7 3 3" xfId="38000"/>
    <cellStyle name="Entrada 2 2 2 7 4" xfId="12321"/>
    <cellStyle name="Entrada 2 2 2 7 4 2" xfId="41502"/>
    <cellStyle name="Entrada 2 2 2 7 5" xfId="31627"/>
    <cellStyle name="Entrada 2 2 2 8" xfId="4217"/>
    <cellStyle name="Entrada 2 2 2 8 2" xfId="13342"/>
    <cellStyle name="Entrada 2 2 2 8 2 2" xfId="42523"/>
    <cellStyle name="Entrada 2 2 2 8 3" xfId="33400"/>
    <cellStyle name="Entrada 2 2 2 9" xfId="8300"/>
    <cellStyle name="Entrada 2 2 2 9 2" xfId="19345"/>
    <cellStyle name="Entrada 2 2 2 9 2 2" xfId="48526"/>
    <cellStyle name="Entrada 2 2 2 9 3" xfId="37483"/>
    <cellStyle name="Entrada 2 2 3" xfId="784"/>
    <cellStyle name="Entrada 2 2 3 2" xfId="1722"/>
    <cellStyle name="Entrada 2 2 3 2 2" xfId="3522"/>
    <cellStyle name="Entrada 2 2 3 2 2 2" xfId="6519"/>
    <cellStyle name="Entrada 2 2 3 2 2 2 2" xfId="18359"/>
    <cellStyle name="Entrada 2 2 3 2 2 2 2 2" xfId="47540"/>
    <cellStyle name="Entrada 2 2 3 2 2 2 3" xfId="35702"/>
    <cellStyle name="Entrada 2 2 3 2 2 3" xfId="10122"/>
    <cellStyle name="Entrada 2 2 3 2 2 3 2" xfId="20447"/>
    <cellStyle name="Entrada 2 2 3 2 2 3 2 2" xfId="49628"/>
    <cellStyle name="Entrada 2 2 3 2 2 3 3" xfId="39305"/>
    <cellStyle name="Entrada 2 2 3 2 2 4" xfId="17263"/>
    <cellStyle name="Entrada 2 2 3 2 2 4 2" xfId="46444"/>
    <cellStyle name="Entrada 2 2 3 2 2 5" xfId="32705"/>
    <cellStyle name="Entrada 2 2 3 2 3" xfId="5079"/>
    <cellStyle name="Entrada 2 2 3 2 3 2" xfId="13107"/>
    <cellStyle name="Entrada 2 2 3 2 3 2 2" xfId="42288"/>
    <cellStyle name="Entrada 2 2 3 2 3 3" xfId="34262"/>
    <cellStyle name="Entrada 2 2 3 2 4" xfId="10322"/>
    <cellStyle name="Entrada 2 2 3 2 4 2" xfId="20565"/>
    <cellStyle name="Entrada 2 2 3 2 4 2 2" xfId="49746"/>
    <cellStyle name="Entrada 2 2 3 2 4 3" xfId="39505"/>
    <cellStyle name="Entrada 2 2 3 2 5" xfId="11168"/>
    <cellStyle name="Entrada 2 2 3 2 5 2" xfId="40349"/>
    <cellStyle name="Entrada 2 2 3 2 6" xfId="30905"/>
    <cellStyle name="Entrada 2 2 3 3" xfId="2622"/>
    <cellStyle name="Entrada 2 2 3 3 2" xfId="5799"/>
    <cellStyle name="Entrada 2 2 3 3 2 2" xfId="16734"/>
    <cellStyle name="Entrada 2 2 3 3 2 2 2" xfId="45915"/>
    <cellStyle name="Entrada 2 2 3 3 2 3" xfId="34982"/>
    <cellStyle name="Entrada 2 2 3 3 3" xfId="9545"/>
    <cellStyle name="Entrada 2 2 3 3 3 2" xfId="20095"/>
    <cellStyle name="Entrada 2 2 3 3 3 2 2" xfId="49276"/>
    <cellStyle name="Entrada 2 2 3 3 3 3" xfId="38728"/>
    <cellStyle name="Entrada 2 2 3 3 4" xfId="16009"/>
    <cellStyle name="Entrada 2 2 3 3 4 2" xfId="45190"/>
    <cellStyle name="Entrada 2 2 3 3 5" xfId="31805"/>
    <cellStyle name="Entrada 2 2 3 4" xfId="4359"/>
    <cellStyle name="Entrada 2 2 3 4 2" xfId="14257"/>
    <cellStyle name="Entrada 2 2 3 4 2 2" xfId="43438"/>
    <cellStyle name="Entrada 2 2 3 4 3" xfId="33542"/>
    <cellStyle name="Entrada 2 2 3 5" xfId="9798"/>
    <cellStyle name="Entrada 2 2 3 5 2" xfId="20246"/>
    <cellStyle name="Entrada 2 2 3 5 2 2" xfId="49427"/>
    <cellStyle name="Entrada 2 2 3 5 3" xfId="38981"/>
    <cellStyle name="Entrada 2 2 3 6" xfId="12134"/>
    <cellStyle name="Entrada 2 2 3 6 2" xfId="41315"/>
    <cellStyle name="Entrada 2 2 3 7" xfId="29981"/>
    <cellStyle name="Entrada 2 2 4" xfId="976"/>
    <cellStyle name="Entrada 2 2 4 2" xfId="1886"/>
    <cellStyle name="Entrada 2 2 4 2 2" xfId="3686"/>
    <cellStyle name="Entrada 2 2 4 2 2 2" xfId="6647"/>
    <cellStyle name="Entrada 2 2 4 2 2 2 2" xfId="18413"/>
    <cellStyle name="Entrada 2 2 4 2 2 2 2 2" xfId="47594"/>
    <cellStyle name="Entrada 2 2 4 2 2 2 3" xfId="35830"/>
    <cellStyle name="Entrada 2 2 4 2 2 3" xfId="7372"/>
    <cellStyle name="Entrada 2 2 4 2 2 3 2" xfId="18780"/>
    <cellStyle name="Entrada 2 2 4 2 2 3 2 2" xfId="47961"/>
    <cellStyle name="Entrada 2 2 4 2 2 3 3" xfId="36555"/>
    <cellStyle name="Entrada 2 2 4 2 2 4" xfId="12501"/>
    <cellStyle name="Entrada 2 2 4 2 2 4 2" xfId="41682"/>
    <cellStyle name="Entrada 2 2 4 2 2 5" xfId="32869"/>
    <cellStyle name="Entrada 2 2 4 2 3" xfId="5207"/>
    <cellStyle name="Entrada 2 2 4 2 3 2" xfId="15941"/>
    <cellStyle name="Entrada 2 2 4 2 3 2 2" xfId="45122"/>
    <cellStyle name="Entrada 2 2 4 2 3 3" xfId="34390"/>
    <cellStyle name="Entrada 2 2 4 2 4" xfId="10202"/>
    <cellStyle name="Entrada 2 2 4 2 4 2" xfId="20493"/>
    <cellStyle name="Entrada 2 2 4 2 4 2 2" xfId="49674"/>
    <cellStyle name="Entrada 2 2 4 2 4 3" xfId="39385"/>
    <cellStyle name="Entrada 2 2 4 2 5" xfId="16252"/>
    <cellStyle name="Entrada 2 2 4 2 5 2" xfId="45433"/>
    <cellStyle name="Entrada 2 2 4 2 6" xfId="31069"/>
    <cellStyle name="Entrada 2 2 4 3" xfId="2786"/>
    <cellStyle name="Entrada 2 2 4 3 2" xfId="5927"/>
    <cellStyle name="Entrada 2 2 4 3 2 2" xfId="11740"/>
    <cellStyle name="Entrada 2 2 4 3 2 2 2" xfId="40921"/>
    <cellStyle name="Entrada 2 2 4 3 2 3" xfId="35110"/>
    <cellStyle name="Entrada 2 2 4 3 3" xfId="9426"/>
    <cellStyle name="Entrada 2 2 4 3 3 2" xfId="20026"/>
    <cellStyle name="Entrada 2 2 4 3 3 2 2" xfId="49207"/>
    <cellStyle name="Entrada 2 2 4 3 3 3" xfId="38609"/>
    <cellStyle name="Entrada 2 2 4 3 4" xfId="11637"/>
    <cellStyle name="Entrada 2 2 4 3 4 2" xfId="40818"/>
    <cellStyle name="Entrada 2 2 4 3 5" xfId="31969"/>
    <cellStyle name="Entrada 2 2 4 4" xfId="4487"/>
    <cellStyle name="Entrada 2 2 4 4 2" xfId="12381"/>
    <cellStyle name="Entrada 2 2 4 4 2 2" xfId="41562"/>
    <cellStyle name="Entrada 2 2 4 4 3" xfId="33670"/>
    <cellStyle name="Entrada 2 2 4 5" xfId="7934"/>
    <cellStyle name="Entrada 2 2 4 5 2" xfId="19121"/>
    <cellStyle name="Entrada 2 2 4 5 2 2" xfId="48302"/>
    <cellStyle name="Entrada 2 2 4 5 3" xfId="37117"/>
    <cellStyle name="Entrada 2 2 4 6" xfId="16642"/>
    <cellStyle name="Entrada 2 2 4 6 2" xfId="45823"/>
    <cellStyle name="Entrada 2 2 4 7" xfId="30166"/>
    <cellStyle name="Entrada 2 2 5" xfId="1126"/>
    <cellStyle name="Entrada 2 2 5 2" xfId="2030"/>
    <cellStyle name="Entrada 2 2 5 2 2" xfId="3830"/>
    <cellStyle name="Entrada 2 2 5 2 2 2" xfId="6764"/>
    <cellStyle name="Entrada 2 2 5 2 2 2 2" xfId="18467"/>
    <cellStyle name="Entrada 2 2 5 2 2 2 2 2" xfId="47648"/>
    <cellStyle name="Entrada 2 2 5 2 2 2 3" xfId="35947"/>
    <cellStyle name="Entrada 2 2 5 2 2 3" xfId="10496"/>
    <cellStyle name="Entrada 2 2 5 2 2 3 2" xfId="20676"/>
    <cellStyle name="Entrada 2 2 5 2 2 3 2 2" xfId="49857"/>
    <cellStyle name="Entrada 2 2 5 2 2 3 3" xfId="39679"/>
    <cellStyle name="Entrada 2 2 5 2 2 4" xfId="16526"/>
    <cellStyle name="Entrada 2 2 5 2 2 4 2" xfId="45707"/>
    <cellStyle name="Entrada 2 2 5 2 2 5" xfId="33013"/>
    <cellStyle name="Entrada 2 2 5 2 3" xfId="5324"/>
    <cellStyle name="Entrada 2 2 5 2 3 2" xfId="14716"/>
    <cellStyle name="Entrada 2 2 5 2 3 2 2" xfId="43897"/>
    <cellStyle name="Entrada 2 2 5 2 3 3" xfId="34507"/>
    <cellStyle name="Entrada 2 2 5 2 4" xfId="10099"/>
    <cellStyle name="Entrada 2 2 5 2 4 2" xfId="20432"/>
    <cellStyle name="Entrada 2 2 5 2 4 2 2" xfId="49613"/>
    <cellStyle name="Entrada 2 2 5 2 4 3" xfId="39282"/>
    <cellStyle name="Entrada 2 2 5 2 5" xfId="13026"/>
    <cellStyle name="Entrada 2 2 5 2 5 2" xfId="42207"/>
    <cellStyle name="Entrada 2 2 5 2 6" xfId="31213"/>
    <cellStyle name="Entrada 2 2 5 3" xfId="2930"/>
    <cellStyle name="Entrada 2 2 5 3 2" xfId="6044"/>
    <cellStyle name="Entrada 2 2 5 3 2 2" xfId="10564"/>
    <cellStyle name="Entrada 2 2 5 3 2 2 2" xfId="39745"/>
    <cellStyle name="Entrada 2 2 5 3 2 3" xfId="35227"/>
    <cellStyle name="Entrada 2 2 5 3 3" xfId="9324"/>
    <cellStyle name="Entrada 2 2 5 3 3 2" xfId="19966"/>
    <cellStyle name="Entrada 2 2 5 3 3 2 2" xfId="49147"/>
    <cellStyle name="Entrada 2 2 5 3 3 3" xfId="38507"/>
    <cellStyle name="Entrada 2 2 5 3 4" xfId="18074"/>
    <cellStyle name="Entrada 2 2 5 3 4 2" xfId="47255"/>
    <cellStyle name="Entrada 2 2 5 3 5" xfId="32113"/>
    <cellStyle name="Entrada 2 2 5 4" xfId="4604"/>
    <cellStyle name="Entrada 2 2 5 4 2" xfId="16539"/>
    <cellStyle name="Entrada 2 2 5 4 2 2" xfId="45720"/>
    <cellStyle name="Entrada 2 2 5 4 3" xfId="33787"/>
    <cellStyle name="Entrada 2 2 5 5" xfId="10487"/>
    <cellStyle name="Entrada 2 2 5 5 2" xfId="20670"/>
    <cellStyle name="Entrada 2 2 5 5 2 2" xfId="49851"/>
    <cellStyle name="Entrada 2 2 5 5 3" xfId="39670"/>
    <cellStyle name="Entrada 2 2 5 6" xfId="17582"/>
    <cellStyle name="Entrada 2 2 5 6 2" xfId="46763"/>
    <cellStyle name="Entrada 2 2 5 7" xfId="30313"/>
    <cellStyle name="Entrada 2 2 6" xfId="1272"/>
    <cellStyle name="Entrada 2 2 6 2" xfId="2174"/>
    <cellStyle name="Entrada 2 2 6 2 2" xfId="3974"/>
    <cellStyle name="Entrada 2 2 6 2 2 2" xfId="6881"/>
    <cellStyle name="Entrada 2 2 6 2 2 2 2" xfId="18521"/>
    <cellStyle name="Entrada 2 2 6 2 2 2 2 2" xfId="47702"/>
    <cellStyle name="Entrada 2 2 6 2 2 2 3" xfId="36064"/>
    <cellStyle name="Entrada 2 2 6 2 2 3" xfId="7106"/>
    <cellStyle name="Entrada 2 2 6 2 2 3 2" xfId="18637"/>
    <cellStyle name="Entrada 2 2 6 2 2 3 2 2" xfId="47818"/>
    <cellStyle name="Entrada 2 2 6 2 2 3 3" xfId="36289"/>
    <cellStyle name="Entrada 2 2 6 2 2 4" xfId="15984"/>
    <cellStyle name="Entrada 2 2 6 2 2 4 2" xfId="45165"/>
    <cellStyle name="Entrada 2 2 6 2 2 5" xfId="33157"/>
    <cellStyle name="Entrada 2 2 6 2 3" xfId="5441"/>
    <cellStyle name="Entrada 2 2 6 2 3 2" xfId="16881"/>
    <cellStyle name="Entrada 2 2 6 2 3 2 2" xfId="46062"/>
    <cellStyle name="Entrada 2 2 6 2 3 3" xfId="34624"/>
    <cellStyle name="Entrada 2 2 6 2 4" xfId="9092"/>
    <cellStyle name="Entrada 2 2 6 2 4 2" xfId="19823"/>
    <cellStyle name="Entrada 2 2 6 2 4 2 2" xfId="49004"/>
    <cellStyle name="Entrada 2 2 6 2 4 3" xfId="38275"/>
    <cellStyle name="Entrada 2 2 6 2 5" xfId="13286"/>
    <cellStyle name="Entrada 2 2 6 2 5 2" xfId="42467"/>
    <cellStyle name="Entrada 2 2 6 2 6" xfId="31357"/>
    <cellStyle name="Entrada 2 2 6 3" xfId="3074"/>
    <cellStyle name="Entrada 2 2 6 3 2" xfId="6161"/>
    <cellStyle name="Entrada 2 2 6 3 2 2" xfId="18161"/>
    <cellStyle name="Entrada 2 2 6 3 2 2 2" xfId="47342"/>
    <cellStyle name="Entrada 2 2 6 3 2 3" xfId="35344"/>
    <cellStyle name="Entrada 2 2 6 3 3" xfId="7586"/>
    <cellStyle name="Entrada 2 2 6 3 3 2" xfId="18911"/>
    <cellStyle name="Entrada 2 2 6 3 3 2 2" xfId="48092"/>
    <cellStyle name="Entrada 2 2 6 3 3 3" xfId="36769"/>
    <cellStyle name="Entrada 2 2 6 3 4" xfId="17417"/>
    <cellStyle name="Entrada 2 2 6 3 4 2" xfId="46598"/>
    <cellStyle name="Entrada 2 2 6 3 5" xfId="32257"/>
    <cellStyle name="Entrada 2 2 6 4" xfId="4721"/>
    <cellStyle name="Entrada 2 2 6 4 2" xfId="11225"/>
    <cellStyle name="Entrada 2 2 6 4 2 2" xfId="40406"/>
    <cellStyle name="Entrada 2 2 6 4 3" xfId="33904"/>
    <cellStyle name="Entrada 2 2 6 5" xfId="8496"/>
    <cellStyle name="Entrada 2 2 6 5 2" xfId="19471"/>
    <cellStyle name="Entrada 2 2 6 5 2 2" xfId="48652"/>
    <cellStyle name="Entrada 2 2 6 5 3" xfId="37679"/>
    <cellStyle name="Entrada 2 2 6 6" xfId="12012"/>
    <cellStyle name="Entrada 2 2 6 6 2" xfId="41193"/>
    <cellStyle name="Entrada 2 2 6 7" xfId="30457"/>
    <cellStyle name="Entrada 2 2 7" xfId="1454"/>
    <cellStyle name="Entrada 2 2 7 2" xfId="3254"/>
    <cellStyle name="Entrada 2 2 7 2 2" xfId="6305"/>
    <cellStyle name="Entrada 2 2 7 2 2 2" xfId="18233"/>
    <cellStyle name="Entrada 2 2 7 2 2 2 2" xfId="47414"/>
    <cellStyle name="Entrada 2 2 7 2 2 3" xfId="35488"/>
    <cellStyle name="Entrada 2 2 7 2 3" xfId="9538"/>
    <cellStyle name="Entrada 2 2 7 2 3 2" xfId="20090"/>
    <cellStyle name="Entrada 2 2 7 2 3 2 2" xfId="49271"/>
    <cellStyle name="Entrada 2 2 7 2 3 3" xfId="38721"/>
    <cellStyle name="Entrada 2 2 7 2 4" xfId="18016"/>
    <cellStyle name="Entrada 2 2 7 2 4 2" xfId="47197"/>
    <cellStyle name="Entrada 2 2 7 2 5" xfId="32437"/>
    <cellStyle name="Entrada 2 2 7 3" xfId="4865"/>
    <cellStyle name="Entrada 2 2 7 3 2" xfId="11493"/>
    <cellStyle name="Entrada 2 2 7 3 2 2" xfId="40674"/>
    <cellStyle name="Entrada 2 2 7 3 3" xfId="34048"/>
    <cellStyle name="Entrada 2 2 7 4" xfId="10246"/>
    <cellStyle name="Entrada 2 2 7 4 2" xfId="20515"/>
    <cellStyle name="Entrada 2 2 7 4 2 2" xfId="49696"/>
    <cellStyle name="Entrada 2 2 7 4 3" xfId="39429"/>
    <cellStyle name="Entrada 2 2 7 5" xfId="12962"/>
    <cellStyle name="Entrada 2 2 7 5 2" xfId="42143"/>
    <cellStyle name="Entrada 2 2 7 6" xfId="30637"/>
    <cellStyle name="Entrada 2 2 8" xfId="2354"/>
    <cellStyle name="Entrada 2 2 8 2" xfId="5585"/>
    <cellStyle name="Entrada 2 2 8 2 2" xfId="16649"/>
    <cellStyle name="Entrada 2 2 8 2 2 2" xfId="45830"/>
    <cellStyle name="Entrada 2 2 8 2 3" xfId="34768"/>
    <cellStyle name="Entrada 2 2 8 3" xfId="7272"/>
    <cellStyle name="Entrada 2 2 8 3 2" xfId="18728"/>
    <cellStyle name="Entrada 2 2 8 3 2 2" xfId="47909"/>
    <cellStyle name="Entrada 2 2 8 3 3" xfId="36455"/>
    <cellStyle name="Entrada 2 2 8 4" xfId="13315"/>
    <cellStyle name="Entrada 2 2 8 4 2" xfId="42496"/>
    <cellStyle name="Entrada 2 2 8 5" xfId="31537"/>
    <cellStyle name="Entrada 2 2 9" xfId="4145"/>
    <cellStyle name="Entrada 2 2 9 2" xfId="18055"/>
    <cellStyle name="Entrada 2 2 9 2 2" xfId="47236"/>
    <cellStyle name="Entrada 2 2 9 3" xfId="33328"/>
    <cellStyle name="Entrada 2 3" xfId="476"/>
    <cellStyle name="Entrada 2 3 10" xfId="13291"/>
    <cellStyle name="Entrada 2 3 10 2" xfId="42472"/>
    <cellStyle name="Entrada 2 3 11" xfId="29682"/>
    <cellStyle name="Entrada 2 3 2" xfId="829"/>
    <cellStyle name="Entrada 2 3 2 2" xfId="1767"/>
    <cellStyle name="Entrada 2 3 2 2 2" xfId="3567"/>
    <cellStyle name="Entrada 2 3 2 2 2 2" xfId="6555"/>
    <cellStyle name="Entrada 2 3 2 2 2 2 2" xfId="18377"/>
    <cellStyle name="Entrada 2 3 2 2 2 2 2 2" xfId="47558"/>
    <cellStyle name="Entrada 2 3 2 2 2 2 3" xfId="35738"/>
    <cellStyle name="Entrada 2 3 2 2 2 3" xfId="9040"/>
    <cellStyle name="Entrada 2 3 2 2 2 3 2" xfId="19789"/>
    <cellStyle name="Entrada 2 3 2 2 2 3 2 2" xfId="48970"/>
    <cellStyle name="Entrada 2 3 2 2 2 3 3" xfId="38223"/>
    <cellStyle name="Entrada 2 3 2 2 2 4" xfId="14823"/>
    <cellStyle name="Entrada 2 3 2 2 2 4 2" xfId="44004"/>
    <cellStyle name="Entrada 2 3 2 2 2 5" xfId="32750"/>
    <cellStyle name="Entrada 2 3 2 2 3" xfId="5115"/>
    <cellStyle name="Entrada 2 3 2 2 3 2" xfId="12002"/>
    <cellStyle name="Entrada 2 3 2 2 3 2 2" xfId="41183"/>
    <cellStyle name="Entrada 2 3 2 2 3 3" xfId="34298"/>
    <cellStyle name="Entrada 2 3 2 2 4" xfId="9925"/>
    <cellStyle name="Entrada 2 3 2 2 4 2" xfId="20326"/>
    <cellStyle name="Entrada 2 3 2 2 4 2 2" xfId="49507"/>
    <cellStyle name="Entrada 2 3 2 2 4 3" xfId="39108"/>
    <cellStyle name="Entrada 2 3 2 2 5" xfId="13244"/>
    <cellStyle name="Entrada 2 3 2 2 5 2" xfId="42425"/>
    <cellStyle name="Entrada 2 3 2 2 6" xfId="30950"/>
    <cellStyle name="Entrada 2 3 2 3" xfId="2667"/>
    <cellStyle name="Entrada 2 3 2 3 2" xfId="5835"/>
    <cellStyle name="Entrada 2 3 2 3 2 2" xfId="13760"/>
    <cellStyle name="Entrada 2 3 2 3 2 2 2" xfId="42941"/>
    <cellStyle name="Entrada 2 3 2 3 2 3" xfId="35018"/>
    <cellStyle name="Entrada 2 3 2 3 3" xfId="9177"/>
    <cellStyle name="Entrada 2 3 2 3 3 2" xfId="19873"/>
    <cellStyle name="Entrada 2 3 2 3 3 2 2" xfId="49054"/>
    <cellStyle name="Entrada 2 3 2 3 3 3" xfId="38360"/>
    <cellStyle name="Entrada 2 3 2 3 4" xfId="16732"/>
    <cellStyle name="Entrada 2 3 2 3 4 2" xfId="45913"/>
    <cellStyle name="Entrada 2 3 2 3 5" xfId="31850"/>
    <cellStyle name="Entrada 2 3 2 4" xfId="4395"/>
    <cellStyle name="Entrada 2 3 2 4 2" xfId="15701"/>
    <cellStyle name="Entrada 2 3 2 4 2 2" xfId="44882"/>
    <cellStyle name="Entrada 2 3 2 4 3" xfId="33578"/>
    <cellStyle name="Entrada 2 3 2 5" xfId="9564"/>
    <cellStyle name="Entrada 2 3 2 5 2" xfId="20107"/>
    <cellStyle name="Entrada 2 3 2 5 2 2" xfId="49288"/>
    <cellStyle name="Entrada 2 3 2 5 3" xfId="38747"/>
    <cellStyle name="Entrada 2 3 2 6" xfId="15767"/>
    <cellStyle name="Entrada 2 3 2 6 2" xfId="44948"/>
    <cellStyle name="Entrada 2 3 2 7" xfId="30026"/>
    <cellStyle name="Entrada 2 3 3" xfId="1021"/>
    <cellStyle name="Entrada 2 3 3 2" xfId="1931"/>
    <cellStyle name="Entrada 2 3 3 2 2" xfId="3731"/>
    <cellStyle name="Entrada 2 3 3 2 2 2" xfId="6683"/>
    <cellStyle name="Entrada 2 3 3 2 2 2 2" xfId="18431"/>
    <cellStyle name="Entrada 2 3 3 2 2 2 2 2" xfId="47612"/>
    <cellStyle name="Entrada 2 3 3 2 2 2 3" xfId="35866"/>
    <cellStyle name="Entrada 2 3 3 2 2 3" xfId="10419"/>
    <cellStyle name="Entrada 2 3 3 2 2 3 2" xfId="20625"/>
    <cellStyle name="Entrada 2 3 3 2 2 3 2 2" xfId="49806"/>
    <cellStyle name="Entrada 2 3 3 2 2 3 3" xfId="39602"/>
    <cellStyle name="Entrada 2 3 3 2 2 4" xfId="10650"/>
    <cellStyle name="Entrada 2 3 3 2 2 4 2" xfId="39831"/>
    <cellStyle name="Entrada 2 3 3 2 2 5" xfId="32914"/>
    <cellStyle name="Entrada 2 3 3 2 3" xfId="5243"/>
    <cellStyle name="Entrada 2 3 3 2 3 2" xfId="17011"/>
    <cellStyle name="Entrada 2 3 3 2 3 2 2" xfId="46192"/>
    <cellStyle name="Entrada 2 3 3 2 3 3" xfId="34426"/>
    <cellStyle name="Entrada 2 3 3 2 4" xfId="10006"/>
    <cellStyle name="Entrada 2 3 3 2 4 2" xfId="20377"/>
    <cellStyle name="Entrada 2 3 3 2 4 2 2" xfId="49558"/>
    <cellStyle name="Entrada 2 3 3 2 4 3" xfId="39189"/>
    <cellStyle name="Entrada 2 3 3 2 5" xfId="16439"/>
    <cellStyle name="Entrada 2 3 3 2 5 2" xfId="45620"/>
    <cellStyle name="Entrada 2 3 3 2 6" xfId="31114"/>
    <cellStyle name="Entrada 2 3 3 3" xfId="2831"/>
    <cellStyle name="Entrada 2 3 3 3 2" xfId="5963"/>
    <cellStyle name="Entrada 2 3 3 3 2 2" xfId="10600"/>
    <cellStyle name="Entrada 2 3 3 3 2 2 2" xfId="39781"/>
    <cellStyle name="Entrada 2 3 3 3 2 3" xfId="35146"/>
    <cellStyle name="Entrada 2 3 3 3 3" xfId="9222"/>
    <cellStyle name="Entrada 2 3 3 3 3 2" xfId="19904"/>
    <cellStyle name="Entrada 2 3 3 3 3 2 2" xfId="49085"/>
    <cellStyle name="Entrada 2 3 3 3 3 3" xfId="38405"/>
    <cellStyle name="Entrada 2 3 3 3 4" xfId="15563"/>
    <cellStyle name="Entrada 2 3 3 3 4 2" xfId="44744"/>
    <cellStyle name="Entrada 2 3 3 3 5" xfId="32014"/>
    <cellStyle name="Entrada 2 3 3 4" xfId="4523"/>
    <cellStyle name="Entrada 2 3 3 4 2" xfId="16977"/>
    <cellStyle name="Entrada 2 3 3 4 2 2" xfId="46158"/>
    <cellStyle name="Entrada 2 3 3 4 3" xfId="33706"/>
    <cellStyle name="Entrada 2 3 3 5" xfId="7401"/>
    <cellStyle name="Entrada 2 3 3 5 2" xfId="18795"/>
    <cellStyle name="Entrada 2 3 3 5 2 2" xfId="47976"/>
    <cellStyle name="Entrada 2 3 3 5 3" xfId="36584"/>
    <cellStyle name="Entrada 2 3 3 6" xfId="10725"/>
    <cellStyle name="Entrada 2 3 3 6 2" xfId="39906"/>
    <cellStyle name="Entrada 2 3 3 7" xfId="30211"/>
    <cellStyle name="Entrada 2 3 4" xfId="1171"/>
    <cellStyle name="Entrada 2 3 4 2" xfId="2075"/>
    <cellStyle name="Entrada 2 3 4 2 2" xfId="3875"/>
    <cellStyle name="Entrada 2 3 4 2 2 2" xfId="6800"/>
    <cellStyle name="Entrada 2 3 4 2 2 2 2" xfId="18485"/>
    <cellStyle name="Entrada 2 3 4 2 2 2 2 2" xfId="47666"/>
    <cellStyle name="Entrada 2 3 4 2 2 2 3" xfId="35983"/>
    <cellStyle name="Entrada 2 3 4 2 2 3" xfId="10336"/>
    <cellStyle name="Entrada 2 3 4 2 2 3 2" xfId="20576"/>
    <cellStyle name="Entrada 2 3 4 2 2 3 2 2" xfId="49757"/>
    <cellStyle name="Entrada 2 3 4 2 2 3 3" xfId="39519"/>
    <cellStyle name="Entrada 2 3 4 2 2 4" xfId="16188"/>
    <cellStyle name="Entrada 2 3 4 2 2 4 2" xfId="45369"/>
    <cellStyle name="Entrada 2 3 4 2 2 5" xfId="33058"/>
    <cellStyle name="Entrada 2 3 4 2 3" xfId="5360"/>
    <cellStyle name="Entrada 2 3 4 2 3 2" xfId="12538"/>
    <cellStyle name="Entrada 2 3 4 2 3 2 2" xfId="41719"/>
    <cellStyle name="Entrada 2 3 4 2 3 3" xfId="34543"/>
    <cellStyle name="Entrada 2 3 4 2 4" xfId="9017"/>
    <cellStyle name="Entrada 2 3 4 2 4 2" xfId="19775"/>
    <cellStyle name="Entrada 2 3 4 2 4 2 2" xfId="48956"/>
    <cellStyle name="Entrada 2 3 4 2 4 3" xfId="38200"/>
    <cellStyle name="Entrada 2 3 4 2 5" xfId="12235"/>
    <cellStyle name="Entrada 2 3 4 2 5 2" xfId="41416"/>
    <cellStyle name="Entrada 2 3 4 2 6" xfId="31258"/>
    <cellStyle name="Entrada 2 3 4 3" xfId="2975"/>
    <cellStyle name="Entrada 2 3 4 3 2" xfId="6080"/>
    <cellStyle name="Entrada 2 3 4 3 2 2" xfId="10546"/>
    <cellStyle name="Entrada 2 3 4 3 2 2 2" xfId="39727"/>
    <cellStyle name="Entrada 2 3 4 3 2 3" xfId="35263"/>
    <cellStyle name="Entrada 2 3 4 3 3" xfId="7236"/>
    <cellStyle name="Entrada 2 3 4 3 3 2" xfId="18700"/>
    <cellStyle name="Entrada 2 3 4 3 3 2 2" xfId="47881"/>
    <cellStyle name="Entrada 2 3 4 3 3 3" xfId="36419"/>
    <cellStyle name="Entrada 2 3 4 3 4" xfId="11867"/>
    <cellStyle name="Entrada 2 3 4 3 4 2" xfId="41048"/>
    <cellStyle name="Entrada 2 3 4 3 5" xfId="32158"/>
    <cellStyle name="Entrada 2 3 4 4" xfId="4640"/>
    <cellStyle name="Entrada 2 3 4 4 2" xfId="13763"/>
    <cellStyle name="Entrada 2 3 4 4 2 2" xfId="42944"/>
    <cellStyle name="Entrada 2 3 4 4 3" xfId="33823"/>
    <cellStyle name="Entrada 2 3 4 5" xfId="8095"/>
    <cellStyle name="Entrada 2 3 4 5 2" xfId="19218"/>
    <cellStyle name="Entrada 2 3 4 5 2 2" xfId="48399"/>
    <cellStyle name="Entrada 2 3 4 5 3" xfId="37278"/>
    <cellStyle name="Entrada 2 3 4 6" xfId="18028"/>
    <cellStyle name="Entrada 2 3 4 6 2" xfId="47209"/>
    <cellStyle name="Entrada 2 3 4 7" xfId="30358"/>
    <cellStyle name="Entrada 2 3 5" xfId="1317"/>
    <cellStyle name="Entrada 2 3 5 2" xfId="2219"/>
    <cellStyle name="Entrada 2 3 5 2 2" xfId="4019"/>
    <cellStyle name="Entrada 2 3 5 2 2 2" xfId="6917"/>
    <cellStyle name="Entrada 2 3 5 2 2 2 2" xfId="18539"/>
    <cellStyle name="Entrada 2 3 5 2 2 2 2 2" xfId="47720"/>
    <cellStyle name="Entrada 2 3 5 2 2 2 3" xfId="36100"/>
    <cellStyle name="Entrada 2 3 5 2 2 3" xfId="7061"/>
    <cellStyle name="Entrada 2 3 5 2 2 3 2" xfId="18610"/>
    <cellStyle name="Entrada 2 3 5 2 2 3 2 2" xfId="47791"/>
    <cellStyle name="Entrada 2 3 5 2 2 3 3" xfId="36244"/>
    <cellStyle name="Entrada 2 3 5 2 2 4" xfId="10751"/>
    <cellStyle name="Entrada 2 3 5 2 2 4 2" xfId="39932"/>
    <cellStyle name="Entrada 2 3 5 2 2 5" xfId="33202"/>
    <cellStyle name="Entrada 2 3 5 2 3" xfId="5477"/>
    <cellStyle name="Entrada 2 3 5 2 3 2" xfId="18046"/>
    <cellStyle name="Entrada 2 3 5 2 3 2 2" xfId="47227"/>
    <cellStyle name="Entrada 2 3 5 2 3 3" xfId="34660"/>
    <cellStyle name="Entrada 2 3 5 2 4" xfId="8203"/>
    <cellStyle name="Entrada 2 3 5 2 4 2" xfId="19288"/>
    <cellStyle name="Entrada 2 3 5 2 4 2 2" xfId="48469"/>
    <cellStyle name="Entrada 2 3 5 2 4 3" xfId="37386"/>
    <cellStyle name="Entrada 2 3 5 2 5" xfId="14017"/>
    <cellStyle name="Entrada 2 3 5 2 5 2" xfId="43198"/>
    <cellStyle name="Entrada 2 3 5 2 6" xfId="31402"/>
    <cellStyle name="Entrada 2 3 5 3" xfId="3119"/>
    <cellStyle name="Entrada 2 3 5 3 2" xfId="6197"/>
    <cellStyle name="Entrada 2 3 5 3 2 2" xfId="18179"/>
    <cellStyle name="Entrada 2 3 5 3 2 2 2" xfId="47360"/>
    <cellStyle name="Entrada 2 3 5 3 2 3" xfId="35380"/>
    <cellStyle name="Entrada 2 3 5 3 3" xfId="8968"/>
    <cellStyle name="Entrada 2 3 5 3 3 2" xfId="19751"/>
    <cellStyle name="Entrada 2 3 5 3 3 2 2" xfId="48932"/>
    <cellStyle name="Entrada 2 3 5 3 3 3" xfId="38151"/>
    <cellStyle name="Entrada 2 3 5 3 4" xfId="12768"/>
    <cellStyle name="Entrada 2 3 5 3 4 2" xfId="41949"/>
    <cellStyle name="Entrada 2 3 5 3 5" xfId="32302"/>
    <cellStyle name="Entrada 2 3 5 4" xfId="4757"/>
    <cellStyle name="Entrada 2 3 5 4 2" xfId="12899"/>
    <cellStyle name="Entrada 2 3 5 4 2 2" xfId="42080"/>
    <cellStyle name="Entrada 2 3 5 4 3" xfId="33940"/>
    <cellStyle name="Entrada 2 3 5 5" xfId="9304"/>
    <cellStyle name="Entrada 2 3 5 5 2" xfId="19955"/>
    <cellStyle name="Entrada 2 3 5 5 2 2" xfId="49136"/>
    <cellStyle name="Entrada 2 3 5 5 3" xfId="38487"/>
    <cellStyle name="Entrada 2 3 5 6" xfId="15736"/>
    <cellStyle name="Entrada 2 3 5 6 2" xfId="44917"/>
    <cellStyle name="Entrada 2 3 5 7" xfId="30502"/>
    <cellStyle name="Entrada 2 3 6" xfId="1499"/>
    <cellStyle name="Entrada 2 3 6 2" xfId="3299"/>
    <cellStyle name="Entrada 2 3 6 2 2" xfId="6341"/>
    <cellStyle name="Entrada 2 3 6 2 2 2" xfId="18251"/>
    <cellStyle name="Entrada 2 3 6 2 2 2 2" xfId="47432"/>
    <cellStyle name="Entrada 2 3 6 2 2 3" xfId="35524"/>
    <cellStyle name="Entrada 2 3 6 2 3" xfId="9193"/>
    <cellStyle name="Entrada 2 3 6 2 3 2" xfId="19885"/>
    <cellStyle name="Entrada 2 3 6 2 3 2 2" xfId="49066"/>
    <cellStyle name="Entrada 2 3 6 2 3 3" xfId="38376"/>
    <cellStyle name="Entrada 2 3 6 2 4" xfId="12800"/>
    <cellStyle name="Entrada 2 3 6 2 4 2" xfId="41981"/>
    <cellStyle name="Entrada 2 3 6 2 5" xfId="32482"/>
    <cellStyle name="Entrada 2 3 6 3" xfId="4901"/>
    <cellStyle name="Entrada 2 3 6 3 2" xfId="11161"/>
    <cellStyle name="Entrada 2 3 6 3 2 2" xfId="40342"/>
    <cellStyle name="Entrada 2 3 6 3 3" xfId="34084"/>
    <cellStyle name="Entrada 2 3 6 4" xfId="7800"/>
    <cellStyle name="Entrada 2 3 6 4 2" xfId="19042"/>
    <cellStyle name="Entrada 2 3 6 4 2 2" xfId="48223"/>
    <cellStyle name="Entrada 2 3 6 4 3" xfId="36983"/>
    <cellStyle name="Entrada 2 3 6 5" xfId="10722"/>
    <cellStyle name="Entrada 2 3 6 5 2" xfId="39903"/>
    <cellStyle name="Entrada 2 3 6 6" xfId="30682"/>
    <cellStyle name="Entrada 2 3 7" xfId="2399"/>
    <cellStyle name="Entrada 2 3 7 2" xfId="5621"/>
    <cellStyle name="Entrada 2 3 7 2 2" xfId="16150"/>
    <cellStyle name="Entrada 2 3 7 2 2 2" xfId="45331"/>
    <cellStyle name="Entrada 2 3 7 2 3" xfId="34804"/>
    <cellStyle name="Entrada 2 3 7 3" xfId="7259"/>
    <cellStyle name="Entrada 2 3 7 3 2" xfId="18719"/>
    <cellStyle name="Entrada 2 3 7 3 2 2" xfId="47900"/>
    <cellStyle name="Entrada 2 3 7 3 3" xfId="36442"/>
    <cellStyle name="Entrada 2 3 7 4" xfId="13961"/>
    <cellStyle name="Entrada 2 3 7 4 2" xfId="43142"/>
    <cellStyle name="Entrada 2 3 7 5" xfId="31582"/>
    <cellStyle name="Entrada 2 3 8" xfId="4181"/>
    <cellStyle name="Entrada 2 3 8 2" xfId="15351"/>
    <cellStyle name="Entrada 2 3 8 2 2" xfId="44532"/>
    <cellStyle name="Entrada 2 3 8 3" xfId="33364"/>
    <cellStyle name="Entrada 2 3 9" xfId="7811"/>
    <cellStyle name="Entrada 2 3 9 2" xfId="19048"/>
    <cellStyle name="Entrada 2 3 9 2 2" xfId="48229"/>
    <cellStyle name="Entrada 2 3 9 3" xfId="36994"/>
    <cellStyle name="Entrada 2 4" xfId="658"/>
    <cellStyle name="Entrada 2 4 2" xfId="1650"/>
    <cellStyle name="Entrada 2 4 2 2" xfId="3450"/>
    <cellStyle name="Entrada 2 4 2 2 2" xfId="6465"/>
    <cellStyle name="Entrada 2 4 2 2 2 2" xfId="18332"/>
    <cellStyle name="Entrada 2 4 2 2 2 2 2" xfId="47513"/>
    <cellStyle name="Entrada 2 4 2 2 2 3" xfId="35648"/>
    <cellStyle name="Entrada 2 4 2 2 3" xfId="8231"/>
    <cellStyle name="Entrada 2 4 2 2 3 2" xfId="19304"/>
    <cellStyle name="Entrada 2 4 2 2 3 2 2" xfId="48485"/>
    <cellStyle name="Entrada 2 4 2 2 3 3" xfId="37414"/>
    <cellStyle name="Entrada 2 4 2 2 4" xfId="17731"/>
    <cellStyle name="Entrada 2 4 2 2 4 2" xfId="46912"/>
    <cellStyle name="Entrada 2 4 2 2 5" xfId="32633"/>
    <cellStyle name="Entrada 2 4 2 3" xfId="5025"/>
    <cellStyle name="Entrada 2 4 2 3 2" xfId="16720"/>
    <cellStyle name="Entrada 2 4 2 3 2 2" xfId="45901"/>
    <cellStyle name="Entrada 2 4 2 3 3" xfId="34208"/>
    <cellStyle name="Entrada 2 4 2 4" xfId="10067"/>
    <cellStyle name="Entrada 2 4 2 4 2" xfId="20416"/>
    <cellStyle name="Entrada 2 4 2 4 2 2" xfId="49597"/>
    <cellStyle name="Entrada 2 4 2 4 3" xfId="39250"/>
    <cellStyle name="Entrada 2 4 2 5" xfId="11941"/>
    <cellStyle name="Entrada 2 4 2 5 2" xfId="41122"/>
    <cellStyle name="Entrada 2 4 2 6" xfId="30833"/>
    <cellStyle name="Entrada 2 4 3" xfId="2550"/>
    <cellStyle name="Entrada 2 4 3 2" xfId="5745"/>
    <cellStyle name="Entrada 2 4 3 2 2" xfId="17295"/>
    <cellStyle name="Entrada 2 4 3 2 2 2" xfId="46476"/>
    <cellStyle name="Entrada 2 4 3 2 3" xfId="34928"/>
    <cellStyle name="Entrada 2 4 3 3" xfId="9292"/>
    <cellStyle name="Entrada 2 4 3 3 2" xfId="19947"/>
    <cellStyle name="Entrada 2 4 3 3 2 2" xfId="49128"/>
    <cellStyle name="Entrada 2 4 3 3 3" xfId="38475"/>
    <cellStyle name="Entrada 2 4 3 4" xfId="13498"/>
    <cellStyle name="Entrada 2 4 3 4 2" xfId="42679"/>
    <cellStyle name="Entrada 2 4 3 5" xfId="31733"/>
    <cellStyle name="Entrada 2 4 4" xfId="4305"/>
    <cellStyle name="Entrada 2 4 4 2" xfId="10901"/>
    <cellStyle name="Entrada 2 4 4 2 2" xfId="40082"/>
    <cellStyle name="Entrada 2 4 4 3" xfId="33488"/>
    <cellStyle name="Entrada 2 4 5" xfId="7694"/>
    <cellStyle name="Entrada 2 4 5 2" xfId="18975"/>
    <cellStyle name="Entrada 2 4 5 2 2" xfId="48156"/>
    <cellStyle name="Entrada 2 4 5 3" xfId="36877"/>
    <cellStyle name="Entrada 2 4 6" xfId="17187"/>
    <cellStyle name="Entrada 2 4 6 2" xfId="46368"/>
    <cellStyle name="Entrada 2 4 7" xfId="29861"/>
    <cellStyle name="Entrada 2 5" xfId="619"/>
    <cellStyle name="Entrada 2 5 2" xfId="1611"/>
    <cellStyle name="Entrada 2 5 2 2" xfId="3411"/>
    <cellStyle name="Entrada 2 5 2 2 2" xfId="6426"/>
    <cellStyle name="Entrada 2 5 2 2 2 2" xfId="18293"/>
    <cellStyle name="Entrada 2 5 2 2 2 2 2" xfId="47474"/>
    <cellStyle name="Entrada 2 5 2 2 2 3" xfId="35609"/>
    <cellStyle name="Entrada 2 5 2 2 3" xfId="10423"/>
    <cellStyle name="Entrada 2 5 2 2 3 2" xfId="20629"/>
    <cellStyle name="Entrada 2 5 2 2 3 2 2" xfId="49810"/>
    <cellStyle name="Entrada 2 5 2 2 3 3" xfId="39606"/>
    <cellStyle name="Entrada 2 5 2 2 4" xfId="14580"/>
    <cellStyle name="Entrada 2 5 2 2 4 2" xfId="43761"/>
    <cellStyle name="Entrada 2 5 2 2 5" xfId="32594"/>
    <cellStyle name="Entrada 2 5 2 3" xfId="4986"/>
    <cellStyle name="Entrada 2 5 2 3 2" xfId="11463"/>
    <cellStyle name="Entrada 2 5 2 3 2 2" xfId="40644"/>
    <cellStyle name="Entrada 2 5 2 3 3" xfId="34169"/>
    <cellStyle name="Entrada 2 5 2 4" xfId="10010"/>
    <cellStyle name="Entrada 2 5 2 4 2" xfId="20381"/>
    <cellStyle name="Entrada 2 5 2 4 2 2" xfId="49562"/>
    <cellStyle name="Entrada 2 5 2 4 3" xfId="39193"/>
    <cellStyle name="Entrada 2 5 2 5" xfId="14083"/>
    <cellStyle name="Entrada 2 5 2 5 2" xfId="43264"/>
    <cellStyle name="Entrada 2 5 2 6" xfId="30794"/>
    <cellStyle name="Entrada 2 5 3" xfId="2511"/>
    <cellStyle name="Entrada 2 5 3 2" xfId="5706"/>
    <cellStyle name="Entrada 2 5 3 2 2" xfId="16796"/>
    <cellStyle name="Entrada 2 5 3 2 2 2" xfId="45977"/>
    <cellStyle name="Entrada 2 5 3 2 3" xfId="34889"/>
    <cellStyle name="Entrada 2 5 3 3" xfId="9226"/>
    <cellStyle name="Entrada 2 5 3 3 2" xfId="19908"/>
    <cellStyle name="Entrada 2 5 3 3 2 2" xfId="49089"/>
    <cellStyle name="Entrada 2 5 3 3 3" xfId="38409"/>
    <cellStyle name="Entrada 2 5 3 4" xfId="10818"/>
    <cellStyle name="Entrada 2 5 3 4 2" xfId="39999"/>
    <cellStyle name="Entrada 2 5 3 5" xfId="31694"/>
    <cellStyle name="Entrada 2 5 4" xfId="4266"/>
    <cellStyle name="Entrada 2 5 4 2" xfId="15744"/>
    <cellStyle name="Entrada 2 5 4 2 2" xfId="44925"/>
    <cellStyle name="Entrada 2 5 4 3" xfId="33449"/>
    <cellStyle name="Entrada 2 5 5" xfId="9913"/>
    <cellStyle name="Entrada 2 5 5 2" xfId="20320"/>
    <cellStyle name="Entrada 2 5 5 2 2" xfId="49501"/>
    <cellStyle name="Entrada 2 5 5 3" xfId="39096"/>
    <cellStyle name="Entrada 2 5 6" xfId="12995"/>
    <cellStyle name="Entrada 2 5 6 2" xfId="42176"/>
    <cellStyle name="Entrada 2 5 7" xfId="29822"/>
    <cellStyle name="Entrada 2 6" xfId="667"/>
    <cellStyle name="Entrada 2 6 2" xfId="1659"/>
    <cellStyle name="Entrada 2 6 2 2" xfId="3459"/>
    <cellStyle name="Entrada 2 6 2 2 2" xfId="6474"/>
    <cellStyle name="Entrada 2 6 2 2 2 2" xfId="18341"/>
    <cellStyle name="Entrada 2 6 2 2 2 2 2" xfId="47522"/>
    <cellStyle name="Entrada 2 6 2 2 2 3" xfId="35657"/>
    <cellStyle name="Entrada 2 6 2 2 3" xfId="9195"/>
    <cellStyle name="Entrada 2 6 2 2 3 2" xfId="19886"/>
    <cellStyle name="Entrada 2 6 2 2 3 2 2" xfId="49067"/>
    <cellStyle name="Entrada 2 6 2 2 3 3" xfId="38378"/>
    <cellStyle name="Entrada 2 6 2 2 4" xfId="12384"/>
    <cellStyle name="Entrada 2 6 2 2 4 2" xfId="41565"/>
    <cellStyle name="Entrada 2 6 2 2 5" xfId="32642"/>
    <cellStyle name="Entrada 2 6 2 3" xfId="5034"/>
    <cellStyle name="Entrada 2 6 2 3 2" xfId="10907"/>
    <cellStyle name="Entrada 2 6 2 3 2 2" xfId="40088"/>
    <cellStyle name="Entrada 2 6 2 3 3" xfId="34217"/>
    <cellStyle name="Entrada 2 6 2 4" xfId="8210"/>
    <cellStyle name="Entrada 2 6 2 4 2" xfId="19292"/>
    <cellStyle name="Entrada 2 6 2 4 2 2" xfId="48473"/>
    <cellStyle name="Entrada 2 6 2 4 3" xfId="37393"/>
    <cellStyle name="Entrada 2 6 2 5" xfId="17344"/>
    <cellStyle name="Entrada 2 6 2 5 2" xfId="46525"/>
    <cellStyle name="Entrada 2 6 2 6" xfId="30842"/>
    <cellStyle name="Entrada 2 6 3" xfId="2559"/>
    <cellStyle name="Entrada 2 6 3 2" xfId="5754"/>
    <cellStyle name="Entrada 2 6 3 2 2" xfId="15812"/>
    <cellStyle name="Entrada 2 6 3 2 2 2" xfId="44993"/>
    <cellStyle name="Entrada 2 6 3 2 3" xfId="34937"/>
    <cellStyle name="Entrada 2 6 3 3" xfId="8975"/>
    <cellStyle name="Entrada 2 6 3 3 2" xfId="19755"/>
    <cellStyle name="Entrada 2 6 3 3 2 2" xfId="48936"/>
    <cellStyle name="Entrada 2 6 3 3 3" xfId="38158"/>
    <cellStyle name="Entrada 2 6 3 4" xfId="11603"/>
    <cellStyle name="Entrada 2 6 3 4 2" xfId="40784"/>
    <cellStyle name="Entrada 2 6 3 5" xfId="31742"/>
    <cellStyle name="Entrada 2 6 4" xfId="4314"/>
    <cellStyle name="Entrada 2 6 4 2" xfId="15192"/>
    <cellStyle name="Entrada 2 6 4 2 2" xfId="44373"/>
    <cellStyle name="Entrada 2 6 4 3" xfId="33497"/>
    <cellStyle name="Entrada 2 6 5" xfId="10372"/>
    <cellStyle name="Entrada 2 6 5 2" xfId="20598"/>
    <cellStyle name="Entrada 2 6 5 2 2" xfId="49779"/>
    <cellStyle name="Entrada 2 6 5 3" xfId="39555"/>
    <cellStyle name="Entrada 2 6 6" xfId="12836"/>
    <cellStyle name="Entrada 2 6 6 2" xfId="42017"/>
    <cellStyle name="Entrada 2 6 7" xfId="29870"/>
    <cellStyle name="Entrada 2 7" xfId="610"/>
    <cellStyle name="Entrada 2 7 2" xfId="1602"/>
    <cellStyle name="Entrada 2 7 2 2" xfId="3402"/>
    <cellStyle name="Entrada 2 7 2 2 2" xfId="6417"/>
    <cellStyle name="Entrada 2 7 2 2 2 2" xfId="18284"/>
    <cellStyle name="Entrada 2 7 2 2 2 2 2" xfId="47465"/>
    <cellStyle name="Entrada 2 7 2 2 2 3" xfId="35600"/>
    <cellStyle name="Entrada 2 7 2 2 3" xfId="9319"/>
    <cellStyle name="Entrada 2 7 2 2 3 2" xfId="19963"/>
    <cellStyle name="Entrada 2 7 2 2 3 2 2" xfId="49144"/>
    <cellStyle name="Entrada 2 7 2 2 3 3" xfId="38502"/>
    <cellStyle name="Entrada 2 7 2 2 4" xfId="14126"/>
    <cellStyle name="Entrada 2 7 2 2 4 2" xfId="43307"/>
    <cellStyle name="Entrada 2 7 2 2 5" xfId="32585"/>
    <cellStyle name="Entrada 2 7 2 3" xfId="4977"/>
    <cellStyle name="Entrada 2 7 2 3 2" xfId="10614"/>
    <cellStyle name="Entrada 2 7 2 3 2 2" xfId="39795"/>
    <cellStyle name="Entrada 2 7 2 3 3" xfId="34160"/>
    <cellStyle name="Entrada 2 7 2 4" xfId="9262"/>
    <cellStyle name="Entrada 2 7 2 4 2" xfId="19928"/>
    <cellStyle name="Entrada 2 7 2 4 2 2" xfId="49109"/>
    <cellStyle name="Entrada 2 7 2 4 3" xfId="38445"/>
    <cellStyle name="Entrada 2 7 2 5" xfId="12871"/>
    <cellStyle name="Entrada 2 7 2 5 2" xfId="42052"/>
    <cellStyle name="Entrada 2 7 2 6" xfId="30785"/>
    <cellStyle name="Entrada 2 7 3" xfId="2502"/>
    <cellStyle name="Entrada 2 7 3 2" xfId="5697"/>
    <cellStyle name="Entrada 2 7 3 2 2" xfId="12092"/>
    <cellStyle name="Entrada 2 7 3 2 2 2" xfId="41273"/>
    <cellStyle name="Entrada 2 7 3 2 3" xfId="34880"/>
    <cellStyle name="Entrada 2 7 3 3" xfId="7533"/>
    <cellStyle name="Entrada 2 7 3 3 2" xfId="18874"/>
    <cellStyle name="Entrada 2 7 3 3 2 2" xfId="48055"/>
    <cellStyle name="Entrada 2 7 3 3 3" xfId="36716"/>
    <cellStyle name="Entrada 2 7 3 4" xfId="14751"/>
    <cellStyle name="Entrada 2 7 3 4 2" xfId="43932"/>
    <cellStyle name="Entrada 2 7 3 5" xfId="31685"/>
    <cellStyle name="Entrada 2 7 4" xfId="4257"/>
    <cellStyle name="Entrada 2 7 4 2" xfId="16929"/>
    <cellStyle name="Entrada 2 7 4 2 2" xfId="46110"/>
    <cellStyle name="Entrada 2 7 4 3" xfId="33440"/>
    <cellStyle name="Entrada 2 7 5" xfId="9449"/>
    <cellStyle name="Entrada 2 7 5 2" xfId="20039"/>
    <cellStyle name="Entrada 2 7 5 2 2" xfId="49220"/>
    <cellStyle name="Entrada 2 7 5 3" xfId="38632"/>
    <cellStyle name="Entrada 2 7 6" xfId="16686"/>
    <cellStyle name="Entrada 2 7 6 2" xfId="45867"/>
    <cellStyle name="Entrada 2 7 7" xfId="29813"/>
    <cellStyle name="Entrada 2 8" xfId="1409"/>
    <cellStyle name="Entrada 2 8 2" xfId="3209"/>
    <cellStyle name="Entrada 2 8 2 2" xfId="6269"/>
    <cellStyle name="Entrada 2 8 2 2 2" xfId="18215"/>
    <cellStyle name="Entrada 2 8 2 2 2 2" xfId="47396"/>
    <cellStyle name="Entrada 2 8 2 2 3" xfId="35452"/>
    <cellStyle name="Entrada 2 8 2 3" xfId="9773"/>
    <cellStyle name="Entrada 2 8 2 3 2" xfId="20235"/>
    <cellStyle name="Entrada 2 8 2 3 2 2" xfId="49416"/>
    <cellStyle name="Entrada 2 8 2 3 3" xfId="38956"/>
    <cellStyle name="Entrada 2 8 2 4" xfId="18118"/>
    <cellStyle name="Entrada 2 8 2 4 2" xfId="47299"/>
    <cellStyle name="Entrada 2 8 2 5" xfId="32392"/>
    <cellStyle name="Entrada 2 8 3" xfId="4829"/>
    <cellStyle name="Entrada 2 8 3 2" xfId="11931"/>
    <cellStyle name="Entrada 2 8 3 2 2" xfId="41112"/>
    <cellStyle name="Entrada 2 8 3 3" xfId="34012"/>
    <cellStyle name="Entrada 2 8 4" xfId="10403"/>
    <cellStyle name="Entrada 2 8 4 2" xfId="20616"/>
    <cellStyle name="Entrada 2 8 4 2 2" xfId="49797"/>
    <cellStyle name="Entrada 2 8 4 3" xfId="39586"/>
    <cellStyle name="Entrada 2 8 5" xfId="17270"/>
    <cellStyle name="Entrada 2 8 5 2" xfId="46451"/>
    <cellStyle name="Entrada 2 8 6" xfId="30592"/>
    <cellStyle name="Entrada 2 9" xfId="2309"/>
    <cellStyle name="Entrada 2 9 2" xfId="5549"/>
    <cellStyle name="Entrada 2 9 2 2" xfId="13695"/>
    <cellStyle name="Entrada 2 9 2 2 2" xfId="42876"/>
    <cellStyle name="Entrada 2 9 2 3" xfId="34732"/>
    <cellStyle name="Entrada 2 9 3" xfId="7858"/>
    <cellStyle name="Entrada 2 9 3 2" xfId="19077"/>
    <cellStyle name="Entrada 2 9 3 2 2" xfId="48258"/>
    <cellStyle name="Entrada 2 9 3 3" xfId="37041"/>
    <cellStyle name="Entrada 2 9 4" xfId="10930"/>
    <cellStyle name="Entrada 2 9 4 2" xfId="40111"/>
    <cellStyle name="Entrada 2 9 5" xfId="31492"/>
    <cellStyle name="Entrada 3" xfId="257"/>
    <cellStyle name="Entrada 3 10" xfId="4110"/>
    <cellStyle name="Entrada 3 10 2" xfId="15469"/>
    <cellStyle name="Entrada 3 10 2 2" xfId="44650"/>
    <cellStyle name="Entrada 3 10 3" xfId="33293"/>
    <cellStyle name="Entrada 3 11" xfId="16959"/>
    <cellStyle name="Entrada 3 11 2" xfId="46140"/>
    <cellStyle name="Entrada 3 12" xfId="29570"/>
    <cellStyle name="Entrada 3 2" xfId="432"/>
    <cellStyle name="Entrada 3 2 10" xfId="8721"/>
    <cellStyle name="Entrada 3 2 10 2" xfId="19600"/>
    <cellStyle name="Entrada 3 2 10 2 2" xfId="48781"/>
    <cellStyle name="Entrada 3 2 10 3" xfId="37904"/>
    <cellStyle name="Entrada 3 2 11" xfId="15945"/>
    <cellStyle name="Entrada 3 2 11 2" xfId="45126"/>
    <cellStyle name="Entrada 3 2 12" xfId="58775"/>
    <cellStyle name="Entrada 3 2 13" xfId="29638"/>
    <cellStyle name="Entrada 3 2 2" xfId="522"/>
    <cellStyle name="Entrada 3 2 2 10" xfId="15734"/>
    <cellStyle name="Entrada 3 2 2 10 2" xfId="44915"/>
    <cellStyle name="Entrada 3 2 2 11" xfId="29728"/>
    <cellStyle name="Entrada 3 2 2 2" xfId="875"/>
    <cellStyle name="Entrada 3 2 2 2 2" xfId="1813"/>
    <cellStyle name="Entrada 3 2 2 2 2 2" xfId="3613"/>
    <cellStyle name="Entrada 3 2 2 2 2 2 2" xfId="6592"/>
    <cellStyle name="Entrada 3 2 2 2 2 2 2 2" xfId="18396"/>
    <cellStyle name="Entrada 3 2 2 2 2 2 2 2 2" xfId="47577"/>
    <cellStyle name="Entrada 3 2 2 2 2 2 2 3" xfId="35775"/>
    <cellStyle name="Entrada 3 2 2 2 2 2 3" xfId="8445"/>
    <cellStyle name="Entrada 3 2 2 2 2 2 3 2" xfId="19439"/>
    <cellStyle name="Entrada 3 2 2 2 2 2 3 2 2" xfId="48620"/>
    <cellStyle name="Entrada 3 2 2 2 2 2 3 3" xfId="37628"/>
    <cellStyle name="Entrada 3 2 2 2 2 2 4" xfId="16261"/>
    <cellStyle name="Entrada 3 2 2 2 2 2 4 2" xfId="45442"/>
    <cellStyle name="Entrada 3 2 2 2 2 2 5" xfId="32796"/>
    <cellStyle name="Entrada 3 2 2 2 2 3" xfId="5152"/>
    <cellStyle name="Entrada 3 2 2 2 2 3 2" xfId="11017"/>
    <cellStyle name="Entrada 3 2 2 2 2 3 2 2" xfId="40198"/>
    <cellStyle name="Entrada 3 2 2 2 2 3 3" xfId="34335"/>
    <cellStyle name="Entrada 3 2 2 2 2 4" xfId="9135"/>
    <cellStyle name="Entrada 3 2 2 2 2 4 2" xfId="19850"/>
    <cellStyle name="Entrada 3 2 2 2 2 4 2 2" xfId="49031"/>
    <cellStyle name="Entrada 3 2 2 2 2 4 3" xfId="38318"/>
    <cellStyle name="Entrada 3 2 2 2 2 5" xfId="17617"/>
    <cellStyle name="Entrada 3 2 2 2 2 5 2" xfId="46798"/>
    <cellStyle name="Entrada 3 2 2 2 2 6" xfId="30996"/>
    <cellStyle name="Entrada 3 2 2 2 3" xfId="2713"/>
    <cellStyle name="Entrada 3 2 2 2 3 2" xfId="5872"/>
    <cellStyle name="Entrada 3 2 2 2 3 2 2" xfId="16043"/>
    <cellStyle name="Entrada 3 2 2 2 3 2 2 2" xfId="45224"/>
    <cellStyle name="Entrada 3 2 2 2 3 2 3" xfId="35055"/>
    <cellStyle name="Entrada 3 2 2 2 3 3" xfId="7711"/>
    <cellStyle name="Entrada 3 2 2 2 3 3 2" xfId="18986"/>
    <cellStyle name="Entrada 3 2 2 2 3 3 2 2" xfId="48167"/>
    <cellStyle name="Entrada 3 2 2 2 3 3 3" xfId="36894"/>
    <cellStyle name="Entrada 3 2 2 2 3 4" xfId="11437"/>
    <cellStyle name="Entrada 3 2 2 2 3 4 2" xfId="40618"/>
    <cellStyle name="Entrada 3 2 2 2 3 5" xfId="31896"/>
    <cellStyle name="Entrada 3 2 2 2 4" xfId="4432"/>
    <cellStyle name="Entrada 3 2 2 2 4 2" xfId="15248"/>
    <cellStyle name="Entrada 3 2 2 2 4 2 2" xfId="44429"/>
    <cellStyle name="Entrada 3 2 2 2 4 3" xfId="33615"/>
    <cellStyle name="Entrada 3 2 2 2 5" xfId="10157"/>
    <cellStyle name="Entrada 3 2 2 2 5 2" xfId="20466"/>
    <cellStyle name="Entrada 3 2 2 2 5 2 2" xfId="49647"/>
    <cellStyle name="Entrada 3 2 2 2 5 3" xfId="39340"/>
    <cellStyle name="Entrada 3 2 2 2 6" xfId="11776"/>
    <cellStyle name="Entrada 3 2 2 2 6 2" xfId="40957"/>
    <cellStyle name="Entrada 3 2 2 2 7" xfId="30072"/>
    <cellStyle name="Entrada 3 2 2 3" xfId="1067"/>
    <cellStyle name="Entrada 3 2 2 3 2" xfId="1977"/>
    <cellStyle name="Entrada 3 2 2 3 2 2" xfId="3777"/>
    <cellStyle name="Entrada 3 2 2 3 2 2 2" xfId="6720"/>
    <cellStyle name="Entrada 3 2 2 3 2 2 2 2" xfId="18450"/>
    <cellStyle name="Entrada 3 2 2 3 2 2 2 2 2" xfId="47631"/>
    <cellStyle name="Entrada 3 2 2 3 2 2 2 3" xfId="35903"/>
    <cellStyle name="Entrada 3 2 2 3 2 2 3" xfId="8418"/>
    <cellStyle name="Entrada 3 2 2 3 2 2 3 2" xfId="19419"/>
    <cellStyle name="Entrada 3 2 2 3 2 2 3 2 2" xfId="48600"/>
    <cellStyle name="Entrada 3 2 2 3 2 2 3 3" xfId="37601"/>
    <cellStyle name="Entrada 3 2 2 3 2 2 4" xfId="10622"/>
    <cellStyle name="Entrada 3 2 2 3 2 2 4 2" xfId="39803"/>
    <cellStyle name="Entrada 3 2 2 3 2 2 5" xfId="32960"/>
    <cellStyle name="Entrada 3 2 2 3 2 3" xfId="5280"/>
    <cellStyle name="Entrada 3 2 2 3 2 3 2" xfId="13983"/>
    <cellStyle name="Entrada 3 2 2 3 2 3 2 2" xfId="43164"/>
    <cellStyle name="Entrada 3 2 2 3 2 3 3" xfId="34463"/>
    <cellStyle name="Entrada 3 2 2 3 2 4" xfId="10516"/>
    <cellStyle name="Entrada 3 2 2 3 2 4 2" xfId="20687"/>
    <cellStyle name="Entrada 3 2 2 3 2 4 2 2" xfId="49868"/>
    <cellStyle name="Entrada 3 2 2 3 2 4 3" xfId="39699"/>
    <cellStyle name="Entrada 3 2 2 3 2 5" xfId="14585"/>
    <cellStyle name="Entrada 3 2 2 3 2 5 2" xfId="43766"/>
    <cellStyle name="Entrada 3 2 2 3 2 6" xfId="31160"/>
    <cellStyle name="Entrada 3 2 2 3 3" xfId="2877"/>
    <cellStyle name="Entrada 3 2 2 3 3 2" xfId="6000"/>
    <cellStyle name="Entrada 3 2 2 3 3 2 2" xfId="10581"/>
    <cellStyle name="Entrada 3 2 2 3 3 2 2 2" xfId="39762"/>
    <cellStyle name="Entrada 3 2 2 3 3 2 3" xfId="35183"/>
    <cellStyle name="Entrada 3 2 2 3 3 3" xfId="9738"/>
    <cellStyle name="Entrada 3 2 2 3 3 3 2" xfId="20211"/>
    <cellStyle name="Entrada 3 2 2 3 3 3 2 2" xfId="49392"/>
    <cellStyle name="Entrada 3 2 2 3 3 3 3" xfId="38921"/>
    <cellStyle name="Entrada 3 2 2 3 3 4" xfId="13959"/>
    <cellStyle name="Entrada 3 2 2 3 3 4 2" xfId="43140"/>
    <cellStyle name="Entrada 3 2 2 3 3 5" xfId="32060"/>
    <cellStyle name="Entrada 3 2 2 3 4" xfId="4560"/>
    <cellStyle name="Entrada 3 2 2 3 4 2" xfId="14551"/>
    <cellStyle name="Entrada 3 2 2 3 4 2 2" xfId="43732"/>
    <cellStyle name="Entrada 3 2 2 3 4 3" xfId="33743"/>
    <cellStyle name="Entrada 3 2 2 3 5" xfId="8913"/>
    <cellStyle name="Entrada 3 2 2 3 5 2" xfId="19716"/>
    <cellStyle name="Entrada 3 2 2 3 5 2 2" xfId="48897"/>
    <cellStyle name="Entrada 3 2 2 3 5 3" xfId="38096"/>
    <cellStyle name="Entrada 3 2 2 3 6" xfId="16479"/>
    <cellStyle name="Entrada 3 2 2 3 6 2" xfId="45660"/>
    <cellStyle name="Entrada 3 2 2 3 7" xfId="30257"/>
    <cellStyle name="Entrada 3 2 2 4" xfId="1217"/>
    <cellStyle name="Entrada 3 2 2 4 2" xfId="2121"/>
    <cellStyle name="Entrada 3 2 2 4 2 2" xfId="3921"/>
    <cellStyle name="Entrada 3 2 2 4 2 2 2" xfId="6837"/>
    <cellStyle name="Entrada 3 2 2 4 2 2 2 2" xfId="18504"/>
    <cellStyle name="Entrada 3 2 2 4 2 2 2 2 2" xfId="47685"/>
    <cellStyle name="Entrada 3 2 2 4 2 2 2 3" xfId="36020"/>
    <cellStyle name="Entrada 3 2 2 4 2 2 3" xfId="9352"/>
    <cellStyle name="Entrada 3 2 2 4 2 2 3 2" xfId="19982"/>
    <cellStyle name="Entrada 3 2 2 4 2 2 3 2 2" xfId="49163"/>
    <cellStyle name="Entrada 3 2 2 4 2 2 3 3" xfId="38535"/>
    <cellStyle name="Entrada 3 2 2 4 2 2 4" xfId="11376"/>
    <cellStyle name="Entrada 3 2 2 4 2 2 4 2" xfId="40557"/>
    <cellStyle name="Entrada 3 2 2 4 2 2 5" xfId="33104"/>
    <cellStyle name="Entrada 3 2 2 4 2 3" xfId="5397"/>
    <cellStyle name="Entrada 3 2 2 4 2 3 2" xfId="16561"/>
    <cellStyle name="Entrada 3 2 2 4 2 3 2 2" xfId="45742"/>
    <cellStyle name="Entrada 3 2 2 4 2 3 3" xfId="34580"/>
    <cellStyle name="Entrada 3 2 2 4 2 4" xfId="9549"/>
    <cellStyle name="Entrada 3 2 2 4 2 4 2" xfId="20097"/>
    <cellStyle name="Entrada 3 2 2 4 2 4 2 2" xfId="49278"/>
    <cellStyle name="Entrada 3 2 2 4 2 4 3" xfId="38732"/>
    <cellStyle name="Entrada 3 2 2 4 2 5" xfId="14914"/>
    <cellStyle name="Entrada 3 2 2 4 2 5 2" xfId="44095"/>
    <cellStyle name="Entrada 3 2 2 4 2 6" xfId="31304"/>
    <cellStyle name="Entrada 3 2 2 4 3" xfId="3021"/>
    <cellStyle name="Entrada 3 2 2 4 3 2" xfId="6117"/>
    <cellStyle name="Entrada 3 2 2 4 3 2 2" xfId="18144"/>
    <cellStyle name="Entrada 3 2 2 4 3 2 2 2" xfId="47325"/>
    <cellStyle name="Entrada 3 2 2 4 3 2 3" xfId="35300"/>
    <cellStyle name="Entrada 3 2 2 4 3 3" xfId="8117"/>
    <cellStyle name="Entrada 3 2 2 4 3 3 2" xfId="19233"/>
    <cellStyle name="Entrada 3 2 2 4 3 3 2 2" xfId="48414"/>
    <cellStyle name="Entrada 3 2 2 4 3 3 3" xfId="37300"/>
    <cellStyle name="Entrada 3 2 2 4 3 4" xfId="14085"/>
    <cellStyle name="Entrada 3 2 2 4 3 4 2" xfId="43266"/>
    <cellStyle name="Entrada 3 2 2 4 3 5" xfId="32204"/>
    <cellStyle name="Entrada 3 2 2 4 4" xfId="4677"/>
    <cellStyle name="Entrada 3 2 2 4 4 2" xfId="18090"/>
    <cellStyle name="Entrada 3 2 2 4 4 2 2" xfId="47271"/>
    <cellStyle name="Entrada 3 2 2 4 4 3" xfId="33860"/>
    <cellStyle name="Entrada 3 2 2 4 5" xfId="9343"/>
    <cellStyle name="Entrada 3 2 2 4 5 2" xfId="19975"/>
    <cellStyle name="Entrada 3 2 2 4 5 2 2" xfId="49156"/>
    <cellStyle name="Entrada 3 2 2 4 5 3" xfId="38526"/>
    <cellStyle name="Entrada 3 2 2 4 6" xfId="11643"/>
    <cellStyle name="Entrada 3 2 2 4 6 2" xfId="40824"/>
    <cellStyle name="Entrada 3 2 2 4 7" xfId="30404"/>
    <cellStyle name="Entrada 3 2 2 5" xfId="1363"/>
    <cellStyle name="Entrada 3 2 2 5 2" xfId="2265"/>
    <cellStyle name="Entrada 3 2 2 5 2 2" xfId="4065"/>
    <cellStyle name="Entrada 3 2 2 5 2 2 2" xfId="6954"/>
    <cellStyle name="Entrada 3 2 2 5 2 2 2 2" xfId="18558"/>
    <cellStyle name="Entrada 3 2 2 5 2 2 2 2 2" xfId="47739"/>
    <cellStyle name="Entrada 3 2 2 5 2 2 2 3" xfId="36137"/>
    <cellStyle name="Entrada 3 2 2 5 2 2 3" xfId="7015"/>
    <cellStyle name="Entrada 3 2 2 5 2 2 3 2" xfId="18582"/>
    <cellStyle name="Entrada 3 2 2 5 2 2 3 2 2" xfId="47763"/>
    <cellStyle name="Entrada 3 2 2 5 2 2 3 3" xfId="36198"/>
    <cellStyle name="Entrada 3 2 2 5 2 2 4" xfId="11612"/>
    <cellStyle name="Entrada 3 2 2 5 2 2 4 2" xfId="40793"/>
    <cellStyle name="Entrada 3 2 2 5 2 2 5" xfId="33248"/>
    <cellStyle name="Entrada 3 2 2 5 2 3" xfId="5514"/>
    <cellStyle name="Entrada 3 2 2 5 2 3 2" xfId="13425"/>
    <cellStyle name="Entrada 3 2 2 5 2 3 2 2" xfId="42606"/>
    <cellStyle name="Entrada 3 2 2 5 2 3 3" xfId="34697"/>
    <cellStyle name="Entrada 3 2 2 5 2 4" xfId="7295"/>
    <cellStyle name="Entrada 3 2 2 5 2 4 2" xfId="18737"/>
    <cellStyle name="Entrada 3 2 2 5 2 4 2 2" xfId="47918"/>
    <cellStyle name="Entrada 3 2 2 5 2 4 3" xfId="36478"/>
    <cellStyle name="Entrada 3 2 2 5 2 5" xfId="18120"/>
    <cellStyle name="Entrada 3 2 2 5 2 5 2" xfId="47301"/>
    <cellStyle name="Entrada 3 2 2 5 2 6" xfId="31448"/>
    <cellStyle name="Entrada 3 2 2 5 3" xfId="3165"/>
    <cellStyle name="Entrada 3 2 2 5 3 2" xfId="6234"/>
    <cellStyle name="Entrada 3 2 2 5 3 2 2" xfId="18198"/>
    <cellStyle name="Entrada 3 2 2 5 3 2 2 2" xfId="47379"/>
    <cellStyle name="Entrada 3 2 2 5 3 2 3" xfId="35417"/>
    <cellStyle name="Entrada 3 2 2 5 3 3" xfId="7204"/>
    <cellStyle name="Entrada 3 2 2 5 3 3 2" xfId="18687"/>
    <cellStyle name="Entrada 3 2 2 5 3 3 2 2" xfId="47868"/>
    <cellStyle name="Entrada 3 2 2 5 3 3 3" xfId="36387"/>
    <cellStyle name="Entrada 3 2 2 5 3 4" xfId="15250"/>
    <cellStyle name="Entrada 3 2 2 5 3 4 2" xfId="44431"/>
    <cellStyle name="Entrada 3 2 2 5 3 5" xfId="32348"/>
    <cellStyle name="Entrada 3 2 2 5 4" xfId="4794"/>
    <cellStyle name="Entrada 3 2 2 5 4 2" xfId="11619"/>
    <cellStyle name="Entrada 3 2 2 5 4 2 2" xfId="40800"/>
    <cellStyle name="Entrada 3 2 2 5 4 3" xfId="33977"/>
    <cellStyle name="Entrada 3 2 2 5 5" xfId="9868"/>
    <cellStyle name="Entrada 3 2 2 5 5 2" xfId="20291"/>
    <cellStyle name="Entrada 3 2 2 5 5 2 2" xfId="49472"/>
    <cellStyle name="Entrada 3 2 2 5 5 3" xfId="39051"/>
    <cellStyle name="Entrada 3 2 2 5 6" xfId="15900"/>
    <cellStyle name="Entrada 3 2 2 5 6 2" xfId="45081"/>
    <cellStyle name="Entrada 3 2 2 5 7" xfId="30548"/>
    <cellStyle name="Entrada 3 2 2 6" xfId="1545"/>
    <cellStyle name="Entrada 3 2 2 6 2" xfId="3345"/>
    <cellStyle name="Entrada 3 2 2 6 2 2" xfId="6378"/>
    <cellStyle name="Entrada 3 2 2 6 2 2 2" xfId="18270"/>
    <cellStyle name="Entrada 3 2 2 6 2 2 2 2" xfId="47451"/>
    <cellStyle name="Entrada 3 2 2 6 2 2 3" xfId="35561"/>
    <cellStyle name="Entrada 3 2 2 6 2 3" xfId="7704"/>
    <cellStyle name="Entrada 3 2 2 6 2 3 2" xfId="18980"/>
    <cellStyle name="Entrada 3 2 2 6 2 3 2 2" xfId="48161"/>
    <cellStyle name="Entrada 3 2 2 6 2 3 3" xfId="36887"/>
    <cellStyle name="Entrada 3 2 2 6 2 4" xfId="15275"/>
    <cellStyle name="Entrada 3 2 2 6 2 4 2" xfId="44456"/>
    <cellStyle name="Entrada 3 2 2 6 2 5" xfId="32528"/>
    <cellStyle name="Entrada 3 2 2 6 3" xfId="4938"/>
    <cellStyle name="Entrada 3 2 2 6 3 2" xfId="13816"/>
    <cellStyle name="Entrada 3 2 2 6 3 2 2" xfId="42997"/>
    <cellStyle name="Entrada 3 2 2 6 3 3" xfId="34121"/>
    <cellStyle name="Entrada 3 2 2 6 4" xfId="9478"/>
    <cellStyle name="Entrada 3 2 2 6 4 2" xfId="20053"/>
    <cellStyle name="Entrada 3 2 2 6 4 2 2" xfId="49234"/>
    <cellStyle name="Entrada 3 2 2 6 4 3" xfId="38661"/>
    <cellStyle name="Entrada 3 2 2 6 5" xfId="10680"/>
    <cellStyle name="Entrada 3 2 2 6 5 2" xfId="39861"/>
    <cellStyle name="Entrada 3 2 2 6 6" xfId="30728"/>
    <cellStyle name="Entrada 3 2 2 7" xfId="2445"/>
    <cellStyle name="Entrada 3 2 2 7 2" xfId="5658"/>
    <cellStyle name="Entrada 3 2 2 7 2 2" xfId="12599"/>
    <cellStyle name="Entrada 3 2 2 7 2 2 2" xfId="41780"/>
    <cellStyle name="Entrada 3 2 2 7 2 3" xfId="34841"/>
    <cellStyle name="Entrada 3 2 2 7 3" xfId="8043"/>
    <cellStyle name="Entrada 3 2 2 7 3 2" xfId="19188"/>
    <cellStyle name="Entrada 3 2 2 7 3 2 2" xfId="48369"/>
    <cellStyle name="Entrada 3 2 2 7 3 3" xfId="37226"/>
    <cellStyle name="Entrada 3 2 2 7 4" xfId="17902"/>
    <cellStyle name="Entrada 3 2 2 7 4 2" xfId="47083"/>
    <cellStyle name="Entrada 3 2 2 7 5" xfId="31628"/>
    <cellStyle name="Entrada 3 2 2 8" xfId="4218"/>
    <cellStyle name="Entrada 3 2 2 8 2" xfId="12065"/>
    <cellStyle name="Entrada 3 2 2 8 2 2" xfId="41246"/>
    <cellStyle name="Entrada 3 2 2 8 3" xfId="33401"/>
    <cellStyle name="Entrada 3 2 2 9" xfId="9685"/>
    <cellStyle name="Entrada 3 2 2 9 2" xfId="20181"/>
    <cellStyle name="Entrada 3 2 2 9 2 2" xfId="49362"/>
    <cellStyle name="Entrada 3 2 2 9 3" xfId="38868"/>
    <cellStyle name="Entrada 3 2 3" xfId="785"/>
    <cellStyle name="Entrada 3 2 3 2" xfId="1723"/>
    <cellStyle name="Entrada 3 2 3 2 2" xfId="3523"/>
    <cellStyle name="Entrada 3 2 3 2 2 2" xfId="6520"/>
    <cellStyle name="Entrada 3 2 3 2 2 2 2" xfId="18360"/>
    <cellStyle name="Entrada 3 2 3 2 2 2 2 2" xfId="47541"/>
    <cellStyle name="Entrada 3 2 3 2 2 2 3" xfId="35703"/>
    <cellStyle name="Entrada 3 2 3 2 2 3" xfId="8587"/>
    <cellStyle name="Entrada 3 2 3 2 2 3 2" xfId="19528"/>
    <cellStyle name="Entrada 3 2 3 2 2 3 2 2" xfId="48709"/>
    <cellStyle name="Entrada 3 2 3 2 2 3 3" xfId="37770"/>
    <cellStyle name="Entrada 3 2 3 2 2 4" xfId="14079"/>
    <cellStyle name="Entrada 3 2 3 2 2 4 2" xfId="43260"/>
    <cellStyle name="Entrada 3 2 3 2 2 5" xfId="32706"/>
    <cellStyle name="Entrada 3 2 3 2 3" xfId="5080"/>
    <cellStyle name="Entrada 3 2 3 2 3 2" xfId="11831"/>
    <cellStyle name="Entrada 3 2 3 2 3 2 2" xfId="41012"/>
    <cellStyle name="Entrada 3 2 3 2 3 3" xfId="34263"/>
    <cellStyle name="Entrada 3 2 3 2 4" xfId="8786"/>
    <cellStyle name="Entrada 3 2 3 2 4 2" xfId="19643"/>
    <cellStyle name="Entrada 3 2 3 2 4 2 2" xfId="48824"/>
    <cellStyle name="Entrada 3 2 3 2 4 3" xfId="37969"/>
    <cellStyle name="Entrada 3 2 3 2 5" xfId="17788"/>
    <cellStyle name="Entrada 3 2 3 2 5 2" xfId="46969"/>
    <cellStyle name="Entrada 3 2 3 2 6" xfId="30906"/>
    <cellStyle name="Entrada 3 2 3 3" xfId="2623"/>
    <cellStyle name="Entrada 3 2 3 3 2" xfId="5800"/>
    <cellStyle name="Entrada 3 2 3 3 2 2" xfId="13591"/>
    <cellStyle name="Entrada 3 2 3 3 2 2 2" xfId="42772"/>
    <cellStyle name="Entrada 3 2 3 3 2 3" xfId="34983"/>
    <cellStyle name="Entrada 3 2 3 3 3" xfId="10313"/>
    <cellStyle name="Entrada 3 2 3 3 3 2" xfId="20559"/>
    <cellStyle name="Entrada 3 2 3 3 3 2 2" xfId="49740"/>
    <cellStyle name="Entrada 3 2 3 3 3 3" xfId="39496"/>
    <cellStyle name="Entrada 3 2 3 3 4" xfId="14722"/>
    <cellStyle name="Entrada 3 2 3 3 4 2" xfId="43903"/>
    <cellStyle name="Entrada 3 2 3 3 5" xfId="31806"/>
    <cellStyle name="Entrada 3 2 3 4" xfId="4360"/>
    <cellStyle name="Entrada 3 2 3 4 2" xfId="17079"/>
    <cellStyle name="Entrada 3 2 3 4 2 2" xfId="46260"/>
    <cellStyle name="Entrada 3 2 3 4 3" xfId="33543"/>
    <cellStyle name="Entrada 3 2 3 5" xfId="8260"/>
    <cellStyle name="Entrada 3 2 3 5 2" xfId="19318"/>
    <cellStyle name="Entrada 3 2 3 5 2 2" xfId="48499"/>
    <cellStyle name="Entrada 3 2 3 5 3" xfId="37443"/>
    <cellStyle name="Entrada 3 2 3 6" xfId="18067"/>
    <cellStyle name="Entrada 3 2 3 6 2" xfId="47248"/>
    <cellStyle name="Entrada 3 2 3 7" xfId="29982"/>
    <cellStyle name="Entrada 3 2 4" xfId="977"/>
    <cellStyle name="Entrada 3 2 4 2" xfId="1887"/>
    <cellStyle name="Entrada 3 2 4 2 2" xfId="3687"/>
    <cellStyle name="Entrada 3 2 4 2 2 2" xfId="6648"/>
    <cellStyle name="Entrada 3 2 4 2 2 2 2" xfId="18414"/>
    <cellStyle name="Entrada 3 2 4 2 2 2 2 2" xfId="47595"/>
    <cellStyle name="Entrada 3 2 4 2 2 2 3" xfId="35831"/>
    <cellStyle name="Entrada 3 2 4 2 2 3" xfId="7156"/>
    <cellStyle name="Entrada 3 2 4 2 2 3 2" xfId="18659"/>
    <cellStyle name="Entrada 3 2 4 2 2 3 2 2" xfId="47840"/>
    <cellStyle name="Entrada 3 2 4 2 2 3 3" xfId="36339"/>
    <cellStyle name="Entrada 3 2 4 2 2 4" xfId="16587"/>
    <cellStyle name="Entrada 3 2 4 2 2 4 2" xfId="45768"/>
    <cellStyle name="Entrada 3 2 4 2 2 5" xfId="32870"/>
    <cellStyle name="Entrada 3 2 4 2 3" xfId="5208"/>
    <cellStyle name="Entrada 3 2 4 2 3 2" xfId="15300"/>
    <cellStyle name="Entrada 3 2 4 2 3 2 2" xfId="44481"/>
    <cellStyle name="Entrada 3 2 4 2 3 3" xfId="34391"/>
    <cellStyle name="Entrada 3 2 4 2 4" xfId="8667"/>
    <cellStyle name="Entrada 3 2 4 2 4 2" xfId="19572"/>
    <cellStyle name="Entrada 3 2 4 2 4 2 2" xfId="48753"/>
    <cellStyle name="Entrada 3 2 4 2 4 3" xfId="37850"/>
    <cellStyle name="Entrada 3 2 4 2 5" xfId="15476"/>
    <cellStyle name="Entrada 3 2 4 2 5 2" xfId="44657"/>
    <cellStyle name="Entrada 3 2 4 2 6" xfId="31070"/>
    <cellStyle name="Entrada 3 2 4 3" xfId="2787"/>
    <cellStyle name="Entrada 3 2 4 3 2" xfId="5928"/>
    <cellStyle name="Entrada 3 2 4 3 2 2" xfId="11079"/>
    <cellStyle name="Entrada 3 2 4 3 2 2 2" xfId="40260"/>
    <cellStyle name="Entrada 3 2 4 3 2 3" xfId="35111"/>
    <cellStyle name="Entrada 3 2 4 3 3" xfId="10193"/>
    <cellStyle name="Entrada 3 2 4 3 3 2" xfId="20486"/>
    <cellStyle name="Entrada 3 2 4 3 3 2 2" xfId="49667"/>
    <cellStyle name="Entrada 3 2 4 3 3 3" xfId="39376"/>
    <cellStyle name="Entrada 3 2 4 3 4" xfId="10928"/>
    <cellStyle name="Entrada 3 2 4 3 4 2" xfId="40109"/>
    <cellStyle name="Entrada 3 2 4 3 5" xfId="31970"/>
    <cellStyle name="Entrada 3 2 4 4" xfId="4488"/>
    <cellStyle name="Entrada 3 2 4 4 2" xfId="16239"/>
    <cellStyle name="Entrada 3 2 4 4 2 2" xfId="45420"/>
    <cellStyle name="Entrada 3 2 4 4 3" xfId="33671"/>
    <cellStyle name="Entrada 3 2 4 5" xfId="9346"/>
    <cellStyle name="Entrada 3 2 4 5 2" xfId="19978"/>
    <cellStyle name="Entrada 3 2 4 5 2 2" xfId="49159"/>
    <cellStyle name="Entrada 3 2 4 5 3" xfId="38529"/>
    <cellStyle name="Entrada 3 2 4 6" xfId="12964"/>
    <cellStyle name="Entrada 3 2 4 6 2" xfId="42145"/>
    <cellStyle name="Entrada 3 2 4 7" xfId="30167"/>
    <cellStyle name="Entrada 3 2 5" xfId="1127"/>
    <cellStyle name="Entrada 3 2 5 2" xfId="2031"/>
    <cellStyle name="Entrada 3 2 5 2 2" xfId="3831"/>
    <cellStyle name="Entrada 3 2 5 2 2 2" xfId="6765"/>
    <cellStyle name="Entrada 3 2 5 2 2 2 2" xfId="18468"/>
    <cellStyle name="Entrada 3 2 5 2 2 2 2 2" xfId="47649"/>
    <cellStyle name="Entrada 3 2 5 2 2 2 3" xfId="35948"/>
    <cellStyle name="Entrada 3 2 5 2 2 3" xfId="8960"/>
    <cellStyle name="Entrada 3 2 5 2 2 3 2" xfId="19748"/>
    <cellStyle name="Entrada 3 2 5 2 2 3 2 2" xfId="48929"/>
    <cellStyle name="Entrada 3 2 5 2 2 3 3" xfId="38143"/>
    <cellStyle name="Entrada 3 2 5 2 2 4" xfId="14638"/>
    <cellStyle name="Entrada 3 2 5 2 2 4 2" xfId="43819"/>
    <cellStyle name="Entrada 3 2 5 2 2 5" xfId="33014"/>
    <cellStyle name="Entrada 3 2 5 2 3" xfId="5325"/>
    <cellStyle name="Entrada 3 2 5 2 3 2" xfId="12348"/>
    <cellStyle name="Entrada 3 2 5 2 3 2 2" xfId="41529"/>
    <cellStyle name="Entrada 3 2 5 2 3 3" xfId="34508"/>
    <cellStyle name="Entrada 3 2 5 2 4" xfId="8564"/>
    <cellStyle name="Entrada 3 2 5 2 4 2" xfId="19513"/>
    <cellStyle name="Entrada 3 2 5 2 4 2 2" xfId="48694"/>
    <cellStyle name="Entrada 3 2 5 2 4 3" xfId="37747"/>
    <cellStyle name="Entrada 3 2 5 2 5" xfId="11750"/>
    <cellStyle name="Entrada 3 2 5 2 5 2" xfId="40931"/>
    <cellStyle name="Entrada 3 2 5 2 6" xfId="31214"/>
    <cellStyle name="Entrada 3 2 5 3" xfId="2931"/>
    <cellStyle name="Entrada 3 2 5 3 2" xfId="6045"/>
    <cellStyle name="Entrada 3 2 5 3 2 2" xfId="10563"/>
    <cellStyle name="Entrada 3 2 5 3 2 2 2" xfId="39744"/>
    <cellStyle name="Entrada 3 2 5 3 2 3" xfId="35228"/>
    <cellStyle name="Entrada 3 2 5 3 3" xfId="10090"/>
    <cellStyle name="Entrada 3 2 5 3 3 2" xfId="20427"/>
    <cellStyle name="Entrada 3 2 5 3 3 2 2" xfId="49608"/>
    <cellStyle name="Entrada 3 2 5 3 3 3" xfId="39273"/>
    <cellStyle name="Entrada 3 2 5 3 4" xfId="13463"/>
    <cellStyle name="Entrada 3 2 5 3 4 2" xfId="42644"/>
    <cellStyle name="Entrada 3 2 5 3 5" xfId="32114"/>
    <cellStyle name="Entrada 3 2 5 4" xfId="4605"/>
    <cellStyle name="Entrada 3 2 5 4 2" xfId="13594"/>
    <cellStyle name="Entrada 3 2 5 4 2 2" xfId="42775"/>
    <cellStyle name="Entrada 3 2 5 4 3" xfId="33788"/>
    <cellStyle name="Entrada 3 2 5 5" xfId="8951"/>
    <cellStyle name="Entrada 3 2 5 5 2" xfId="19742"/>
    <cellStyle name="Entrada 3 2 5 5 2 2" xfId="48923"/>
    <cellStyle name="Entrada 3 2 5 5 3" xfId="38134"/>
    <cellStyle name="Entrada 3 2 5 6" xfId="17732"/>
    <cellStyle name="Entrada 3 2 5 6 2" xfId="46913"/>
    <cellStyle name="Entrada 3 2 5 7" xfId="30314"/>
    <cellStyle name="Entrada 3 2 6" xfId="1273"/>
    <cellStyle name="Entrada 3 2 6 2" xfId="2175"/>
    <cellStyle name="Entrada 3 2 6 2 2" xfId="3975"/>
    <cellStyle name="Entrada 3 2 6 2 2 2" xfId="6882"/>
    <cellStyle name="Entrada 3 2 6 2 2 2 2" xfId="18522"/>
    <cellStyle name="Entrada 3 2 6 2 2 2 2 2" xfId="47703"/>
    <cellStyle name="Entrada 3 2 6 2 2 2 3" xfId="36065"/>
    <cellStyle name="Entrada 3 2 6 2 2 3" xfId="7105"/>
    <cellStyle name="Entrada 3 2 6 2 2 3 2" xfId="18636"/>
    <cellStyle name="Entrada 3 2 6 2 2 3 2 2" xfId="47817"/>
    <cellStyle name="Entrada 3 2 6 2 2 3 3" xfId="36288"/>
    <cellStyle name="Entrada 3 2 6 2 2 4" xfId="14469"/>
    <cellStyle name="Entrada 3 2 6 2 2 4 2" xfId="43650"/>
    <cellStyle name="Entrada 3 2 6 2 2 5" xfId="33158"/>
    <cellStyle name="Entrada 3 2 6 2 3" xfId="5442"/>
    <cellStyle name="Entrada 3 2 6 2 3 2" xfId="14743"/>
    <cellStyle name="Entrada 3 2 6 2 3 2 2" xfId="43924"/>
    <cellStyle name="Entrada 3 2 6 2 3 3" xfId="34625"/>
    <cellStyle name="Entrada 3 2 6 2 4" xfId="9858"/>
    <cellStyle name="Entrada 3 2 6 2 4 2" xfId="20285"/>
    <cellStyle name="Entrada 3 2 6 2 4 2 2" xfId="49466"/>
    <cellStyle name="Entrada 3 2 6 2 4 3" xfId="39041"/>
    <cellStyle name="Entrada 3 2 6 2 5" xfId="12010"/>
    <cellStyle name="Entrada 3 2 6 2 5 2" xfId="41191"/>
    <cellStyle name="Entrada 3 2 6 2 6" xfId="31358"/>
    <cellStyle name="Entrada 3 2 6 3" xfId="3075"/>
    <cellStyle name="Entrada 3 2 6 3 2" xfId="6162"/>
    <cellStyle name="Entrada 3 2 6 3 2 2" xfId="18162"/>
    <cellStyle name="Entrada 3 2 6 3 2 2 2" xfId="47343"/>
    <cellStyle name="Entrada 3 2 6 3 2 3" xfId="35345"/>
    <cellStyle name="Entrada 3 2 6 3 3" xfId="9083"/>
    <cellStyle name="Entrada 3 2 6 3 3 2" xfId="19817"/>
    <cellStyle name="Entrada 3 2 6 3 3 2 2" xfId="48998"/>
    <cellStyle name="Entrada 3 2 6 3 3 3" xfId="38266"/>
    <cellStyle name="Entrada 3 2 6 3 4" xfId="13791"/>
    <cellStyle name="Entrada 3 2 6 3 4 2" xfId="42972"/>
    <cellStyle name="Entrada 3 2 6 3 5" xfId="32258"/>
    <cellStyle name="Entrada 3 2 6 4" xfId="4722"/>
    <cellStyle name="Entrada 3 2 6 4 2" xfId="16223"/>
    <cellStyle name="Entrada 3 2 6 4 2 2" xfId="45404"/>
    <cellStyle name="Entrada 3 2 6 4 3" xfId="33905"/>
    <cellStyle name="Entrada 3 2 6 5" xfId="7684"/>
    <cellStyle name="Entrada 3 2 6 5 2" xfId="18970"/>
    <cellStyle name="Entrada 3 2 6 5 2 2" xfId="48151"/>
    <cellStyle name="Entrada 3 2 6 5 3" xfId="36867"/>
    <cellStyle name="Entrada 3 2 6 6" xfId="11382"/>
    <cellStyle name="Entrada 3 2 6 6 2" xfId="40563"/>
    <cellStyle name="Entrada 3 2 6 7" xfId="30458"/>
    <cellStyle name="Entrada 3 2 7" xfId="1455"/>
    <cellStyle name="Entrada 3 2 7 2" xfId="3255"/>
    <cellStyle name="Entrada 3 2 7 2 2" xfId="6306"/>
    <cellStyle name="Entrada 3 2 7 2 2 2" xfId="18234"/>
    <cellStyle name="Entrada 3 2 7 2 2 2 2" xfId="47415"/>
    <cellStyle name="Entrada 3 2 7 2 2 3" xfId="35489"/>
    <cellStyle name="Entrada 3 2 7 2 3" xfId="10306"/>
    <cellStyle name="Entrada 3 2 7 2 3 2" xfId="20554"/>
    <cellStyle name="Entrada 3 2 7 2 3 2 2" xfId="49735"/>
    <cellStyle name="Entrada 3 2 7 2 3 3" xfId="39489"/>
    <cellStyle name="Entrada 3 2 7 2 4" xfId="13530"/>
    <cellStyle name="Entrada 3 2 7 2 4 2" xfId="42711"/>
    <cellStyle name="Entrada 3 2 7 2 5" xfId="32438"/>
    <cellStyle name="Entrada 3 2 7 3" xfId="4866"/>
    <cellStyle name="Entrada 3 2 7 3 2" xfId="17338"/>
    <cellStyle name="Entrada 3 2 7 3 2 2" xfId="46519"/>
    <cellStyle name="Entrada 3 2 7 3 3" xfId="34049"/>
    <cellStyle name="Entrada 3 2 7 4" xfId="8710"/>
    <cellStyle name="Entrada 3 2 7 4 2" xfId="19593"/>
    <cellStyle name="Entrada 3 2 7 4 2 2" xfId="48774"/>
    <cellStyle name="Entrada 3 2 7 4 3" xfId="37893"/>
    <cellStyle name="Entrada 3 2 7 5" xfId="11688"/>
    <cellStyle name="Entrada 3 2 7 5 2" xfId="40869"/>
    <cellStyle name="Entrada 3 2 7 6" xfId="30638"/>
    <cellStyle name="Entrada 3 2 8" xfId="2355"/>
    <cellStyle name="Entrada 3 2 8 2" xfId="5586"/>
    <cellStyle name="Entrada 3 2 8 2 2" xfId="14970"/>
    <cellStyle name="Entrada 3 2 8 2 2 2" xfId="44151"/>
    <cellStyle name="Entrada 3 2 8 2 3" xfId="34769"/>
    <cellStyle name="Entrada 3 2 8 3" xfId="7819"/>
    <cellStyle name="Entrada 3 2 8 3 2" xfId="19056"/>
    <cellStyle name="Entrada 3 2 8 3 2 2" xfId="48237"/>
    <cellStyle name="Entrada 3 2 8 3 3" xfId="37002"/>
    <cellStyle name="Entrada 3 2 8 4" xfId="12038"/>
    <cellStyle name="Entrada 3 2 8 4 2" xfId="41219"/>
    <cellStyle name="Entrada 3 2 8 5" xfId="31538"/>
    <cellStyle name="Entrada 3 2 9" xfId="4146"/>
    <cellStyle name="Entrada 3 2 9 2" xfId="15081"/>
    <cellStyle name="Entrada 3 2 9 2 2" xfId="44262"/>
    <cellStyle name="Entrada 3 2 9 3" xfId="33329"/>
    <cellStyle name="Entrada 3 3" xfId="477"/>
    <cellStyle name="Entrada 3 3 10" xfId="12015"/>
    <cellStyle name="Entrada 3 3 10 2" xfId="41196"/>
    <cellStyle name="Entrada 3 3 11" xfId="29683"/>
    <cellStyle name="Entrada 3 3 2" xfId="830"/>
    <cellStyle name="Entrada 3 3 2 2" xfId="1768"/>
    <cellStyle name="Entrada 3 3 2 2 2" xfId="3568"/>
    <cellStyle name="Entrada 3 3 2 2 2 2" xfId="6556"/>
    <cellStyle name="Entrada 3 3 2 2 2 2 2" xfId="18378"/>
    <cellStyle name="Entrada 3 3 2 2 2 2 2 2" xfId="47559"/>
    <cellStyle name="Entrada 3 3 2 2 2 2 3" xfId="35739"/>
    <cellStyle name="Entrada 3 3 2 2 2 3" xfId="9806"/>
    <cellStyle name="Entrada 3 3 2 2 2 3 2" xfId="20251"/>
    <cellStyle name="Entrada 3 3 2 2 2 3 2 2" xfId="49432"/>
    <cellStyle name="Entrada 3 3 2 2 2 3 3" xfId="38989"/>
    <cellStyle name="Entrada 3 3 2 2 2 4" xfId="12473"/>
    <cellStyle name="Entrada 3 3 2 2 2 4 2" xfId="41654"/>
    <cellStyle name="Entrada 3 3 2 2 2 5" xfId="32751"/>
    <cellStyle name="Entrada 3 3 2 2 3" xfId="5116"/>
    <cellStyle name="Entrada 3 3 2 2 3 2" xfId="11373"/>
    <cellStyle name="Entrada 3 3 2 2 3 2 2" xfId="40554"/>
    <cellStyle name="Entrada 3 3 2 2 3 3" xfId="34299"/>
    <cellStyle name="Entrada 3 3 2 2 4" xfId="8389"/>
    <cellStyle name="Entrada 3 3 2 2 4 2" xfId="19401"/>
    <cellStyle name="Entrada 3 3 2 2 4 2 2" xfId="48582"/>
    <cellStyle name="Entrada 3 3 2 2 4 3" xfId="37572"/>
    <cellStyle name="Entrada 3 3 2 2 5" xfId="11969"/>
    <cellStyle name="Entrada 3 3 2 2 5 2" xfId="41150"/>
    <cellStyle name="Entrada 3 3 2 2 6" xfId="30951"/>
    <cellStyle name="Entrada 3 3 2 3" xfId="2668"/>
    <cellStyle name="Entrada 3 3 2 3 2" xfId="5836"/>
    <cellStyle name="Entrada 3 3 2 3 2 2" xfId="16998"/>
    <cellStyle name="Entrada 3 3 2 3 2 2 2" xfId="46179"/>
    <cellStyle name="Entrada 3 3 2 3 2 3" xfId="35019"/>
    <cellStyle name="Entrada 3 3 2 3 3" xfId="9943"/>
    <cellStyle name="Entrada 3 3 2 3 3 2" xfId="20335"/>
    <cellStyle name="Entrada 3 3 2 3 3 2 2" xfId="49516"/>
    <cellStyle name="Entrada 3 3 2 3 3 3" xfId="39126"/>
    <cellStyle name="Entrada 3 3 2 3 4" xfId="13674"/>
    <cellStyle name="Entrada 3 3 2 3 4 2" xfId="42855"/>
    <cellStyle name="Entrada 3 3 2 3 5" xfId="31851"/>
    <cellStyle name="Entrada 3 3 2 4" xfId="4396"/>
    <cellStyle name="Entrada 3 3 2 4 2" xfId="15535"/>
    <cellStyle name="Entrada 3 3 2 4 2 2" xfId="44716"/>
    <cellStyle name="Entrada 3 3 2 4 3" xfId="33579"/>
    <cellStyle name="Entrada 3 3 2 5" xfId="10332"/>
    <cellStyle name="Entrada 3 3 2 5 2" xfId="20572"/>
    <cellStyle name="Entrada 3 3 2 5 2 2" xfId="49753"/>
    <cellStyle name="Entrada 3 3 2 5 3" xfId="39515"/>
    <cellStyle name="Entrada 3 3 2 6" xfId="12712"/>
    <cellStyle name="Entrada 3 3 2 6 2" xfId="41893"/>
    <cellStyle name="Entrada 3 3 2 7" xfId="30027"/>
    <cellStyle name="Entrada 3 3 3" xfId="1022"/>
    <cellStyle name="Entrada 3 3 3 2" xfId="1932"/>
    <cellStyle name="Entrada 3 3 3 2 2" xfId="3732"/>
    <cellStyle name="Entrada 3 3 3 2 2 2" xfId="6684"/>
    <cellStyle name="Entrada 3 3 3 2 2 2 2" xfId="18432"/>
    <cellStyle name="Entrada 3 3 3 2 2 2 2 2" xfId="47613"/>
    <cellStyle name="Entrada 3 3 3 2 2 2 3" xfId="35867"/>
    <cellStyle name="Entrada 3 3 3 2 2 3" xfId="8883"/>
    <cellStyle name="Entrada 3 3 3 2 2 3 2" xfId="19695"/>
    <cellStyle name="Entrada 3 3 3 2 2 3 2 2" xfId="48876"/>
    <cellStyle name="Entrada 3 3 3 2 2 3 3" xfId="38066"/>
    <cellStyle name="Entrada 3 3 3 2 2 4" xfId="10649"/>
    <cellStyle name="Entrada 3 3 3 2 2 4 2" xfId="39830"/>
    <cellStyle name="Entrada 3 3 3 2 2 5" xfId="32915"/>
    <cellStyle name="Entrada 3 3 3 2 3" xfId="5244"/>
    <cellStyle name="Entrada 3 3 3 2 3 2" xfId="14058"/>
    <cellStyle name="Entrada 3 3 3 2 3 2 2" xfId="43239"/>
    <cellStyle name="Entrada 3 3 3 2 3 3" xfId="34427"/>
    <cellStyle name="Entrada 3 3 3 2 4" xfId="8470"/>
    <cellStyle name="Entrada 3 3 3 2 4 2" xfId="19455"/>
    <cellStyle name="Entrada 3 3 3 2 4 2 2" xfId="48636"/>
    <cellStyle name="Entrada 3 3 3 2 4 3" xfId="37653"/>
    <cellStyle name="Entrada 3 3 3 2 5" xfId="14421"/>
    <cellStyle name="Entrada 3 3 3 2 5 2" xfId="43602"/>
    <cellStyle name="Entrada 3 3 3 2 6" xfId="31115"/>
    <cellStyle name="Entrada 3 3 3 3" xfId="2832"/>
    <cellStyle name="Entrada 3 3 3 3 2" xfId="5964"/>
    <cellStyle name="Entrada 3 3 3 3 2 2" xfId="10599"/>
    <cellStyle name="Entrada 3 3 3 3 2 2 2" xfId="39780"/>
    <cellStyle name="Entrada 3 3 3 3 2 3" xfId="35147"/>
    <cellStyle name="Entrada 3 3 3 3 3" xfId="9988"/>
    <cellStyle name="Entrada 3 3 3 3 3 2" xfId="20365"/>
    <cellStyle name="Entrada 3 3 3 3 3 2 2" xfId="49546"/>
    <cellStyle name="Entrada 3 3 3 3 3 3" xfId="39171"/>
    <cellStyle name="Entrada 3 3 3 3 4" xfId="13313"/>
    <cellStyle name="Entrada 3 3 3 3 4 2" xfId="42494"/>
    <cellStyle name="Entrada 3 3 3 3 5" xfId="32015"/>
    <cellStyle name="Entrada 3 3 3 4" xfId="4524"/>
    <cellStyle name="Entrada 3 3 3 4 2" xfId="14640"/>
    <cellStyle name="Entrada 3 3 3 4 2 2" xfId="43821"/>
    <cellStyle name="Entrada 3 3 3 4 3" xfId="33707"/>
    <cellStyle name="Entrada 3 3 3 5" xfId="7324"/>
    <cellStyle name="Entrada 3 3 3 5 2" xfId="18755"/>
    <cellStyle name="Entrada 3 3 3 5 2 2" xfId="47936"/>
    <cellStyle name="Entrada 3 3 3 5 3" xfId="36507"/>
    <cellStyle name="Entrada 3 3 3 6" xfId="16088"/>
    <cellStyle name="Entrada 3 3 3 6 2" xfId="45269"/>
    <cellStyle name="Entrada 3 3 3 7" xfId="30212"/>
    <cellStyle name="Entrada 3 3 4" xfId="1172"/>
    <cellStyle name="Entrada 3 3 4 2" xfId="2076"/>
    <cellStyle name="Entrada 3 3 4 2 2" xfId="3876"/>
    <cellStyle name="Entrada 3 3 4 2 2 2" xfId="6801"/>
    <cellStyle name="Entrada 3 3 4 2 2 2 2" xfId="18486"/>
    <cellStyle name="Entrada 3 3 4 2 2 2 2 2" xfId="47667"/>
    <cellStyle name="Entrada 3 3 4 2 2 2 3" xfId="35984"/>
    <cellStyle name="Entrada 3 3 4 2 2 3" xfId="8800"/>
    <cellStyle name="Entrada 3 3 4 2 2 3 2" xfId="19652"/>
    <cellStyle name="Entrada 3 3 4 2 2 3 2 2" xfId="48833"/>
    <cellStyle name="Entrada 3 3 4 2 2 3 3" xfId="37983"/>
    <cellStyle name="Entrada 3 3 4 2 2 4" xfId="13700"/>
    <cellStyle name="Entrada 3 3 4 2 2 4 2" xfId="42881"/>
    <cellStyle name="Entrada 3 3 4 2 2 5" xfId="33059"/>
    <cellStyle name="Entrada 3 3 4 2 3" xfId="5361"/>
    <cellStyle name="Entrada 3 3 4 2 3 2" xfId="18007"/>
    <cellStyle name="Entrada 3 3 4 2 3 2 2" xfId="47188"/>
    <cellStyle name="Entrada 3 3 4 2 3 3" xfId="34544"/>
    <cellStyle name="Entrada 3 3 4 2 4" xfId="9784"/>
    <cellStyle name="Entrada 3 3 4 2 4 2" xfId="20239"/>
    <cellStyle name="Entrada 3 3 4 2 4 2 2" xfId="49420"/>
    <cellStyle name="Entrada 3 3 4 2 4 3" xfId="38967"/>
    <cellStyle name="Entrada 3 3 4 2 5" xfId="17160"/>
    <cellStyle name="Entrada 3 3 4 2 5 2" xfId="46341"/>
    <cellStyle name="Entrada 3 3 4 2 6" xfId="31259"/>
    <cellStyle name="Entrada 3 3 4 3" xfId="2976"/>
    <cellStyle name="Entrada 3 3 4 3 2" xfId="6081"/>
    <cellStyle name="Entrada 3 3 4 3 2 2" xfId="10545"/>
    <cellStyle name="Entrada 3 3 4 3 2 2 2" xfId="39726"/>
    <cellStyle name="Entrada 3 3 4 3 2 3" xfId="35264"/>
    <cellStyle name="Entrada 3 3 4 3 3" xfId="9008"/>
    <cellStyle name="Entrada 3 3 4 3 3 2" xfId="19773"/>
    <cellStyle name="Entrada 3 3 4 3 3 2 2" xfId="48954"/>
    <cellStyle name="Entrada 3 3 4 3 3 3" xfId="38191"/>
    <cellStyle name="Entrada 3 3 4 3 4" xfId="11230"/>
    <cellStyle name="Entrada 3 3 4 3 4 2" xfId="40411"/>
    <cellStyle name="Entrada 3 3 4 3 5" xfId="32159"/>
    <cellStyle name="Entrada 3 3 4 4" xfId="4641"/>
    <cellStyle name="Entrada 3 3 4 4 2" xfId="16352"/>
    <cellStyle name="Entrada 3 3 4 4 2 2" xfId="45533"/>
    <cellStyle name="Entrada 3 3 4 4 3" xfId="33824"/>
    <cellStyle name="Entrada 3 3 4 5" xfId="9521"/>
    <cellStyle name="Entrada 3 3 4 5 2" xfId="20079"/>
    <cellStyle name="Entrada 3 3 4 5 2 2" xfId="49260"/>
    <cellStyle name="Entrada 3 3 4 5 3" xfId="38704"/>
    <cellStyle name="Entrada 3 3 4 6" xfId="12392"/>
    <cellStyle name="Entrada 3 3 4 6 2" xfId="41573"/>
    <cellStyle name="Entrada 3 3 4 7" xfId="30359"/>
    <cellStyle name="Entrada 3 3 5" xfId="1318"/>
    <cellStyle name="Entrada 3 3 5 2" xfId="2220"/>
    <cellStyle name="Entrada 3 3 5 2 2" xfId="4020"/>
    <cellStyle name="Entrada 3 3 5 2 2 2" xfId="6918"/>
    <cellStyle name="Entrada 3 3 5 2 2 2 2" xfId="18540"/>
    <cellStyle name="Entrada 3 3 5 2 2 2 2 2" xfId="47721"/>
    <cellStyle name="Entrada 3 3 5 2 2 2 3" xfId="36101"/>
    <cellStyle name="Entrada 3 3 5 2 2 3" xfId="7060"/>
    <cellStyle name="Entrada 3 3 5 2 2 3 2" xfId="18609"/>
    <cellStyle name="Entrada 3 3 5 2 2 3 2 2" xfId="47790"/>
    <cellStyle name="Entrada 3 3 5 2 2 3 3" xfId="36243"/>
    <cellStyle name="Entrada 3 3 5 2 2 4" xfId="13375"/>
    <cellStyle name="Entrada 3 3 5 2 2 4 2" xfId="42556"/>
    <cellStyle name="Entrada 3 3 5 2 2 5" xfId="33203"/>
    <cellStyle name="Entrada 3 3 5 2 3" xfId="5478"/>
    <cellStyle name="Entrada 3 3 5 2 3 2" xfId="13505"/>
    <cellStyle name="Entrada 3 3 5 2 3 2 2" xfId="42686"/>
    <cellStyle name="Entrada 3 3 5 2 3 3" xfId="34661"/>
    <cellStyle name="Entrada 3 3 5 2 4" xfId="9625"/>
    <cellStyle name="Entrada 3 3 5 2 4 2" xfId="20145"/>
    <cellStyle name="Entrada 3 3 5 2 4 2 2" xfId="49326"/>
    <cellStyle name="Entrada 3 3 5 2 4 3" xfId="38808"/>
    <cellStyle name="Entrada 3 3 5 2 5" xfId="17573"/>
    <cellStyle name="Entrada 3 3 5 2 5 2" xfId="46754"/>
    <cellStyle name="Entrada 3 3 5 2 6" xfId="31403"/>
    <cellStyle name="Entrada 3 3 5 3" xfId="3120"/>
    <cellStyle name="Entrada 3 3 5 3 2" xfId="6198"/>
    <cellStyle name="Entrada 3 3 5 3 2 2" xfId="18180"/>
    <cellStyle name="Entrada 3 3 5 3 2 2 2" xfId="47361"/>
    <cellStyle name="Entrada 3 3 5 3 2 3" xfId="35381"/>
    <cellStyle name="Entrada 3 3 5 3 3" xfId="8194"/>
    <cellStyle name="Entrada 3 3 5 3 3 2" xfId="19283"/>
    <cellStyle name="Entrada 3 3 5 3 3 2 2" xfId="48464"/>
    <cellStyle name="Entrada 3 3 5 3 3 3" xfId="37377"/>
    <cellStyle name="Entrada 3 3 5 3 4" xfId="11497"/>
    <cellStyle name="Entrada 3 3 5 3 4 2" xfId="40678"/>
    <cellStyle name="Entrada 3 3 5 3 5" xfId="32303"/>
    <cellStyle name="Entrada 3 3 5 4" xfId="4758"/>
    <cellStyle name="Entrada 3 3 5 4 2" xfId="11626"/>
    <cellStyle name="Entrada 3 3 5 4 2 2" xfId="40807"/>
    <cellStyle name="Entrada 3 3 5 4 3" xfId="33941"/>
    <cellStyle name="Entrada 3 3 5 5" xfId="10070"/>
    <cellStyle name="Entrada 3 3 5 5 2" xfId="20417"/>
    <cellStyle name="Entrada 3 3 5 5 2 2" xfId="49598"/>
    <cellStyle name="Entrada 3 3 5 5 3" xfId="39253"/>
    <cellStyle name="Entrada 3 3 5 6" xfId="13245"/>
    <cellStyle name="Entrada 3 3 5 6 2" xfId="42426"/>
    <cellStyle name="Entrada 3 3 5 7" xfId="30503"/>
    <cellStyle name="Entrada 3 3 6" xfId="1500"/>
    <cellStyle name="Entrada 3 3 6 2" xfId="3300"/>
    <cellStyle name="Entrada 3 3 6 2 2" xfId="6342"/>
    <cellStyle name="Entrada 3 3 6 2 2 2" xfId="18252"/>
    <cellStyle name="Entrada 3 3 6 2 2 2 2" xfId="47433"/>
    <cellStyle name="Entrada 3 3 6 2 2 3" xfId="35525"/>
    <cellStyle name="Entrada 3 3 6 2 3" xfId="9959"/>
    <cellStyle name="Entrada 3 3 6 2 3 2" xfId="20347"/>
    <cellStyle name="Entrada 3 3 6 2 3 2 2" xfId="49528"/>
    <cellStyle name="Entrada 3 3 6 2 3 3" xfId="39142"/>
    <cellStyle name="Entrada 3 3 6 2 4" xfId="11527"/>
    <cellStyle name="Entrada 3 3 6 2 4 2" xfId="40708"/>
    <cellStyle name="Entrada 3 3 6 2 5" xfId="32483"/>
    <cellStyle name="Entrada 3 3 6 3" xfId="4902"/>
    <cellStyle name="Entrada 3 3 6 3 2" xfId="15860"/>
    <cellStyle name="Entrada 3 3 6 3 2 2" xfId="45041"/>
    <cellStyle name="Entrada 3 3 6 3 3" xfId="34085"/>
    <cellStyle name="Entrada 3 3 6 4" xfId="7473"/>
    <cellStyle name="Entrada 3 3 6 4 2" xfId="18838"/>
    <cellStyle name="Entrada 3 3 6 4 2 2" xfId="48019"/>
    <cellStyle name="Entrada 3 3 6 4 3" xfId="36656"/>
    <cellStyle name="Entrada 3 3 6 5" xfId="10721"/>
    <cellStyle name="Entrada 3 3 6 5 2" xfId="39902"/>
    <cellStyle name="Entrada 3 3 6 6" xfId="30683"/>
    <cellStyle name="Entrada 3 3 7" xfId="2400"/>
    <cellStyle name="Entrada 3 3 7 2" xfId="5622"/>
    <cellStyle name="Entrada 3 3 7 2 2" xfId="14685"/>
    <cellStyle name="Entrada 3 3 7 2 2 2" xfId="43866"/>
    <cellStyle name="Entrada 3 3 7 2 3" xfId="34805"/>
    <cellStyle name="Entrada 3 3 7 3" xfId="7258"/>
    <cellStyle name="Entrada 3 3 7 3 2" xfId="18718"/>
    <cellStyle name="Entrada 3 3 7 3 2 2" xfId="47899"/>
    <cellStyle name="Entrada 3 3 7 3 3" xfId="36441"/>
    <cellStyle name="Entrada 3 3 7 4" xfId="17349"/>
    <cellStyle name="Entrada 3 3 7 4 2" xfId="46530"/>
    <cellStyle name="Entrada 3 3 7 5" xfId="31583"/>
    <cellStyle name="Entrada 3 3 8" xfId="4182"/>
    <cellStyle name="Entrada 3 3 8 2" xfId="13073"/>
    <cellStyle name="Entrada 3 3 8 2 2" xfId="42254"/>
    <cellStyle name="Entrada 3 3 8 3" xfId="33365"/>
    <cellStyle name="Entrada 3 3 9" xfId="7484"/>
    <cellStyle name="Entrada 3 3 9 2" xfId="18844"/>
    <cellStyle name="Entrada 3 3 9 2 2" xfId="48025"/>
    <cellStyle name="Entrada 3 3 9 3" xfId="36667"/>
    <cellStyle name="Entrada 3 4" xfId="659"/>
    <cellStyle name="Entrada 3 4 2" xfId="1651"/>
    <cellStyle name="Entrada 3 4 2 2" xfId="3451"/>
    <cellStyle name="Entrada 3 4 2 2 2" xfId="6466"/>
    <cellStyle name="Entrada 3 4 2 2 2 2" xfId="18333"/>
    <cellStyle name="Entrada 3 4 2 2 2 2 2" xfId="47514"/>
    <cellStyle name="Entrada 3 4 2 2 2 3" xfId="35649"/>
    <cellStyle name="Entrada 3 4 2 2 3" xfId="9186"/>
    <cellStyle name="Entrada 3 4 2 2 3 2" xfId="19879"/>
    <cellStyle name="Entrada 3 4 2 2 3 2 2" xfId="49060"/>
    <cellStyle name="Entrada 3 4 2 2 3 3" xfId="38369"/>
    <cellStyle name="Entrada 3 4 2 2 4" xfId="15407"/>
    <cellStyle name="Entrada 3 4 2 2 4 2" xfId="44588"/>
    <cellStyle name="Entrada 3 4 2 2 5" xfId="32634"/>
    <cellStyle name="Entrada 3 4 2 3" xfId="5026"/>
    <cellStyle name="Entrada 3 4 2 3 2" xfId="14634"/>
    <cellStyle name="Entrada 3 4 2 3 2 2" xfId="43815"/>
    <cellStyle name="Entrada 3 4 2 3 3" xfId="34209"/>
    <cellStyle name="Entrada 3 4 2 4" xfId="8531"/>
    <cellStyle name="Entrada 3 4 2 4 2" xfId="19495"/>
    <cellStyle name="Entrada 3 4 2 4 2 2" xfId="48676"/>
    <cellStyle name="Entrada 3 4 2 4 3" xfId="37714"/>
    <cellStyle name="Entrada 3 4 2 5" xfId="11310"/>
    <cellStyle name="Entrada 3 4 2 5 2" xfId="40491"/>
    <cellStyle name="Entrada 3 4 2 6" xfId="30834"/>
    <cellStyle name="Entrada 3 4 3" xfId="2551"/>
    <cellStyle name="Entrada 3 4 3 2" xfId="5746"/>
    <cellStyle name="Entrada 3 4 3 2 2" xfId="14064"/>
    <cellStyle name="Entrada 3 4 3 2 2 2" xfId="43245"/>
    <cellStyle name="Entrada 3 4 3 2 3" xfId="34929"/>
    <cellStyle name="Entrada 3 4 3 3" xfId="10058"/>
    <cellStyle name="Entrada 3 4 3 3 2" xfId="20409"/>
    <cellStyle name="Entrada 3 4 3 3 2 2" xfId="49590"/>
    <cellStyle name="Entrada 3 4 3 3 3" xfId="39241"/>
    <cellStyle name="Entrada 3 4 3 4" xfId="17722"/>
    <cellStyle name="Entrada 3 4 3 4 2" xfId="46903"/>
    <cellStyle name="Entrada 3 4 3 5" xfId="31734"/>
    <cellStyle name="Entrada 3 4 4" xfId="4306"/>
    <cellStyle name="Entrada 3 4 4 2" xfId="17506"/>
    <cellStyle name="Entrada 3 4 4 2 2" xfId="46687"/>
    <cellStyle name="Entrada 3 4 4 3" xfId="33489"/>
    <cellStyle name="Entrada 3 4 5" xfId="9110"/>
    <cellStyle name="Entrada 3 4 5 2" xfId="19833"/>
    <cellStyle name="Entrada 3 4 5 2 2" xfId="49014"/>
    <cellStyle name="Entrada 3 4 5 3" xfId="38293"/>
    <cellStyle name="Entrada 3 4 6" xfId="12965"/>
    <cellStyle name="Entrada 3 4 6 2" xfId="42146"/>
    <cellStyle name="Entrada 3 4 7" xfId="29862"/>
    <cellStyle name="Entrada 3 5" xfId="618"/>
    <cellStyle name="Entrada 3 5 2" xfId="1610"/>
    <cellStyle name="Entrada 3 5 2 2" xfId="3410"/>
    <cellStyle name="Entrada 3 5 2 2 2" xfId="6425"/>
    <cellStyle name="Entrada 3 5 2 2 2 2" xfId="18292"/>
    <cellStyle name="Entrada 3 5 2 2 2 2 2" xfId="47473"/>
    <cellStyle name="Entrada 3 5 2 2 2 3" xfId="35608"/>
    <cellStyle name="Entrada 3 5 2 2 3" xfId="9655"/>
    <cellStyle name="Entrada 3 5 2 2 3 2" xfId="20162"/>
    <cellStyle name="Entrada 3 5 2 2 3 2 2" xfId="49343"/>
    <cellStyle name="Entrada 3 5 2 2 3 3" xfId="38838"/>
    <cellStyle name="Entrada 3 5 2 2 4" xfId="16913"/>
    <cellStyle name="Entrada 3 5 2 2 4 2" xfId="46094"/>
    <cellStyle name="Entrada 3 5 2 2 5" xfId="32593"/>
    <cellStyle name="Entrada 3 5 2 3" xfId="4985"/>
    <cellStyle name="Entrada 3 5 2 3 2" xfId="12734"/>
    <cellStyle name="Entrada 3 5 2 3 2 2" xfId="41915"/>
    <cellStyle name="Entrada 3 5 2 3 3" xfId="34168"/>
    <cellStyle name="Entrada 3 5 2 4" xfId="9244"/>
    <cellStyle name="Entrada 3 5 2 4 2" xfId="19919"/>
    <cellStyle name="Entrada 3 5 2 4 2 2" xfId="49100"/>
    <cellStyle name="Entrada 3 5 2 4 3" xfId="38427"/>
    <cellStyle name="Entrada 3 5 2 5" xfId="18121"/>
    <cellStyle name="Entrada 3 5 2 5 2" xfId="47302"/>
    <cellStyle name="Entrada 3 5 2 6" xfId="30793"/>
    <cellStyle name="Entrada 3 5 3" xfId="2510"/>
    <cellStyle name="Entrada 3 5 3 2" xfId="5705"/>
    <cellStyle name="Entrada 3 5 3 2 2" xfId="13523"/>
    <cellStyle name="Entrada 3 5 3 2 2 2" xfId="42704"/>
    <cellStyle name="Entrada 3 5 3 2 3" xfId="34888"/>
    <cellStyle name="Entrada 3 5 3 3" xfId="7542"/>
    <cellStyle name="Entrada 3 5 3 3 2" xfId="18878"/>
    <cellStyle name="Entrada 3 5 3 3 2 2" xfId="48059"/>
    <cellStyle name="Entrada 3 5 3 3 3" xfId="36725"/>
    <cellStyle name="Entrada 3 5 3 4" xfId="11088"/>
    <cellStyle name="Entrada 3 5 3 4 2" xfId="40269"/>
    <cellStyle name="Entrada 3 5 3 5" xfId="31693"/>
    <cellStyle name="Entrada 3 5 4" xfId="4265"/>
    <cellStyle name="Entrada 3 5 4 2" xfId="13930"/>
    <cellStyle name="Entrada 3 5 4 2 2" xfId="43111"/>
    <cellStyle name="Entrada 3 5 4 3" xfId="33448"/>
    <cellStyle name="Entrada 3 5 5" xfId="9147"/>
    <cellStyle name="Entrada 3 5 5 2" xfId="19858"/>
    <cellStyle name="Entrada 3 5 5 2 2" xfId="49039"/>
    <cellStyle name="Entrada 3 5 5 3" xfId="38330"/>
    <cellStyle name="Entrada 3 5 6" xfId="16789"/>
    <cellStyle name="Entrada 3 5 6 2" xfId="45970"/>
    <cellStyle name="Entrada 3 5 7" xfId="29821"/>
    <cellStyle name="Entrada 3 6" xfId="668"/>
    <cellStyle name="Entrada 3 6 2" xfId="1660"/>
    <cellStyle name="Entrada 3 6 2 2" xfId="3460"/>
    <cellStyle name="Entrada 3 6 2 2 2" xfId="6475"/>
    <cellStyle name="Entrada 3 6 2 2 2 2" xfId="18342"/>
    <cellStyle name="Entrada 3 6 2 2 2 2 2" xfId="47523"/>
    <cellStyle name="Entrada 3 6 2 2 2 3" xfId="35658"/>
    <cellStyle name="Entrada 3 6 2 2 3" xfId="9961"/>
    <cellStyle name="Entrada 3 6 2 2 3 2" xfId="20348"/>
    <cellStyle name="Entrada 3 6 2 2 3 2 2" xfId="49529"/>
    <cellStyle name="Entrada 3 6 2 2 3 3" xfId="39144"/>
    <cellStyle name="Entrada 3 6 2 2 4" xfId="16129"/>
    <cellStyle name="Entrada 3 6 2 2 4 2" xfId="45310"/>
    <cellStyle name="Entrada 3 6 2 2 5" xfId="32643"/>
    <cellStyle name="Entrada 3 6 2 3" xfId="5035"/>
    <cellStyle name="Entrada 3 6 2 3 2" xfId="17423"/>
    <cellStyle name="Entrada 3 6 2 3 2 2" xfId="46604"/>
    <cellStyle name="Entrada 3 6 2 3 3" xfId="34218"/>
    <cellStyle name="Entrada 3 6 2 4" xfId="9632"/>
    <cellStyle name="Entrada 3 6 2 4 2" xfId="20149"/>
    <cellStyle name="Entrada 3 6 2 4 2 2" xfId="49330"/>
    <cellStyle name="Entrada 3 6 2 4 3" xfId="38815"/>
    <cellStyle name="Entrada 3 6 2 5" xfId="15384"/>
    <cellStyle name="Entrada 3 6 2 5 2" xfId="44565"/>
    <cellStyle name="Entrada 3 6 2 6" xfId="30843"/>
    <cellStyle name="Entrada 3 6 3" xfId="2560"/>
    <cellStyle name="Entrada 3 6 3 2" xfId="5755"/>
    <cellStyle name="Entrada 3 6 3 2 2" xfId="14546"/>
    <cellStyle name="Entrada 3 6 3 2 2 2" xfId="43727"/>
    <cellStyle name="Entrada 3 6 3 2 3" xfId="34938"/>
    <cellStyle name="Entrada 3 6 3 3" xfId="8201"/>
    <cellStyle name="Entrada 3 6 3 3 2" xfId="19287"/>
    <cellStyle name="Entrada 3 6 3 3 2 2" xfId="48468"/>
    <cellStyle name="Entrada 3 6 3 3 3" xfId="37384"/>
    <cellStyle name="Entrada 3 6 3 4" xfId="10891"/>
    <cellStyle name="Entrada 3 6 3 4 2" xfId="40072"/>
    <cellStyle name="Entrada 3 6 3 5" xfId="31743"/>
    <cellStyle name="Entrada 3 6 4" xfId="4315"/>
    <cellStyle name="Entrada 3 6 4 2" xfId="12893"/>
    <cellStyle name="Entrada 3 6 4 2 2" xfId="42074"/>
    <cellStyle name="Entrada 3 6 4 3" xfId="33498"/>
    <cellStyle name="Entrada 3 6 5" xfId="8836"/>
    <cellStyle name="Entrada 3 6 5 2" xfId="19670"/>
    <cellStyle name="Entrada 3 6 5 2 2" xfId="48851"/>
    <cellStyle name="Entrada 3 6 5 3" xfId="38019"/>
    <cellStyle name="Entrada 3 6 6" xfId="11565"/>
    <cellStyle name="Entrada 3 6 6 2" xfId="40746"/>
    <cellStyle name="Entrada 3 6 7" xfId="29871"/>
    <cellStyle name="Entrada 3 7" xfId="609"/>
    <cellStyle name="Entrada 3 7 2" xfId="1601"/>
    <cellStyle name="Entrada 3 7 2 2" xfId="3401"/>
    <cellStyle name="Entrada 3 7 2 2 2" xfId="6416"/>
    <cellStyle name="Entrada 3 7 2 2 2 2" xfId="18283"/>
    <cellStyle name="Entrada 3 7 2 2 2 2 2" xfId="47464"/>
    <cellStyle name="Entrada 3 7 2 2 2 3" xfId="35599"/>
    <cellStyle name="Entrada 3 7 2 2 3" xfId="7907"/>
    <cellStyle name="Entrada 3 7 2 2 3 2" xfId="19107"/>
    <cellStyle name="Entrada 3 7 2 2 3 2 2" xfId="48288"/>
    <cellStyle name="Entrada 3 7 2 2 3 3" xfId="37090"/>
    <cellStyle name="Entrada 3 7 2 2 4" xfId="17985"/>
    <cellStyle name="Entrada 3 7 2 2 4 2" xfId="47166"/>
    <cellStyle name="Entrada 3 7 2 2 5" xfId="32584"/>
    <cellStyle name="Entrada 3 7 2 3" xfId="4976"/>
    <cellStyle name="Entrada 3 7 2 3 2" xfId="13373"/>
    <cellStyle name="Entrada 3 7 2 3 2 2" xfId="42554"/>
    <cellStyle name="Entrada 3 7 2 3 3" xfId="34159"/>
    <cellStyle name="Entrada 3 7 2 4" xfId="7845"/>
    <cellStyle name="Entrada 3 7 2 4 2" xfId="19071"/>
    <cellStyle name="Entrada 3 7 2 4 2 2" xfId="48252"/>
    <cellStyle name="Entrada 3 7 2 4 3" xfId="37028"/>
    <cellStyle name="Entrada 3 7 2 5" xfId="15170"/>
    <cellStyle name="Entrada 3 7 2 5 2" xfId="44351"/>
    <cellStyle name="Entrada 3 7 2 6" xfId="30784"/>
    <cellStyle name="Entrada 3 7 3" xfId="2501"/>
    <cellStyle name="Entrada 3 7 3 2" xfId="5696"/>
    <cellStyle name="Entrada 3 7 3 2 2" xfId="14492"/>
    <cellStyle name="Entrada 3 7 3 2 2 2" xfId="43673"/>
    <cellStyle name="Entrada 3 7 3 2 3" xfId="34879"/>
    <cellStyle name="Entrada 3 7 3 3" xfId="8396"/>
    <cellStyle name="Entrada 3 7 3 3 2" xfId="19405"/>
    <cellStyle name="Entrada 3 7 3 3 2 2" xfId="48586"/>
    <cellStyle name="Entrada 3 7 3 3 3" xfId="37579"/>
    <cellStyle name="Entrada 3 7 3 4" xfId="16584"/>
    <cellStyle name="Entrada 3 7 3 4 2" xfId="45765"/>
    <cellStyle name="Entrada 3 7 3 5" xfId="31684"/>
    <cellStyle name="Entrada 3 7 4" xfId="4256"/>
    <cellStyle name="Entrada 3 7 4 2" xfId="10813"/>
    <cellStyle name="Entrada 3 7 4 2 2" xfId="39994"/>
    <cellStyle name="Entrada 3 7 4 3" xfId="33439"/>
    <cellStyle name="Entrada 3 7 5" xfId="8023"/>
    <cellStyle name="Entrada 3 7 5 2" xfId="19179"/>
    <cellStyle name="Entrada 3 7 5 2 2" xfId="48360"/>
    <cellStyle name="Entrada 3 7 5 3" xfId="37206"/>
    <cellStyle name="Entrada 3 7 6" xfId="16358"/>
    <cellStyle name="Entrada 3 7 6 2" xfId="45539"/>
    <cellStyle name="Entrada 3 7 7" xfId="29812"/>
    <cellStyle name="Entrada 3 8" xfId="1410"/>
    <cellStyle name="Entrada 3 8 2" xfId="3210"/>
    <cellStyle name="Entrada 3 8 2 2" xfId="6270"/>
    <cellStyle name="Entrada 3 8 2 2 2" xfId="18216"/>
    <cellStyle name="Entrada 3 8 2 2 2 2" xfId="47397"/>
    <cellStyle name="Entrada 3 8 2 2 3" xfId="35453"/>
    <cellStyle name="Entrada 3 8 2 3" xfId="8234"/>
    <cellStyle name="Entrada 3 8 2 3 2" xfId="19306"/>
    <cellStyle name="Entrada 3 8 2 3 2 2" xfId="48487"/>
    <cellStyle name="Entrada 3 8 2 3 3" xfId="37417"/>
    <cellStyle name="Entrada 3 8 2 4" xfId="14287"/>
    <cellStyle name="Entrada 3 8 2 4 2" xfId="43468"/>
    <cellStyle name="Entrada 3 8 2 5" xfId="32393"/>
    <cellStyle name="Entrada 3 8 3" xfId="4830"/>
    <cellStyle name="Entrada 3 8 3 2" xfId="11300"/>
    <cellStyle name="Entrada 3 8 3 2 2" xfId="40481"/>
    <cellStyle name="Entrada 3 8 3 3" xfId="34013"/>
    <cellStyle name="Entrada 3 8 4" xfId="8867"/>
    <cellStyle name="Entrada 3 8 4 2" xfId="19687"/>
    <cellStyle name="Entrada 3 8 4 2 2" xfId="48868"/>
    <cellStyle name="Entrada 3 8 4 3" xfId="38050"/>
    <cellStyle name="Entrada 3 8 5" xfId="17112"/>
    <cellStyle name="Entrada 3 8 5 2" xfId="46293"/>
    <cellStyle name="Entrada 3 8 6" xfId="30593"/>
    <cellStyle name="Entrada 3 9" xfId="2310"/>
    <cellStyle name="Entrada 3 9 2" xfId="5550"/>
    <cellStyle name="Entrada 3 9 2 2" xfId="16003"/>
    <cellStyle name="Entrada 3 9 2 2 2" xfId="45184"/>
    <cellStyle name="Entrada 3 9 2 3" xfId="34733"/>
    <cellStyle name="Entrada 3 9 3" xfId="7692"/>
    <cellStyle name="Entrada 3 9 3 2" xfId="18974"/>
    <cellStyle name="Entrada 3 9 3 2 2" xfId="48155"/>
    <cellStyle name="Entrada 3 9 3 3" xfId="36875"/>
    <cellStyle name="Entrada 3 9 4" xfId="17810"/>
    <cellStyle name="Entrada 3 9 4 2" xfId="46991"/>
    <cellStyle name="Entrada 3 9 5" xfId="31493"/>
    <cellStyle name="Entrada 4" xfId="258"/>
    <cellStyle name="Entrada 4 10" xfId="4111"/>
    <cellStyle name="Entrada 4 10 2" xfId="13208"/>
    <cellStyle name="Entrada 4 10 2 2" xfId="42389"/>
    <cellStyle name="Entrada 4 10 3" xfId="33294"/>
    <cellStyle name="Entrada 4 11" xfId="15899"/>
    <cellStyle name="Entrada 4 11 2" xfId="45080"/>
    <cellStyle name="Entrada 4 12" xfId="29571"/>
    <cellStyle name="Entrada 4 2" xfId="433"/>
    <cellStyle name="Entrada 4 2 10" xfId="7939"/>
    <cellStyle name="Entrada 4 2 10 2" xfId="19124"/>
    <cellStyle name="Entrada 4 2 10 2 2" xfId="48305"/>
    <cellStyle name="Entrada 4 2 10 3" xfId="37122"/>
    <cellStyle name="Entrada 4 2 11" xfId="12682"/>
    <cellStyle name="Entrada 4 2 11 2" xfId="41863"/>
    <cellStyle name="Entrada 4 2 12" xfId="58776"/>
    <cellStyle name="Entrada 4 2 13" xfId="29639"/>
    <cellStyle name="Entrada 4 2 2" xfId="523"/>
    <cellStyle name="Entrada 4 2 2 10" xfId="13247"/>
    <cellStyle name="Entrada 4 2 2 10 2" xfId="42428"/>
    <cellStyle name="Entrada 4 2 2 11" xfId="29729"/>
    <cellStyle name="Entrada 4 2 2 2" xfId="876"/>
    <cellStyle name="Entrada 4 2 2 2 2" xfId="1814"/>
    <cellStyle name="Entrada 4 2 2 2 2 2" xfId="3614"/>
    <cellStyle name="Entrada 4 2 2 2 2 2 2" xfId="6593"/>
    <cellStyle name="Entrada 4 2 2 2 2 2 2 2" xfId="18397"/>
    <cellStyle name="Entrada 4 2 2 2 2 2 2 2 2" xfId="47578"/>
    <cellStyle name="Entrada 4 2 2 2 2 2 2 3" xfId="35776"/>
    <cellStyle name="Entrada 4 2 2 2 2 2 3" xfId="7582"/>
    <cellStyle name="Entrada 4 2 2 2 2 2 3 2" xfId="18908"/>
    <cellStyle name="Entrada 4 2 2 2 2 2 3 2 2" xfId="48089"/>
    <cellStyle name="Entrada 4 2 2 2 2 2 3 3" xfId="36765"/>
    <cellStyle name="Entrada 4 2 2 2 2 2 4" xfId="14885"/>
    <cellStyle name="Entrada 4 2 2 2 2 2 4 2" xfId="44066"/>
    <cellStyle name="Entrada 4 2 2 2 2 2 5" xfId="32797"/>
    <cellStyle name="Entrada 4 2 2 2 2 3" xfId="5153"/>
    <cellStyle name="Entrada 4 2 2 2 2 3 2" xfId="17301"/>
    <cellStyle name="Entrada 4 2 2 2 2 3 2 2" xfId="46482"/>
    <cellStyle name="Entrada 4 2 2 2 2 3 3" xfId="34336"/>
    <cellStyle name="Entrada 4 2 2 2 2 4" xfId="9901"/>
    <cellStyle name="Entrada 4 2 2 2 2 4 2" xfId="20312"/>
    <cellStyle name="Entrada 4 2 2 2 2 4 2 2" xfId="49493"/>
    <cellStyle name="Entrada 4 2 2 2 2 4 3" xfId="39084"/>
    <cellStyle name="Entrada 4 2 2 2 2 5" xfId="14044"/>
    <cellStyle name="Entrada 4 2 2 2 2 5 2" xfId="43225"/>
    <cellStyle name="Entrada 4 2 2 2 2 6" xfId="30997"/>
    <cellStyle name="Entrada 4 2 2 2 3" xfId="2714"/>
    <cellStyle name="Entrada 4 2 2 2 3 2" xfId="5873"/>
    <cellStyle name="Entrada 4 2 2 2 3 2 2" xfId="14575"/>
    <cellStyle name="Entrada 4 2 2 2 3 2 2 2" xfId="43756"/>
    <cellStyle name="Entrada 4 2 2 2 3 2 3" xfId="35056"/>
    <cellStyle name="Entrada 4 2 2 2 3 3" xfId="9126"/>
    <cellStyle name="Entrada 4 2 2 2 3 3 2" xfId="19843"/>
    <cellStyle name="Entrada 4 2 2 2 3 3 2 2" xfId="49024"/>
    <cellStyle name="Entrada 4 2 2 2 3 3 3" xfId="38309"/>
    <cellStyle name="Entrada 4 2 2 2 3 4" xfId="16730"/>
    <cellStyle name="Entrada 4 2 2 2 3 4 2" xfId="45911"/>
    <cellStyle name="Entrada 4 2 2 2 3 5" xfId="31897"/>
    <cellStyle name="Entrada 4 2 2 2 4" xfId="4433"/>
    <cellStyle name="Entrada 4 2 2 2 4 2" xfId="12954"/>
    <cellStyle name="Entrada 4 2 2 2 4 2 2" xfId="42135"/>
    <cellStyle name="Entrada 4 2 2 2 4 3" xfId="33616"/>
    <cellStyle name="Entrada 4 2 2 2 5" xfId="8622"/>
    <cellStyle name="Entrada 4 2 2 2 5 2" xfId="19547"/>
    <cellStyle name="Entrada 4 2 2 2 5 2 2" xfId="48728"/>
    <cellStyle name="Entrada 4 2 2 2 5 3" xfId="37805"/>
    <cellStyle name="Entrada 4 2 2 2 6" xfId="11138"/>
    <cellStyle name="Entrada 4 2 2 2 6 2" xfId="40319"/>
    <cellStyle name="Entrada 4 2 2 2 7" xfId="30073"/>
    <cellStyle name="Entrada 4 2 2 3" xfId="1068"/>
    <cellStyle name="Entrada 4 2 2 3 2" xfId="1978"/>
    <cellStyle name="Entrada 4 2 2 3 2 2" xfId="3778"/>
    <cellStyle name="Entrada 4 2 2 3 2 2 2" xfId="6721"/>
    <cellStyle name="Entrada 4 2 2 3 2 2 2 2" xfId="18451"/>
    <cellStyle name="Entrada 4 2 2 3 2 2 2 2 2" xfId="47632"/>
    <cellStyle name="Entrada 4 2 2 3 2 2 2 3" xfId="35904"/>
    <cellStyle name="Entrada 4 2 2 3 2 2 3" xfId="7555"/>
    <cellStyle name="Entrada 4 2 2 3 2 2 3 2" xfId="18888"/>
    <cellStyle name="Entrada 4 2 2 3 2 2 3 2 2" xfId="48069"/>
    <cellStyle name="Entrada 4 2 2 3 2 2 3 3" xfId="36738"/>
    <cellStyle name="Entrada 4 2 2 3 2 2 4" xfId="10621"/>
    <cellStyle name="Entrada 4 2 2 3 2 2 4 2" xfId="39802"/>
    <cellStyle name="Entrada 4 2 2 3 2 2 5" xfId="32961"/>
    <cellStyle name="Entrada 4 2 2 3 2 3" xfId="5281"/>
    <cellStyle name="Entrada 4 2 2 3 2 3 2" xfId="17182"/>
    <cellStyle name="Entrada 4 2 2 3 2 3 2 2" xfId="46363"/>
    <cellStyle name="Entrada 4 2 2 3 2 3 3" xfId="34464"/>
    <cellStyle name="Entrada 4 2 2 3 2 4" xfId="8980"/>
    <cellStyle name="Entrada 4 2 2 3 2 4 2" xfId="19757"/>
    <cellStyle name="Entrada 4 2 2 3 2 4 2 2" xfId="48938"/>
    <cellStyle name="Entrada 4 2 2 3 2 4 3" xfId="38163"/>
    <cellStyle name="Entrada 4 2 2 3 2 5" xfId="12197"/>
    <cellStyle name="Entrada 4 2 2 3 2 5 2" xfId="41378"/>
    <cellStyle name="Entrada 4 2 2 3 2 6" xfId="31161"/>
    <cellStyle name="Entrada 4 2 2 3 3" xfId="2878"/>
    <cellStyle name="Entrada 4 2 2 3 3 2" xfId="6001"/>
    <cellStyle name="Entrada 4 2 2 3 3 2 2" xfId="10580"/>
    <cellStyle name="Entrada 4 2 2 3 3 2 2 2" xfId="39761"/>
    <cellStyle name="Entrada 4 2 2 3 3 2 3" xfId="35184"/>
    <cellStyle name="Entrada 4 2 2 3 3 3" xfId="10507"/>
    <cellStyle name="Entrada 4 2 2 3 3 3 2" xfId="20681"/>
    <cellStyle name="Entrada 4 2 2 3 3 3 2 2" xfId="49862"/>
    <cellStyle name="Entrada 4 2 2 3 3 3 3" xfId="39690"/>
    <cellStyle name="Entrada 4 2 2 3 3 4" xfId="16876"/>
    <cellStyle name="Entrada 4 2 2 3 3 4 2" xfId="46057"/>
    <cellStyle name="Entrada 4 2 2 3 3 5" xfId="32061"/>
    <cellStyle name="Entrada 4 2 2 3 4" xfId="4561"/>
    <cellStyle name="Entrada 4 2 2 3 4 2" xfId="12160"/>
    <cellStyle name="Entrada 4 2 2 3 4 2 2" xfId="41341"/>
    <cellStyle name="Entrada 4 2 2 3 4 3" xfId="33744"/>
    <cellStyle name="Entrada 4 2 2 3 5" xfId="8139"/>
    <cellStyle name="Entrada 4 2 2 3 5 2" xfId="19247"/>
    <cellStyle name="Entrada 4 2 2 3 5 2 2" xfId="48428"/>
    <cellStyle name="Entrada 4 2 2 3 5 3" xfId="37322"/>
    <cellStyle name="Entrada 4 2 2 3 6" xfId="17309"/>
    <cellStyle name="Entrada 4 2 2 3 6 2" xfId="46490"/>
    <cellStyle name="Entrada 4 2 2 3 7" xfId="30258"/>
    <cellStyle name="Entrada 4 2 2 4" xfId="1218"/>
    <cellStyle name="Entrada 4 2 2 4 2" xfId="2122"/>
    <cellStyle name="Entrada 4 2 2 4 2 2" xfId="3922"/>
    <cellStyle name="Entrada 4 2 2 4 2 2 2" xfId="6838"/>
    <cellStyle name="Entrada 4 2 2 4 2 2 2 2" xfId="18505"/>
    <cellStyle name="Entrada 4 2 2 4 2 2 2 2 2" xfId="47686"/>
    <cellStyle name="Entrada 4 2 2 4 2 2 2 3" xfId="36021"/>
    <cellStyle name="Entrada 4 2 2 4 2 2 3" xfId="10117"/>
    <cellStyle name="Entrada 4 2 2 4 2 2 3 2" xfId="20443"/>
    <cellStyle name="Entrada 4 2 2 4 2 2 3 2 2" xfId="49624"/>
    <cellStyle name="Entrada 4 2 2 4 2 2 3 3" xfId="39300"/>
    <cellStyle name="Entrada 4 2 2 4 2 2 4" xfId="16565"/>
    <cellStyle name="Entrada 4 2 2 4 2 2 4 2" xfId="45746"/>
    <cellStyle name="Entrada 4 2 2 4 2 2 5" xfId="33105"/>
    <cellStyle name="Entrada 4 2 2 4 2 3" xfId="5398"/>
    <cellStyle name="Entrada 4 2 2 4 2 3 2" xfId="14009"/>
    <cellStyle name="Entrada 4 2 2 4 2 3 2 2" xfId="43190"/>
    <cellStyle name="Entrada 4 2 2 4 2 3 3" xfId="34581"/>
    <cellStyle name="Entrada 4 2 2 4 2 4" xfId="10317"/>
    <cellStyle name="Entrada 4 2 2 4 2 4 2" xfId="20561"/>
    <cellStyle name="Entrada 4 2 2 4 2 4 2 2" xfId="49742"/>
    <cellStyle name="Entrada 4 2 2 4 2 4 3" xfId="39500"/>
    <cellStyle name="Entrada 4 2 2 4 2 5" xfId="12576"/>
    <cellStyle name="Entrada 4 2 2 4 2 5 2" xfId="41757"/>
    <cellStyle name="Entrada 4 2 2 4 2 6" xfId="31305"/>
    <cellStyle name="Entrada 4 2 2 4 3" xfId="3022"/>
    <cellStyle name="Entrada 4 2 2 4 3 2" xfId="6118"/>
    <cellStyle name="Entrada 4 2 2 4 3 2 2" xfId="18145"/>
    <cellStyle name="Entrada 4 2 2 4 3 2 2 2" xfId="47326"/>
    <cellStyle name="Entrada 4 2 2 4 3 2 3" xfId="35301"/>
    <cellStyle name="Entrada 4 2 2 4 3 3" xfId="9540"/>
    <cellStyle name="Entrada 4 2 2 4 3 3 2" xfId="20091"/>
    <cellStyle name="Entrada 4 2 2 4 3 3 2 2" xfId="49272"/>
    <cellStyle name="Entrada 4 2 2 4 3 3 3" xfId="38723"/>
    <cellStyle name="Entrada 4 2 2 4 3 4" xfId="17736"/>
    <cellStyle name="Entrada 4 2 2 4 3 4 2" xfId="46917"/>
    <cellStyle name="Entrada 4 2 2 4 3 5" xfId="32205"/>
    <cellStyle name="Entrada 4 2 2 4 4" xfId="4678"/>
    <cellStyle name="Entrada 4 2 2 4 4 2" xfId="14578"/>
    <cellStyle name="Entrada 4 2 2 4 4 2 2" xfId="43759"/>
    <cellStyle name="Entrada 4 2 2 4 4 3" xfId="33861"/>
    <cellStyle name="Entrada 4 2 2 4 5" xfId="10109"/>
    <cellStyle name="Entrada 4 2 2 4 5 2" xfId="20437"/>
    <cellStyle name="Entrada 4 2 2 4 5 2 2" xfId="49618"/>
    <cellStyle name="Entrada 4 2 2 4 5 3" xfId="39292"/>
    <cellStyle name="Entrada 4 2 2 4 6" xfId="10957"/>
    <cellStyle name="Entrada 4 2 2 4 6 2" xfId="40138"/>
    <cellStyle name="Entrada 4 2 2 4 7" xfId="30405"/>
    <cellStyle name="Entrada 4 2 2 5" xfId="1364"/>
    <cellStyle name="Entrada 4 2 2 5 2" xfId="2266"/>
    <cellStyle name="Entrada 4 2 2 5 2 2" xfId="4066"/>
    <cellStyle name="Entrada 4 2 2 5 2 2 2" xfId="6955"/>
    <cellStyle name="Entrada 4 2 2 5 2 2 2 2" xfId="18559"/>
    <cellStyle name="Entrada 4 2 2 5 2 2 2 2 2" xfId="47740"/>
    <cellStyle name="Entrada 4 2 2 5 2 2 2 3" xfId="36138"/>
    <cellStyle name="Entrada 4 2 2 5 2 2 3" xfId="7014"/>
    <cellStyle name="Entrada 4 2 2 5 2 2 3 2" xfId="18581"/>
    <cellStyle name="Entrada 4 2 2 5 2 2 3 2 2" xfId="47762"/>
    <cellStyle name="Entrada 4 2 2 5 2 2 3 3" xfId="36197"/>
    <cellStyle name="Entrada 4 2 2 5 2 2 4" xfId="10900"/>
    <cellStyle name="Entrada 4 2 2 5 2 2 4 2" xfId="40081"/>
    <cellStyle name="Entrada 4 2 2 5 2 2 5" xfId="33249"/>
    <cellStyle name="Entrada 4 2 2 5 2 3" xfId="5515"/>
    <cellStyle name="Entrada 4 2 2 5 2 3 2" xfId="16486"/>
    <cellStyle name="Entrada 4 2 2 5 2 3 2 2" xfId="45667"/>
    <cellStyle name="Entrada 4 2 2 5 2 3 3" xfId="34698"/>
    <cellStyle name="Entrada 4 2 2 5 2 4" xfId="7833"/>
    <cellStyle name="Entrada 4 2 2 5 2 4 2" xfId="19065"/>
    <cellStyle name="Entrada 4 2 2 5 2 4 2 2" xfId="48246"/>
    <cellStyle name="Entrada 4 2 2 5 2 4 3" xfId="37016"/>
    <cellStyle name="Entrada 4 2 2 5 2 5" xfId="14187"/>
    <cellStyle name="Entrada 4 2 2 5 2 5 2" xfId="43368"/>
    <cellStyle name="Entrada 4 2 2 5 2 6" xfId="31449"/>
    <cellStyle name="Entrada 4 2 2 5 3" xfId="3166"/>
    <cellStyle name="Entrada 4 2 2 5 3 2" xfId="6235"/>
    <cellStyle name="Entrada 4 2 2 5 3 2 2" xfId="18199"/>
    <cellStyle name="Entrada 4 2 2 5 3 2 2 2" xfId="47380"/>
    <cellStyle name="Entrada 4 2 2 5 3 2 3" xfId="35418"/>
    <cellStyle name="Entrada 4 2 2 5 3 3" xfId="7203"/>
    <cellStyle name="Entrada 4 2 2 5 3 3 2" xfId="18686"/>
    <cellStyle name="Entrada 4 2 2 5 3 3 2 2" xfId="47867"/>
    <cellStyle name="Entrada 4 2 2 5 3 3 3" xfId="36386"/>
    <cellStyle name="Entrada 4 2 2 5 3 4" xfId="12956"/>
    <cellStyle name="Entrada 4 2 2 5 3 4 2" xfId="42137"/>
    <cellStyle name="Entrada 4 2 2 5 3 5" xfId="32349"/>
    <cellStyle name="Entrada 4 2 2 5 4" xfId="4795"/>
    <cellStyle name="Entrada 4 2 2 5 4 2" xfId="10908"/>
    <cellStyle name="Entrada 4 2 2 5 4 2 2" xfId="40089"/>
    <cellStyle name="Entrada 4 2 2 5 4 3" xfId="33978"/>
    <cellStyle name="Entrada 4 2 2 5 5" xfId="8330"/>
    <cellStyle name="Entrada 4 2 2 5 5 2" xfId="19365"/>
    <cellStyle name="Entrada 4 2 2 5 5 2 2" xfId="48546"/>
    <cellStyle name="Entrada 4 2 2 5 5 3" xfId="37513"/>
    <cellStyle name="Entrada 4 2 2 5 6" xfId="12229"/>
    <cellStyle name="Entrada 4 2 2 5 6 2" xfId="41410"/>
    <cellStyle name="Entrada 4 2 2 5 7" xfId="30549"/>
    <cellStyle name="Entrada 4 2 2 6" xfId="1546"/>
    <cellStyle name="Entrada 4 2 2 6 2" xfId="3346"/>
    <cellStyle name="Entrada 4 2 2 6 2 2" xfId="6379"/>
    <cellStyle name="Entrada 4 2 2 6 2 2 2" xfId="18271"/>
    <cellStyle name="Entrada 4 2 2 6 2 2 2 2" xfId="47452"/>
    <cellStyle name="Entrada 4 2 2 6 2 2 3" xfId="35562"/>
    <cellStyle name="Entrada 4 2 2 6 2 3" xfId="9119"/>
    <cellStyle name="Entrada 4 2 2 6 2 3 2" xfId="19837"/>
    <cellStyle name="Entrada 4 2 2 6 2 3 2 2" xfId="49018"/>
    <cellStyle name="Entrada 4 2 2 6 2 3 3" xfId="38302"/>
    <cellStyle name="Entrada 4 2 2 6 2 4" xfId="12987"/>
    <cellStyle name="Entrada 4 2 2 6 2 4 2" xfId="42168"/>
    <cellStyle name="Entrada 4 2 2 6 2 5" xfId="32529"/>
    <cellStyle name="Entrada 4 2 2 6 3" xfId="4939"/>
    <cellStyle name="Entrada 4 2 2 6 3 2" xfId="15923"/>
    <cellStyle name="Entrada 4 2 2 6 3 2 2" xfId="45104"/>
    <cellStyle name="Entrada 4 2 2 6 3 3" xfId="34122"/>
    <cellStyle name="Entrada 4 2 2 6 4" xfId="10245"/>
    <cellStyle name="Entrada 4 2 2 6 4 2" xfId="20514"/>
    <cellStyle name="Entrada 4 2 2 6 4 2 2" xfId="49695"/>
    <cellStyle name="Entrada 4 2 2 6 4 3" xfId="39428"/>
    <cellStyle name="Entrada 4 2 2 6 5" xfId="10679"/>
    <cellStyle name="Entrada 4 2 2 6 5 2" xfId="39860"/>
    <cellStyle name="Entrada 4 2 2 6 6" xfId="30729"/>
    <cellStyle name="Entrada 4 2 2 7" xfId="2446"/>
    <cellStyle name="Entrada 4 2 2 7 2" xfId="5659"/>
    <cellStyle name="Entrada 4 2 2 7 2 2" xfId="16723"/>
    <cellStyle name="Entrada 4 2 2 7 2 2 2" xfId="45904"/>
    <cellStyle name="Entrada 4 2 2 7 2 3" xfId="34842"/>
    <cellStyle name="Entrada 4 2 2 7 3" xfId="9469"/>
    <cellStyle name="Entrada 4 2 2 7 3 2" xfId="20048"/>
    <cellStyle name="Entrada 4 2 2 7 3 2 2" xfId="49229"/>
    <cellStyle name="Entrada 4 2 2 7 3 3" xfId="38652"/>
    <cellStyle name="Entrada 4 2 2 7 4" xfId="14129"/>
    <cellStyle name="Entrada 4 2 2 7 4 2" xfId="43310"/>
    <cellStyle name="Entrada 4 2 2 7 5" xfId="31629"/>
    <cellStyle name="Entrada 4 2 2 8" xfId="4219"/>
    <cellStyle name="Entrada 4 2 2 8 2" xfId="11434"/>
    <cellStyle name="Entrada 4 2 2 8 2 2" xfId="40615"/>
    <cellStyle name="Entrada 4 2 2 8 3" xfId="33402"/>
    <cellStyle name="Entrada 4 2 2 9" xfId="10454"/>
    <cellStyle name="Entrada 4 2 2 9 2" xfId="20649"/>
    <cellStyle name="Entrada 4 2 2 9 2 2" xfId="49830"/>
    <cellStyle name="Entrada 4 2 2 9 3" xfId="39637"/>
    <cellStyle name="Entrada 4 2 3" xfId="786"/>
    <cellStyle name="Entrada 4 2 3 2" xfId="1724"/>
    <cellStyle name="Entrada 4 2 3 2 2" xfId="3524"/>
    <cellStyle name="Entrada 4 2 3 2 2 2" xfId="6521"/>
    <cellStyle name="Entrada 4 2 3 2 2 2 2" xfId="18361"/>
    <cellStyle name="Entrada 4 2 3 2 2 2 2 2" xfId="47542"/>
    <cellStyle name="Entrada 4 2 3 2 2 2 3" xfId="35704"/>
    <cellStyle name="Entrada 4 2 3 2 2 3" xfId="7778"/>
    <cellStyle name="Entrada 4 2 3 2 2 3 2" xfId="19030"/>
    <cellStyle name="Entrada 4 2 3 2 2 3 2 2" xfId="48211"/>
    <cellStyle name="Entrada 4 2 3 2 2 3 3" xfId="36961"/>
    <cellStyle name="Entrada 4 2 3 2 2 4" xfId="17599"/>
    <cellStyle name="Entrada 4 2 3 2 2 4 2" xfId="46780"/>
    <cellStyle name="Entrada 4 2 3 2 2 5" xfId="32707"/>
    <cellStyle name="Entrada 4 2 3 2 3" xfId="5081"/>
    <cellStyle name="Entrada 4 2 3 2 3 2" xfId="11194"/>
    <cellStyle name="Entrada 4 2 3 2 3 2 2" xfId="40375"/>
    <cellStyle name="Entrada 4 2 3 2 3 3" xfId="34264"/>
    <cellStyle name="Entrada 4 2 3 2 4" xfId="8012"/>
    <cellStyle name="Entrada 4 2 3 2 4 2" xfId="19172"/>
    <cellStyle name="Entrada 4 2 3 2 4 2 2" xfId="48353"/>
    <cellStyle name="Entrada 4 2 3 2 4 3" xfId="37195"/>
    <cellStyle name="Entrada 4 2 3 2 5" xfId="13572"/>
    <cellStyle name="Entrada 4 2 3 2 5 2" xfId="42753"/>
    <cellStyle name="Entrada 4 2 3 2 6" xfId="30907"/>
    <cellStyle name="Entrada 4 2 3 3" xfId="2624"/>
    <cellStyle name="Entrada 4 2 3 3 2" xfId="5801"/>
    <cellStyle name="Entrada 4 2 3 3 2 2" xfId="17607"/>
    <cellStyle name="Entrada 4 2 3 3 2 2 2" xfId="46788"/>
    <cellStyle name="Entrada 4 2 3 3 2 3" xfId="34984"/>
    <cellStyle name="Entrada 4 2 3 3 3" xfId="8777"/>
    <cellStyle name="Entrada 4 2 3 3 3 2" xfId="19637"/>
    <cellStyle name="Entrada 4 2 3 3 3 2 2" xfId="48818"/>
    <cellStyle name="Entrada 4 2 3 3 3 3" xfId="37960"/>
    <cellStyle name="Entrada 4 2 3 3 4" xfId="12354"/>
    <cellStyle name="Entrada 4 2 3 3 4 2" xfId="41535"/>
    <cellStyle name="Entrada 4 2 3 3 5" xfId="31807"/>
    <cellStyle name="Entrada 4 2 3 4" xfId="4361"/>
    <cellStyle name="Entrada 4 2 3 4 2" xfId="15379"/>
    <cellStyle name="Entrada 4 2 3 4 2 2" xfId="44560"/>
    <cellStyle name="Entrada 4 2 3 4 3" xfId="33544"/>
    <cellStyle name="Entrada 4 2 3 5" xfId="9409"/>
    <cellStyle name="Entrada 4 2 3 5 2" xfId="20014"/>
    <cellStyle name="Entrada 4 2 3 5 2 2" xfId="49195"/>
    <cellStyle name="Entrada 4 2 3 5 3" xfId="38592"/>
    <cellStyle name="Entrada 4 2 3 6" xfId="17134"/>
    <cellStyle name="Entrada 4 2 3 6 2" xfId="46315"/>
    <cellStyle name="Entrada 4 2 3 7" xfId="29983"/>
    <cellStyle name="Entrada 4 2 4" xfId="978"/>
    <cellStyle name="Entrada 4 2 4 2" xfId="1888"/>
    <cellStyle name="Entrada 4 2 4 2 2" xfId="3688"/>
    <cellStyle name="Entrada 4 2 4 2 2 2" xfId="6649"/>
    <cellStyle name="Entrada 4 2 4 2 2 2 2" xfId="18415"/>
    <cellStyle name="Entrada 4 2 4 2 2 2 2 2" xfId="47596"/>
    <cellStyle name="Entrada 4 2 4 2 2 2 3" xfId="35832"/>
    <cellStyle name="Entrada 4 2 4 2 2 3" xfId="9000"/>
    <cellStyle name="Entrada 4 2 4 2 2 3 2" xfId="19768"/>
    <cellStyle name="Entrada 4 2 4 2 2 3 2 2" xfId="48949"/>
    <cellStyle name="Entrada 4 2 4 2 2 3 3" xfId="38183"/>
    <cellStyle name="Entrada 4 2 4 2 2 4" xfId="14285"/>
    <cellStyle name="Entrada 4 2 4 2 2 4 2" xfId="43466"/>
    <cellStyle name="Entrada 4 2 4 2 2 5" xfId="32871"/>
    <cellStyle name="Entrada 4 2 4 2 3" xfId="5209"/>
    <cellStyle name="Entrada 4 2 4 2 3 2" xfId="13016"/>
    <cellStyle name="Entrada 4 2 4 2 3 2 2" xfId="42197"/>
    <cellStyle name="Entrada 4 2 4 2 3 3" xfId="34392"/>
    <cellStyle name="Entrada 4 2 4 2 4" xfId="7885"/>
    <cellStyle name="Entrada 4 2 4 2 4 2" xfId="19095"/>
    <cellStyle name="Entrada 4 2 4 2 4 2 2" xfId="48276"/>
    <cellStyle name="Entrada 4 2 4 2 4 3" xfId="37068"/>
    <cellStyle name="Entrada 4 2 4 2 5" xfId="13215"/>
    <cellStyle name="Entrada 4 2 4 2 5 2" xfId="42396"/>
    <cellStyle name="Entrada 4 2 4 2 6" xfId="31071"/>
    <cellStyle name="Entrada 4 2 4 3" xfId="2788"/>
    <cellStyle name="Entrada 4 2 4 3 2" xfId="5929"/>
    <cellStyle name="Entrada 4 2 4 3 2 2" xfId="10809"/>
    <cellStyle name="Entrada 4 2 4 3 2 2 2" xfId="39990"/>
    <cellStyle name="Entrada 4 2 4 3 2 3" xfId="35112"/>
    <cellStyle name="Entrada 4 2 4 3 3" xfId="8658"/>
    <cellStyle name="Entrada 4 2 4 3 3 2" xfId="19566"/>
    <cellStyle name="Entrada 4 2 4 3 3 2 2" xfId="48747"/>
    <cellStyle name="Entrada 4 2 4 3 3 3" xfId="37841"/>
    <cellStyle name="Entrada 4 2 4 3 4" xfId="16137"/>
    <cellStyle name="Entrada 4 2 4 3 4 2" xfId="45318"/>
    <cellStyle name="Entrada 4 2 4 3 5" xfId="31971"/>
    <cellStyle name="Entrada 4 2 4 4" xfId="4489"/>
    <cellStyle name="Entrada 4 2 4 4 2" xfId="14179"/>
    <cellStyle name="Entrada 4 2 4 4 2 2" xfId="43360"/>
    <cellStyle name="Entrada 4 2 4 4 3" xfId="33672"/>
    <cellStyle name="Entrada 4 2 4 5" xfId="10112"/>
    <cellStyle name="Entrada 4 2 4 5 2" xfId="20440"/>
    <cellStyle name="Entrada 4 2 4 5 2 2" xfId="49621"/>
    <cellStyle name="Entrada 4 2 4 5 3" xfId="39295"/>
    <cellStyle name="Entrada 4 2 4 6" xfId="11690"/>
    <cellStyle name="Entrada 4 2 4 6 2" xfId="40871"/>
    <cellStyle name="Entrada 4 2 4 7" xfId="30168"/>
    <cellStyle name="Entrada 4 2 5" xfId="1128"/>
    <cellStyle name="Entrada 4 2 5 2" xfId="2032"/>
    <cellStyle name="Entrada 4 2 5 2 2" xfId="3832"/>
    <cellStyle name="Entrada 4 2 5 2 2 2" xfId="6766"/>
    <cellStyle name="Entrada 4 2 5 2 2 2 2" xfId="18469"/>
    <cellStyle name="Entrada 4 2 5 2 2 2 2 2" xfId="47650"/>
    <cellStyle name="Entrada 4 2 5 2 2 2 3" xfId="35949"/>
    <cellStyle name="Entrada 4 2 5 2 2 3" xfId="8186"/>
    <cellStyle name="Entrada 4 2 5 2 2 3 2" xfId="19279"/>
    <cellStyle name="Entrada 4 2 5 2 2 3 2 2" xfId="48460"/>
    <cellStyle name="Entrada 4 2 5 2 2 3 3" xfId="37369"/>
    <cellStyle name="Entrada 4 2 5 2 2 4" xfId="12260"/>
    <cellStyle name="Entrada 4 2 5 2 2 4 2" xfId="41441"/>
    <cellStyle name="Entrada 4 2 5 2 2 5" xfId="33015"/>
    <cellStyle name="Entrada 4 2 5 2 3" xfId="5326"/>
    <cellStyle name="Entrada 4 2 5 2 3 2" xfId="17874"/>
    <cellStyle name="Entrada 4 2 5 2 3 2 2" xfId="47055"/>
    <cellStyle name="Entrada 4 2 5 2 3 3" xfId="34509"/>
    <cellStyle name="Entrada 4 2 5 2 4" xfId="7755"/>
    <cellStyle name="Entrada 4 2 5 2 4 2" xfId="19014"/>
    <cellStyle name="Entrada 4 2 5 2 4 2 2" xfId="48195"/>
    <cellStyle name="Entrada 4 2 5 2 4 3" xfId="36938"/>
    <cellStyle name="Entrada 4 2 5 2 5" xfId="11090"/>
    <cellStyle name="Entrada 4 2 5 2 5 2" xfId="40271"/>
    <cellStyle name="Entrada 4 2 5 2 6" xfId="31215"/>
    <cellStyle name="Entrada 4 2 5 3" xfId="2932"/>
    <cellStyle name="Entrada 4 2 5 3 2" xfId="6046"/>
    <cellStyle name="Entrada 4 2 5 3 2 2" xfId="10562"/>
    <cellStyle name="Entrada 4 2 5 3 2 2 2" xfId="39743"/>
    <cellStyle name="Entrada 4 2 5 3 2 3" xfId="35229"/>
    <cellStyle name="Entrada 4 2 5 3 3" xfId="8555"/>
    <cellStyle name="Entrada 4 2 5 3 3 2" xfId="19508"/>
    <cellStyle name="Entrada 4 2 5 3 3 2 2" xfId="48689"/>
    <cellStyle name="Entrada 4 2 5 3 3 3" xfId="37738"/>
    <cellStyle name="Entrada 4 2 5 3 4" xfId="17380"/>
    <cellStyle name="Entrada 4 2 5 3 4 2" xfId="46561"/>
    <cellStyle name="Entrada 4 2 5 3 5" xfId="32115"/>
    <cellStyle name="Entrada 4 2 5 4" xfId="4606"/>
    <cellStyle name="Entrada 4 2 5 4 2" xfId="16001"/>
    <cellStyle name="Entrada 4 2 5 4 2 2" xfId="45182"/>
    <cellStyle name="Entrada 4 2 5 4 3" xfId="33789"/>
    <cellStyle name="Entrada 4 2 5 5" xfId="8177"/>
    <cellStyle name="Entrada 4 2 5 5 2" xfId="19273"/>
    <cellStyle name="Entrada 4 2 5 5 2 2" xfId="48454"/>
    <cellStyle name="Entrada 4 2 5 5 3" xfId="37360"/>
    <cellStyle name="Entrada 4 2 5 6" xfId="13081"/>
    <cellStyle name="Entrada 4 2 5 6 2" xfId="42262"/>
    <cellStyle name="Entrada 4 2 5 7" xfId="30315"/>
    <cellStyle name="Entrada 4 2 6" xfId="1274"/>
    <cellStyle name="Entrada 4 2 6 2" xfId="2176"/>
    <cellStyle name="Entrada 4 2 6 2 2" xfId="3976"/>
    <cellStyle name="Entrada 4 2 6 2 2 2" xfId="6883"/>
    <cellStyle name="Entrada 4 2 6 2 2 2 2" xfId="18523"/>
    <cellStyle name="Entrada 4 2 6 2 2 2 2 2" xfId="47704"/>
    <cellStyle name="Entrada 4 2 6 2 2 2 3" xfId="36066"/>
    <cellStyle name="Entrada 4 2 6 2 2 3" xfId="7104"/>
    <cellStyle name="Entrada 4 2 6 2 2 3 2" xfId="18635"/>
    <cellStyle name="Entrada 4 2 6 2 2 3 2 2" xfId="47816"/>
    <cellStyle name="Entrada 4 2 6 2 2 3 3" xfId="36287"/>
    <cellStyle name="Entrada 4 2 6 2 2 4" xfId="15640"/>
    <cellStyle name="Entrada 4 2 6 2 2 4 2" xfId="44821"/>
    <cellStyle name="Entrada 4 2 6 2 2 5" xfId="33159"/>
    <cellStyle name="Entrada 4 2 6 2 3" xfId="5443"/>
    <cellStyle name="Entrada 4 2 6 2 3 2" xfId="12378"/>
    <cellStyle name="Entrada 4 2 6 2 3 2 2" xfId="41559"/>
    <cellStyle name="Entrada 4 2 6 2 3 3" xfId="34626"/>
    <cellStyle name="Entrada 4 2 6 2 4" xfId="8320"/>
    <cellStyle name="Entrada 4 2 6 2 4 2" xfId="19358"/>
    <cellStyle name="Entrada 4 2 6 2 4 2 2" xfId="48539"/>
    <cellStyle name="Entrada 4 2 6 2 4 3" xfId="37503"/>
    <cellStyle name="Entrada 4 2 6 2 5" xfId="11380"/>
    <cellStyle name="Entrada 4 2 6 2 5 2" xfId="40561"/>
    <cellStyle name="Entrada 4 2 6 2 6" xfId="31359"/>
    <cellStyle name="Entrada 4 2 6 3" xfId="3076"/>
    <cellStyle name="Entrada 4 2 6 3 2" xfId="6163"/>
    <cellStyle name="Entrada 4 2 6 3 2 2" xfId="18163"/>
    <cellStyle name="Entrada 4 2 6 3 2 2 2" xfId="47344"/>
    <cellStyle name="Entrada 4 2 6 3 2 3" xfId="35346"/>
    <cellStyle name="Entrada 4 2 6 3 3" xfId="9849"/>
    <cellStyle name="Entrada 4 2 6 3 3 2" xfId="20279"/>
    <cellStyle name="Entrada 4 2 6 3 3 2 2" xfId="49460"/>
    <cellStyle name="Entrada 4 2 6 3 3 3" xfId="39032"/>
    <cellStyle name="Entrada 4 2 6 3 4" xfId="17059"/>
    <cellStyle name="Entrada 4 2 6 3 4 2" xfId="46240"/>
    <cellStyle name="Entrada 4 2 6 3 5" xfId="32259"/>
    <cellStyle name="Entrada 4 2 6 4" xfId="4723"/>
    <cellStyle name="Entrada 4 2 6 4 2" xfId="13622"/>
    <cellStyle name="Entrada 4 2 6 4 2 2" xfId="42803"/>
    <cellStyle name="Entrada 4 2 6 4 3" xfId="33906"/>
    <cellStyle name="Entrada 4 2 6 5" xfId="9153"/>
    <cellStyle name="Entrada 4 2 6 5 2" xfId="19860"/>
    <cellStyle name="Entrada 4 2 6 5 2 2" xfId="49041"/>
    <cellStyle name="Entrada 4 2 6 5 3" xfId="38336"/>
    <cellStyle name="Entrada 4 2 6 6" xfId="16837"/>
    <cellStyle name="Entrada 4 2 6 6 2" xfId="46018"/>
    <cellStyle name="Entrada 4 2 6 7" xfId="30459"/>
    <cellStyle name="Entrada 4 2 7" xfId="1456"/>
    <cellStyle name="Entrada 4 2 7 2" xfId="3256"/>
    <cellStyle name="Entrada 4 2 7 2 2" xfId="6307"/>
    <cellStyle name="Entrada 4 2 7 2 2 2" xfId="18235"/>
    <cellStyle name="Entrada 4 2 7 2 2 2 2" xfId="47416"/>
    <cellStyle name="Entrada 4 2 7 2 2 3" xfId="35490"/>
    <cellStyle name="Entrada 4 2 7 2 3" xfId="8770"/>
    <cellStyle name="Entrada 4 2 7 2 3 2" xfId="19632"/>
    <cellStyle name="Entrada 4 2 7 2 3 2 2" xfId="48813"/>
    <cellStyle name="Entrada 4 2 7 2 3 3" xfId="37953"/>
    <cellStyle name="Entrada 4 2 7 2 4" xfId="17033"/>
    <cellStyle name="Entrada 4 2 7 2 4 2" xfId="46214"/>
    <cellStyle name="Entrada 4 2 7 2 5" xfId="32439"/>
    <cellStyle name="Entrada 4 2 7 3" xfId="4867"/>
    <cellStyle name="Entrada 4 2 7 3 2" xfId="13851"/>
    <cellStyle name="Entrada 4 2 7 3 2 2" xfId="43032"/>
    <cellStyle name="Entrada 4 2 7 3 3" xfId="34050"/>
    <cellStyle name="Entrada 4 2 7 4" xfId="7928"/>
    <cellStyle name="Entrada 4 2 7 4 2" xfId="19116"/>
    <cellStyle name="Entrada 4 2 7 4 2 2" xfId="48297"/>
    <cellStyle name="Entrada 4 2 7 4 3" xfId="37111"/>
    <cellStyle name="Entrada 4 2 7 5" xfId="11027"/>
    <cellStyle name="Entrada 4 2 7 5 2" xfId="40208"/>
    <cellStyle name="Entrada 4 2 7 6" xfId="30639"/>
    <cellStyle name="Entrada 4 2 8" xfId="2356"/>
    <cellStyle name="Entrada 4 2 8 2" xfId="5587"/>
    <cellStyle name="Entrada 4 2 8 2 2" xfId="12637"/>
    <cellStyle name="Entrada 4 2 8 2 2 2" xfId="41818"/>
    <cellStyle name="Entrada 4 2 8 2 3" xfId="34770"/>
    <cellStyle name="Entrada 4 2 8 3" xfId="7653"/>
    <cellStyle name="Entrada 4 2 8 3 2" xfId="18950"/>
    <cellStyle name="Entrada 4 2 8 3 2 2" xfId="48131"/>
    <cellStyle name="Entrada 4 2 8 3 3" xfId="36836"/>
    <cellStyle name="Entrada 4 2 8 4" xfId="11408"/>
    <cellStyle name="Entrada 4 2 8 4 2" xfId="40589"/>
    <cellStyle name="Entrada 4 2 8 5" xfId="31539"/>
    <cellStyle name="Entrada 4 2 9" xfId="4147"/>
    <cellStyle name="Entrada 4 2 9 2" xfId="12766"/>
    <cellStyle name="Entrada 4 2 9 2 2" xfId="41947"/>
    <cellStyle name="Entrada 4 2 9 3" xfId="33330"/>
    <cellStyle name="Entrada 4 3" xfId="478"/>
    <cellStyle name="Entrada 4 3 10" xfId="11385"/>
    <cellStyle name="Entrada 4 3 10 2" xfId="40566"/>
    <cellStyle name="Entrada 4 3 11" xfId="29684"/>
    <cellStyle name="Entrada 4 3 2" xfId="831"/>
    <cellStyle name="Entrada 4 3 2 2" xfId="1769"/>
    <cellStyle name="Entrada 4 3 2 2 2" xfId="3569"/>
    <cellStyle name="Entrada 4 3 2 2 2 2" xfId="6557"/>
    <cellStyle name="Entrada 4 3 2 2 2 2 2" xfId="18379"/>
    <cellStyle name="Entrada 4 3 2 2 2 2 2 2" xfId="47560"/>
    <cellStyle name="Entrada 4 3 2 2 2 2 3" xfId="35740"/>
    <cellStyle name="Entrada 4 3 2 2 2 3" xfId="8268"/>
    <cellStyle name="Entrada 4 3 2 2 2 3 2" xfId="19324"/>
    <cellStyle name="Entrada 4 3 2 2 2 3 2 2" xfId="48505"/>
    <cellStyle name="Entrada 4 3 2 2 2 3 3" xfId="37451"/>
    <cellStyle name="Entrada 4 3 2 2 2 4" xfId="17220"/>
    <cellStyle name="Entrada 4 3 2 2 2 4 2" xfId="46401"/>
    <cellStyle name="Entrada 4 3 2 2 2 5" xfId="32752"/>
    <cellStyle name="Entrada 4 3 2 2 3" xfId="5117"/>
    <cellStyle name="Entrada 4 3 2 2 3 2" xfId="17772"/>
    <cellStyle name="Entrada 4 3 2 2 3 2 2" xfId="46953"/>
    <cellStyle name="Entrada 4 3 2 2 3 3" xfId="34300"/>
    <cellStyle name="Entrada 4 3 2 2 4" xfId="7502"/>
    <cellStyle name="Entrada 4 3 2 2 4 2" xfId="18855"/>
    <cellStyle name="Entrada 4 3 2 2 4 2 2" xfId="48036"/>
    <cellStyle name="Entrada 4 3 2 2 4 3" xfId="36685"/>
    <cellStyle name="Entrada 4 3 2 2 5" xfId="11338"/>
    <cellStyle name="Entrada 4 3 2 2 5 2" xfId="40519"/>
    <cellStyle name="Entrada 4 3 2 2 6" xfId="30952"/>
    <cellStyle name="Entrada 4 3 2 3" xfId="2669"/>
    <cellStyle name="Entrada 4 3 2 3 2" xfId="5837"/>
    <cellStyle name="Entrada 4 3 2 3 2 2" xfId="14880"/>
    <cellStyle name="Entrada 4 3 2 3 2 2 2" xfId="44061"/>
    <cellStyle name="Entrada 4 3 2 3 2 3" xfId="35020"/>
    <cellStyle name="Entrada 4 3 2 3 3" xfId="8407"/>
    <cellStyle name="Entrada 4 3 2 3 3 2" xfId="19411"/>
    <cellStyle name="Entrada 4 3 2 3 3 2 2" xfId="48592"/>
    <cellStyle name="Entrada 4 3 2 3 3 3" xfId="37590"/>
    <cellStyle name="Entrada 4 3 2 3 4" xfId="16232"/>
    <cellStyle name="Entrada 4 3 2 3 4 2" xfId="45413"/>
    <cellStyle name="Entrada 4 3 2 3 5" xfId="31852"/>
    <cellStyle name="Entrada 4 3 2 4" xfId="4397"/>
    <cellStyle name="Entrada 4 3 2 4 2" xfId="13280"/>
    <cellStyle name="Entrada 4 3 2 4 2 2" xfId="42461"/>
    <cellStyle name="Entrada 4 3 2 4 3" xfId="33580"/>
    <cellStyle name="Entrada 4 3 2 5" xfId="8796"/>
    <cellStyle name="Entrada 4 3 2 5 2" xfId="19649"/>
    <cellStyle name="Entrada 4 3 2 5 2 2" xfId="48830"/>
    <cellStyle name="Entrada 4 3 2 5 3" xfId="37979"/>
    <cellStyle name="Entrada 4 3 2 6" xfId="16203"/>
    <cellStyle name="Entrada 4 3 2 6 2" xfId="45384"/>
    <cellStyle name="Entrada 4 3 2 7" xfId="30028"/>
    <cellStyle name="Entrada 4 3 3" xfId="1023"/>
    <cellStyle name="Entrada 4 3 3 2" xfId="1933"/>
    <cellStyle name="Entrada 4 3 3 2 2" xfId="3733"/>
    <cellStyle name="Entrada 4 3 3 2 2 2" xfId="6685"/>
    <cellStyle name="Entrada 4 3 3 2 2 2 2" xfId="18433"/>
    <cellStyle name="Entrada 4 3 3 2 2 2 2 2" xfId="47614"/>
    <cellStyle name="Entrada 4 3 3 2 2 2 3" xfId="35868"/>
    <cellStyle name="Entrada 4 3 3 2 2 3" xfId="8109"/>
    <cellStyle name="Entrada 4 3 3 2 2 3 2" xfId="19227"/>
    <cellStyle name="Entrada 4 3 3 2 2 3 2 2" xfId="48408"/>
    <cellStyle name="Entrada 4 3 3 2 2 3 3" xfId="37292"/>
    <cellStyle name="Entrada 4 3 3 2 2 4" xfId="10648"/>
    <cellStyle name="Entrada 4 3 3 2 2 4 2" xfId="39829"/>
    <cellStyle name="Entrada 4 3 3 2 2 5" xfId="32916"/>
    <cellStyle name="Entrada 4 3 3 2 3" xfId="5245"/>
    <cellStyle name="Entrada 4 3 3 2 3 2" xfId="17892"/>
    <cellStyle name="Entrada 4 3 3 2 3 2 2" xfId="47073"/>
    <cellStyle name="Entrada 4 3 3 2 3 3" xfId="34428"/>
    <cellStyle name="Entrada 4 3 3 2 4" xfId="7632"/>
    <cellStyle name="Entrada 4 3 3 2 4 2" xfId="18937"/>
    <cellStyle name="Entrada 4 3 3 2 4 2 2" xfId="48118"/>
    <cellStyle name="Entrada 4 3 3 2 4 3" xfId="36815"/>
    <cellStyle name="Entrada 4 3 3 2 5" xfId="15694"/>
    <cellStyle name="Entrada 4 3 3 2 5 2" xfId="44875"/>
    <cellStyle name="Entrada 4 3 3 2 6" xfId="31116"/>
    <cellStyle name="Entrada 4 3 3 3" xfId="2833"/>
    <cellStyle name="Entrada 4 3 3 3 2" xfId="5965"/>
    <cellStyle name="Entrada 4 3 3 3 2 2" xfId="10598"/>
    <cellStyle name="Entrada 4 3 3 3 2 2 2" xfId="39779"/>
    <cellStyle name="Entrada 4 3 3 3 2 3" xfId="35148"/>
    <cellStyle name="Entrada 4 3 3 3 3" xfId="8452"/>
    <cellStyle name="Entrada 4 3 3 3 3 2" xfId="19443"/>
    <cellStyle name="Entrada 4 3 3 3 3 2 2" xfId="48624"/>
    <cellStyle name="Entrada 4 3 3 3 3 3" xfId="37635"/>
    <cellStyle name="Entrada 4 3 3 3 4" xfId="12037"/>
    <cellStyle name="Entrada 4 3 3 3 4 2" xfId="41218"/>
    <cellStyle name="Entrada 4 3 3 3 5" xfId="32016"/>
    <cellStyle name="Entrada 4 3 3 4" xfId="4525"/>
    <cellStyle name="Entrada 4 3 3 4 2" xfId="12262"/>
    <cellStyle name="Entrada 4 3 3 4 2 2" xfId="41443"/>
    <cellStyle name="Entrada 4 3 3 4 3" xfId="33708"/>
    <cellStyle name="Entrada 4 3 3 5" xfId="9029"/>
    <cellStyle name="Entrada 4 3 3 5 2" xfId="19782"/>
    <cellStyle name="Entrada 4 3 3 5 2 2" xfId="48963"/>
    <cellStyle name="Entrada 4 3 3 5 3" xfId="38212"/>
    <cellStyle name="Entrada 4 3 3 6" xfId="12103"/>
    <cellStyle name="Entrada 4 3 3 6 2" xfId="41284"/>
    <cellStyle name="Entrada 4 3 3 7" xfId="30213"/>
    <cellStyle name="Entrada 4 3 4" xfId="1173"/>
    <cellStyle name="Entrada 4 3 4 2" xfId="2077"/>
    <cellStyle name="Entrada 4 3 4 2 2" xfId="3877"/>
    <cellStyle name="Entrada 4 3 4 2 2 2" xfId="6802"/>
    <cellStyle name="Entrada 4 3 4 2 2 2 2" xfId="18487"/>
    <cellStyle name="Entrada 4 3 4 2 2 2 2 2" xfId="47668"/>
    <cellStyle name="Entrada 4 3 4 2 2 2 3" xfId="35985"/>
    <cellStyle name="Entrada 4 3 4 2 2 3" xfId="8026"/>
    <cellStyle name="Entrada 4 3 4 2 2 3 2" xfId="19181"/>
    <cellStyle name="Entrada 4 3 4 2 2 3 2 2" xfId="48362"/>
    <cellStyle name="Entrada 4 3 4 2 2 3 3" xfId="37209"/>
    <cellStyle name="Entrada 4 3 4 2 2 4" xfId="16618"/>
    <cellStyle name="Entrada 4 3 4 2 2 4 2" xfId="45799"/>
    <cellStyle name="Entrada 4 3 4 2 2 5" xfId="33060"/>
    <cellStyle name="Entrada 4 3 4 2 3" xfId="5362"/>
    <cellStyle name="Entrada 4 3 4 2 3 2" xfId="14320"/>
    <cellStyle name="Entrada 4 3 4 2 3 2 2" xfId="43501"/>
    <cellStyle name="Entrada 4 3 4 2 3 3" xfId="34545"/>
    <cellStyle name="Entrada 4 3 4 2 4" xfId="8245"/>
    <cellStyle name="Entrada 4 3 4 2 4 2" xfId="19310"/>
    <cellStyle name="Entrada 4 3 4 2 4 2 2" xfId="48491"/>
    <cellStyle name="Entrada 4 3 4 2 4 3" xfId="37428"/>
    <cellStyle name="Entrada 4 3 4 2 5" xfId="14049"/>
    <cellStyle name="Entrada 4 3 4 2 5 2" xfId="43230"/>
    <cellStyle name="Entrada 4 3 4 2 6" xfId="31260"/>
    <cellStyle name="Entrada 4 3 4 3" xfId="2977"/>
    <cellStyle name="Entrada 4 3 4 3 2" xfId="6082"/>
    <cellStyle name="Entrada 4 3 4 3 2 2" xfId="10544"/>
    <cellStyle name="Entrada 4 3 4 3 2 2 2" xfId="39725"/>
    <cellStyle name="Entrada 4 3 4 3 2 3" xfId="35265"/>
    <cellStyle name="Entrada 4 3 4 3 3" xfId="9775"/>
    <cellStyle name="Entrada 4 3 4 3 3 2" xfId="20236"/>
    <cellStyle name="Entrada 4 3 4 3 3 2 2" xfId="49417"/>
    <cellStyle name="Entrada 4 3 4 3 3 3" xfId="38958"/>
    <cellStyle name="Entrada 4 3 4 3 4" xfId="16768"/>
    <cellStyle name="Entrada 4 3 4 3 4 2" xfId="45949"/>
    <cellStyle name="Entrada 4 3 4 3 5" xfId="32160"/>
    <cellStyle name="Entrada 4 3 4 4" xfId="4642"/>
    <cellStyle name="Entrada 4 3 4 4 2" xfId="14883"/>
    <cellStyle name="Entrada 4 3 4 4 2 2" xfId="44064"/>
    <cellStyle name="Entrada 4 3 4 4 3" xfId="33825"/>
    <cellStyle name="Entrada 4 3 4 5" xfId="10289"/>
    <cellStyle name="Entrada 4 3 4 5 2" xfId="20543"/>
    <cellStyle name="Entrada 4 3 4 5 2 2" xfId="49724"/>
    <cellStyle name="Entrada 4 3 4 5 3" xfId="39472"/>
    <cellStyle name="Entrada 4 3 4 6" xfId="16950"/>
    <cellStyle name="Entrada 4 3 4 6 2" xfId="46131"/>
    <cellStyle name="Entrada 4 3 4 7" xfId="30360"/>
    <cellStyle name="Entrada 4 3 5" xfId="1319"/>
    <cellStyle name="Entrada 4 3 5 2" xfId="2221"/>
    <cellStyle name="Entrada 4 3 5 2 2" xfId="4021"/>
    <cellStyle name="Entrada 4 3 5 2 2 2" xfId="6919"/>
    <cellStyle name="Entrada 4 3 5 2 2 2 2" xfId="18541"/>
    <cellStyle name="Entrada 4 3 5 2 2 2 2 2" xfId="47722"/>
    <cellStyle name="Entrada 4 3 5 2 2 2 3" xfId="36102"/>
    <cellStyle name="Entrada 4 3 5 2 2 3" xfId="7059"/>
    <cellStyle name="Entrada 4 3 5 2 2 3 2" xfId="18608"/>
    <cellStyle name="Entrada 4 3 5 2 2 3 2 2" xfId="47789"/>
    <cellStyle name="Entrada 4 3 5 2 2 3 3" xfId="36242"/>
    <cellStyle name="Entrada 4 3 5 2 2 4" xfId="10616"/>
    <cellStyle name="Entrada 4 3 5 2 2 4 2" xfId="39797"/>
    <cellStyle name="Entrada 4 3 5 2 2 5" xfId="33204"/>
    <cellStyle name="Entrada 4 3 5 2 3" xfId="5479"/>
    <cellStyle name="Entrada 4 3 5 2 3 2" xfId="17547"/>
    <cellStyle name="Entrada 4 3 5 2 3 2 2" xfId="46728"/>
    <cellStyle name="Entrada 4 3 5 2 3 3" xfId="34662"/>
    <cellStyle name="Entrada 4 3 5 2 4" xfId="10393"/>
    <cellStyle name="Entrada 4 3 5 2 4 2" xfId="20610"/>
    <cellStyle name="Entrada 4 3 5 2 4 2 2" xfId="49791"/>
    <cellStyle name="Entrada 4 3 5 2 4 3" xfId="39576"/>
    <cellStyle name="Entrada 4 3 5 2 5" xfId="15138"/>
    <cellStyle name="Entrada 4 3 5 2 5 2" xfId="44319"/>
    <cellStyle name="Entrada 4 3 5 2 6" xfId="31404"/>
    <cellStyle name="Entrada 4 3 5 3" xfId="3121"/>
    <cellStyle name="Entrada 4 3 5 3 2" xfId="6199"/>
    <cellStyle name="Entrada 4 3 5 3 2 2" xfId="18181"/>
    <cellStyle name="Entrada 4 3 5 3 2 2 2" xfId="47362"/>
    <cellStyle name="Entrada 4 3 5 3 2 3" xfId="35382"/>
    <cellStyle name="Entrada 4 3 5 3 3" xfId="9616"/>
    <cellStyle name="Entrada 4 3 5 3 3 2" xfId="20140"/>
    <cellStyle name="Entrada 4 3 5 3 3 2 2" xfId="49321"/>
    <cellStyle name="Entrada 4 3 5 3 3 3" xfId="38799"/>
    <cellStyle name="Entrada 4 3 5 3 4" xfId="16106"/>
    <cellStyle name="Entrada 4 3 5 3 4 2" xfId="45287"/>
    <cellStyle name="Entrada 4 3 5 3 5" xfId="32304"/>
    <cellStyle name="Entrada 4 3 5 4" xfId="4759"/>
    <cellStyle name="Entrada 4 3 5 4 2" xfId="10916"/>
    <cellStyle name="Entrada 4 3 5 4 2 2" xfId="40097"/>
    <cellStyle name="Entrada 4 3 5 4 3" xfId="33942"/>
    <cellStyle name="Entrada 4 3 5 5" xfId="8535"/>
    <cellStyle name="Entrada 4 3 5 5 2" xfId="19497"/>
    <cellStyle name="Entrada 4 3 5 5 2 2" xfId="48678"/>
    <cellStyle name="Entrada 4 3 5 5 3" xfId="37718"/>
    <cellStyle name="Entrada 4 3 5 6" xfId="11970"/>
    <cellStyle name="Entrada 4 3 5 6 2" xfId="41151"/>
    <cellStyle name="Entrada 4 3 5 7" xfId="30504"/>
    <cellStyle name="Entrada 4 3 6" xfId="1501"/>
    <cellStyle name="Entrada 4 3 6 2" xfId="3301"/>
    <cellStyle name="Entrada 4 3 6 2 2" xfId="6343"/>
    <cellStyle name="Entrada 4 3 6 2 2 2" xfId="18253"/>
    <cellStyle name="Entrada 4 3 6 2 2 2 2" xfId="47434"/>
    <cellStyle name="Entrada 4 3 6 2 2 3" xfId="35526"/>
    <cellStyle name="Entrada 4 3 6 2 3" xfId="8423"/>
    <cellStyle name="Entrada 4 3 6 2 3 2" xfId="19424"/>
    <cellStyle name="Entrada 4 3 6 2 3 2 2" xfId="48605"/>
    <cellStyle name="Entrada 4 3 6 2 3 3" xfId="37606"/>
    <cellStyle name="Entrada 4 3 6 2 4" xfId="17266"/>
    <cellStyle name="Entrada 4 3 6 2 4 2" xfId="46447"/>
    <cellStyle name="Entrada 4 3 6 2 5" xfId="32484"/>
    <cellStyle name="Entrada 4 3 6 3" xfId="4903"/>
    <cellStyle name="Entrada 4 3 6 3 2" xfId="13565"/>
    <cellStyle name="Entrada 4 3 6 3 2 2" xfId="42746"/>
    <cellStyle name="Entrada 4 3 6 3 3" xfId="34086"/>
    <cellStyle name="Entrada 4 3 6 4" xfId="7396"/>
    <cellStyle name="Entrada 4 3 6 4 2" xfId="18792"/>
    <cellStyle name="Entrada 4 3 6 4 2 2" xfId="47973"/>
    <cellStyle name="Entrada 4 3 6 4 3" xfId="36579"/>
    <cellStyle name="Entrada 4 3 6 5" xfId="10720"/>
    <cellStyle name="Entrada 4 3 6 5 2" xfId="39901"/>
    <cellStyle name="Entrada 4 3 6 6" xfId="30684"/>
    <cellStyle name="Entrada 4 3 7" xfId="2401"/>
    <cellStyle name="Entrada 4 3 7 2" xfId="5623"/>
    <cellStyle name="Entrada 4 3 7 2 2" xfId="12312"/>
    <cellStyle name="Entrada 4 3 7 2 2 2" xfId="41493"/>
    <cellStyle name="Entrada 4 3 7 2 3" xfId="34806"/>
    <cellStyle name="Entrada 4 3 7 3" xfId="7257"/>
    <cellStyle name="Entrada 4 3 7 3 2" xfId="18717"/>
    <cellStyle name="Entrada 4 3 7 3 2 2" xfId="47898"/>
    <cellStyle name="Entrada 4 3 7 3 3" xfId="36440"/>
    <cellStyle name="Entrada 4 3 7 4" xfId="15085"/>
    <cellStyle name="Entrada 4 3 7 4 2" xfId="44266"/>
    <cellStyle name="Entrada 4 3 7 5" xfId="31584"/>
    <cellStyle name="Entrada 4 3 8" xfId="4183"/>
    <cellStyle name="Entrada 4 3 8 2" xfId="11798"/>
    <cellStyle name="Entrada 4 3 8 2 2" xfId="40979"/>
    <cellStyle name="Entrada 4 3 8 3" xfId="33366"/>
    <cellStyle name="Entrada 4 3 9" xfId="7407"/>
    <cellStyle name="Entrada 4 3 9 2" xfId="18798"/>
    <cellStyle name="Entrada 4 3 9 2 2" xfId="47979"/>
    <cellStyle name="Entrada 4 3 9 3" xfId="36590"/>
    <cellStyle name="Entrada 4 4" xfId="660"/>
    <cellStyle name="Entrada 4 4 2" xfId="1652"/>
    <cellStyle name="Entrada 4 4 2 2" xfId="3452"/>
    <cellStyle name="Entrada 4 4 2 2 2" xfId="6467"/>
    <cellStyle name="Entrada 4 4 2 2 2 2" xfId="18334"/>
    <cellStyle name="Entrada 4 4 2 2 2 2 2" xfId="47515"/>
    <cellStyle name="Entrada 4 4 2 2 2 3" xfId="35650"/>
    <cellStyle name="Entrada 4 4 2 2 3" xfId="9952"/>
    <cellStyle name="Entrada 4 4 2 2 3 2" xfId="20341"/>
    <cellStyle name="Entrada 4 4 2 2 3 2 2" xfId="49522"/>
    <cellStyle name="Entrada 4 4 2 2 3 3" xfId="39135"/>
    <cellStyle name="Entrada 4 4 2 2 4" xfId="13141"/>
    <cellStyle name="Entrada 4 4 2 2 4 2" xfId="42322"/>
    <cellStyle name="Entrada 4 4 2 2 5" xfId="32635"/>
    <cellStyle name="Entrada 4 4 2 3" xfId="5027"/>
    <cellStyle name="Entrada 4 4 2 3 2" xfId="12255"/>
    <cellStyle name="Entrada 4 4 2 3 2 2" xfId="41436"/>
    <cellStyle name="Entrada 4 4 2 3 3" xfId="34210"/>
    <cellStyle name="Entrada 4 4 2 4" xfId="7722"/>
    <cellStyle name="Entrada 4 4 2 4 2" xfId="18995"/>
    <cellStyle name="Entrada 4 4 2 4 2 2" xfId="48176"/>
    <cellStyle name="Entrada 4 4 2 4 3" xfId="36905"/>
    <cellStyle name="Entrada 4 4 2 5" xfId="16781"/>
    <cellStyle name="Entrada 4 4 2 5 2" xfId="45962"/>
    <cellStyle name="Entrada 4 4 2 6" xfId="30835"/>
    <cellStyle name="Entrada 4 4 3" xfId="2552"/>
    <cellStyle name="Entrada 4 4 3 2" xfId="5747"/>
    <cellStyle name="Entrada 4 4 3 2 2" xfId="17572"/>
    <cellStyle name="Entrada 4 4 3 2 2 2" xfId="46753"/>
    <cellStyle name="Entrada 4 4 3 2 3" xfId="34930"/>
    <cellStyle name="Entrada 4 4 3 3" xfId="8522"/>
    <cellStyle name="Entrada 4 4 3 3 2" xfId="19488"/>
    <cellStyle name="Entrada 4 4 3 3 2 2" xfId="48669"/>
    <cellStyle name="Entrada 4 4 3 3 3" xfId="37705"/>
    <cellStyle name="Entrada 4 4 3 4" xfId="14618"/>
    <cellStyle name="Entrada 4 4 3 4 2" xfId="43799"/>
    <cellStyle name="Entrada 4 4 3 5" xfId="31735"/>
    <cellStyle name="Entrada 4 4 4" xfId="4307"/>
    <cellStyle name="Entrada 4 4 4 2" xfId="13515"/>
    <cellStyle name="Entrada 4 4 4 2 2" xfId="42696"/>
    <cellStyle name="Entrada 4 4 4 3" xfId="33490"/>
    <cellStyle name="Entrada 4 4 5" xfId="9876"/>
    <cellStyle name="Entrada 4 4 5 2" xfId="20295"/>
    <cellStyle name="Entrada 4 4 5 2 2" xfId="49476"/>
    <cellStyle name="Entrada 4 4 5 3" xfId="39059"/>
    <cellStyle name="Entrada 4 4 6" xfId="11692"/>
    <cellStyle name="Entrada 4 4 6 2" xfId="40873"/>
    <cellStyle name="Entrada 4 4 7" xfId="29863"/>
    <cellStyle name="Entrada 4 5" xfId="617"/>
    <cellStyle name="Entrada 4 5 2" xfId="1609"/>
    <cellStyle name="Entrada 4 5 2 2" xfId="3409"/>
    <cellStyle name="Entrada 4 5 2 2 2" xfId="6424"/>
    <cellStyle name="Entrada 4 5 2 2 2 2" xfId="18291"/>
    <cellStyle name="Entrada 4 5 2 2 2 2 2" xfId="47472"/>
    <cellStyle name="Entrada 4 5 2 2 2 3" xfId="35607"/>
    <cellStyle name="Entrada 4 5 2 2 3" xfId="8270"/>
    <cellStyle name="Entrada 4 5 2 2 3 2" xfId="19326"/>
    <cellStyle name="Entrada 4 5 2 2 3 2 2" xfId="48507"/>
    <cellStyle name="Entrada 4 5 2 2 3 3" xfId="37453"/>
    <cellStyle name="Entrada 4 5 2 2 4" xfId="13461"/>
    <cellStyle name="Entrada 4 5 2 2 4 2" xfId="42642"/>
    <cellStyle name="Entrada 4 5 2 2 5" xfId="32592"/>
    <cellStyle name="Entrada 4 5 2 3" xfId="4984"/>
    <cellStyle name="Entrada 4 5 2 3 2" xfId="15053"/>
    <cellStyle name="Entrada 4 5 2 3 2 2" xfId="44234"/>
    <cellStyle name="Entrada 4 5 2 3 3" xfId="34167"/>
    <cellStyle name="Entrada 4 5 2 4" xfId="7500"/>
    <cellStyle name="Entrada 4 5 2 4 2" xfId="18853"/>
    <cellStyle name="Entrada 4 5 2 4 2 2" xfId="48034"/>
    <cellStyle name="Entrada 4 5 2 4 3" xfId="36683"/>
    <cellStyle name="Entrada 4 5 2 5" xfId="12271"/>
    <cellStyle name="Entrada 4 5 2 5 2" xfId="41452"/>
    <cellStyle name="Entrada 4 5 2 6" xfId="30792"/>
    <cellStyle name="Entrada 4 5 3" xfId="2509"/>
    <cellStyle name="Entrada 4 5 3 2" xfId="5704"/>
    <cellStyle name="Entrada 4 5 3 2 2" xfId="17789"/>
    <cellStyle name="Entrada 4 5 3 2 2 2" xfId="46970"/>
    <cellStyle name="Entrada 4 5 3 2 3" xfId="34887"/>
    <cellStyle name="Entrada 4 5 3 3" xfId="8405"/>
    <cellStyle name="Entrada 4 5 3 3 2" xfId="19409"/>
    <cellStyle name="Entrada 4 5 3 3 2 2" xfId="48590"/>
    <cellStyle name="Entrada 4 5 3 3 3" xfId="37588"/>
    <cellStyle name="Entrada 4 5 3 4" xfId="11748"/>
    <cellStyle name="Entrada 4 5 3 4 2" xfId="40929"/>
    <cellStyle name="Entrada 4 5 3 5" xfId="31692"/>
    <cellStyle name="Entrada 4 5 4" xfId="4264"/>
    <cellStyle name="Entrada 4 5 4 2" xfId="18124"/>
    <cellStyle name="Entrada 4 5 4 2 2" xfId="47305"/>
    <cellStyle name="Entrada 4 5 4 3" xfId="33447"/>
    <cellStyle name="Entrada 4 5 5" xfId="7732"/>
    <cellStyle name="Entrada 4 5 5 2" xfId="19000"/>
    <cellStyle name="Entrada 4 5 5 2 2" xfId="48181"/>
    <cellStyle name="Entrada 4 5 5 3" xfId="36915"/>
    <cellStyle name="Entrada 4 5 6" xfId="16443"/>
    <cellStyle name="Entrada 4 5 6 2" xfId="45624"/>
    <cellStyle name="Entrada 4 5 7" xfId="29820"/>
    <cellStyle name="Entrada 4 6" xfId="669"/>
    <cellStyle name="Entrada 4 6 2" xfId="1661"/>
    <cellStyle name="Entrada 4 6 2 2" xfId="3461"/>
    <cellStyle name="Entrada 4 6 2 2 2" xfId="6476"/>
    <cellStyle name="Entrada 4 6 2 2 2 2" xfId="18343"/>
    <cellStyle name="Entrada 4 6 2 2 2 2 2" xfId="47524"/>
    <cellStyle name="Entrada 4 6 2 2 2 3" xfId="35659"/>
    <cellStyle name="Entrada 4 6 2 2 3" xfId="8425"/>
    <cellStyle name="Entrada 4 6 2 2 3 2" xfId="19425"/>
    <cellStyle name="Entrada 4 6 2 2 3 2 2" xfId="48606"/>
    <cellStyle name="Entrada 4 6 2 2 3 3" xfId="37608"/>
    <cellStyle name="Entrada 4 6 2 2 4" xfId="14183"/>
    <cellStyle name="Entrada 4 6 2 2 4 2" xfId="43364"/>
    <cellStyle name="Entrada 4 6 2 2 5" xfId="32644"/>
    <cellStyle name="Entrada 4 6 2 3" xfId="5036"/>
    <cellStyle name="Entrada 4 6 2 3 2" xfId="13427"/>
    <cellStyle name="Entrada 4 6 2 3 2 2" xfId="42608"/>
    <cellStyle name="Entrada 4 6 2 3 3" xfId="34219"/>
    <cellStyle name="Entrada 4 6 2 4" xfId="10400"/>
    <cellStyle name="Entrada 4 6 2 4 2" xfId="20614"/>
    <cellStyle name="Entrada 4 6 2 4 2 2" xfId="49795"/>
    <cellStyle name="Entrada 4 6 2 4 3" xfId="39583"/>
    <cellStyle name="Entrada 4 6 2 5" xfId="13115"/>
    <cellStyle name="Entrada 4 6 2 5 2" xfId="42296"/>
    <cellStyle name="Entrada 4 6 2 6" xfId="30844"/>
    <cellStyle name="Entrada 4 6 3" xfId="2561"/>
    <cellStyle name="Entrada 4 6 3 2" xfId="5756"/>
    <cellStyle name="Entrada 4 6 3 2 2" xfId="12155"/>
    <cellStyle name="Entrada 4 6 3 2 2 2" xfId="41336"/>
    <cellStyle name="Entrada 4 6 3 2 3" xfId="34939"/>
    <cellStyle name="Entrada 4 6 3 3" xfId="9623"/>
    <cellStyle name="Entrada 4 6 3 3 2" xfId="20144"/>
    <cellStyle name="Entrada 4 6 3 3 2 2" xfId="49325"/>
    <cellStyle name="Entrada 4 6 3 3 3" xfId="38806"/>
    <cellStyle name="Entrada 4 6 3 4" xfId="16570"/>
    <cellStyle name="Entrada 4 6 3 4 2" xfId="45751"/>
    <cellStyle name="Entrada 4 6 3 5" xfId="31744"/>
    <cellStyle name="Entrada 4 6 4" xfId="4316"/>
    <cellStyle name="Entrada 4 6 4 2" xfId="11621"/>
    <cellStyle name="Entrada 4 6 4 2 2" xfId="40802"/>
    <cellStyle name="Entrada 4 6 4 3" xfId="33499"/>
    <cellStyle name="Entrada 4 6 5" xfId="8062"/>
    <cellStyle name="Entrada 4 6 5 2" xfId="19199"/>
    <cellStyle name="Entrada 4 6 5 2 2" xfId="48380"/>
    <cellStyle name="Entrada 4 6 5 3" xfId="37245"/>
    <cellStyle name="Entrada 4 6 6" xfId="16835"/>
    <cellStyle name="Entrada 4 6 6 2" xfId="46016"/>
    <cellStyle name="Entrada 4 6 7" xfId="29872"/>
    <cellStyle name="Entrada 4 7" xfId="608"/>
    <cellStyle name="Entrada 4 7 2" xfId="1600"/>
    <cellStyle name="Entrada 4 7 2 2" xfId="3400"/>
    <cellStyle name="Entrada 4 7 2 2 2" xfId="6415"/>
    <cellStyle name="Entrada 4 7 2 2 2 2" xfId="18282"/>
    <cellStyle name="Entrada 4 7 2 2 2 2 2" xfId="47463"/>
    <cellStyle name="Entrada 4 7 2 2 2 3" xfId="35598"/>
    <cellStyle name="Entrada 4 7 2 2 3" xfId="8689"/>
    <cellStyle name="Entrada 4 7 2 2 3 2" xfId="19583"/>
    <cellStyle name="Entrada 4 7 2 2 3 2 2" xfId="48764"/>
    <cellStyle name="Entrada 4 7 2 2 3 3" xfId="37872"/>
    <cellStyle name="Entrada 4 7 2 2 4" xfId="12317"/>
    <cellStyle name="Entrada 4 7 2 2 4 2" xfId="41498"/>
    <cellStyle name="Entrada 4 7 2 2 5" xfId="32583"/>
    <cellStyle name="Entrada 4 7 2 3" xfId="4975"/>
    <cellStyle name="Entrada 4 7 2 3 2" xfId="10749"/>
    <cellStyle name="Entrada 4 7 2 3 2 2" xfId="39930"/>
    <cellStyle name="Entrada 4 7 2 3 3" xfId="34158"/>
    <cellStyle name="Entrada 4 7 2 4" xfId="8631"/>
    <cellStyle name="Entrada 4 7 2 4 2" xfId="19551"/>
    <cellStyle name="Entrada 4 7 2 4 2 2" xfId="48732"/>
    <cellStyle name="Entrada 4 7 2 4 3" xfId="37814"/>
    <cellStyle name="Entrada 4 7 2 5" xfId="16714"/>
    <cellStyle name="Entrada 4 7 2 5 2" xfId="45895"/>
    <cellStyle name="Entrada 4 7 2 6" xfId="30783"/>
    <cellStyle name="Entrada 4 7 3" xfId="2500"/>
    <cellStyle name="Entrada 4 7 3 2" xfId="5695"/>
    <cellStyle name="Entrada 4 7 3 2 2" xfId="16089"/>
    <cellStyle name="Entrada 4 7 3 2 2 2" xfId="45270"/>
    <cellStyle name="Entrada 4 7 3 2 3" xfId="34878"/>
    <cellStyle name="Entrada 4 7 3 3" xfId="9932"/>
    <cellStyle name="Entrada 4 7 3 3 2" xfId="20330"/>
    <cellStyle name="Entrada 4 7 3 3 2 2" xfId="49511"/>
    <cellStyle name="Entrada 4 7 3 3 3" xfId="39115"/>
    <cellStyle name="Entrada 4 7 3 4" xfId="13628"/>
    <cellStyle name="Entrada 4 7 3 4 2" xfId="42809"/>
    <cellStyle name="Entrada 4 7 3 5" xfId="31683"/>
    <cellStyle name="Entrada 4 7 4" xfId="4255"/>
    <cellStyle name="Entrada 4 7 4 2" xfId="11083"/>
    <cellStyle name="Entrada 4 7 4 2 2" xfId="40264"/>
    <cellStyle name="Entrada 4 7 4 3" xfId="33438"/>
    <cellStyle name="Entrada 4 7 5" xfId="8797"/>
    <cellStyle name="Entrada 4 7 5 2" xfId="19650"/>
    <cellStyle name="Entrada 4 7 5 2 2" xfId="48831"/>
    <cellStyle name="Entrada 4 7 5 3" xfId="37980"/>
    <cellStyle name="Entrada 4 7 6" xfId="12480"/>
    <cellStyle name="Entrada 4 7 6 2" xfId="41661"/>
    <cellStyle name="Entrada 4 7 7" xfId="29811"/>
    <cellStyle name="Entrada 4 8" xfId="1411"/>
    <cellStyle name="Entrada 4 8 2" xfId="3211"/>
    <cellStyle name="Entrada 4 8 2 2" xfId="6271"/>
    <cellStyle name="Entrada 4 8 2 2 2" xfId="18217"/>
    <cellStyle name="Entrada 4 8 2 2 2 2" xfId="47398"/>
    <cellStyle name="Entrada 4 8 2 2 3" xfId="35454"/>
    <cellStyle name="Entrada 4 8 2 3" xfId="9183"/>
    <cellStyle name="Entrada 4 8 2 3 2" xfId="19877"/>
    <cellStyle name="Entrada 4 8 2 3 2 2" xfId="49058"/>
    <cellStyle name="Entrada 4 8 2 3 3" xfId="38366"/>
    <cellStyle name="Entrada 4 8 2 4" xfId="16624"/>
    <cellStyle name="Entrada 4 8 2 4 2" xfId="45805"/>
    <cellStyle name="Entrada 4 8 2 5" xfId="32394"/>
    <cellStyle name="Entrada 4 8 3" xfId="4831"/>
    <cellStyle name="Entrada 4 8 3 2" xfId="16306"/>
    <cellStyle name="Entrada 4 8 3 2 2" xfId="45487"/>
    <cellStyle name="Entrada 4 8 3 3" xfId="34014"/>
    <cellStyle name="Entrada 4 8 4" xfId="8093"/>
    <cellStyle name="Entrada 4 8 4 2" xfId="19216"/>
    <cellStyle name="Entrada 4 8 4 2 2" xfId="48397"/>
    <cellStyle name="Entrada 4 8 4 3" xfId="37276"/>
    <cellStyle name="Entrada 4 8 5" xfId="12356"/>
    <cellStyle name="Entrada 4 8 5 2" xfId="41537"/>
    <cellStyle name="Entrada 4 8 6" xfId="30594"/>
    <cellStyle name="Entrada 4 9" xfId="2311"/>
    <cellStyle name="Entrada 4 9 2" xfId="5551"/>
    <cellStyle name="Entrada 4 9 2 2" xfId="14817"/>
    <cellStyle name="Entrada 4 9 2 2 2" xfId="43998"/>
    <cellStyle name="Entrada 4 9 2 3" xfId="34734"/>
    <cellStyle name="Entrada 4 9 3" xfId="8225"/>
    <cellStyle name="Entrada 4 9 3 2" xfId="19299"/>
    <cellStyle name="Entrada 4 9 3 2 2" xfId="48480"/>
    <cellStyle name="Entrada 4 9 3 3" xfId="37408"/>
    <cellStyle name="Entrada 4 9 4" xfId="13497"/>
    <cellStyle name="Entrada 4 9 4 2" xfId="42678"/>
    <cellStyle name="Entrada 4 9 5" xfId="31494"/>
    <cellStyle name="Entrada 5" xfId="259"/>
    <cellStyle name="Entrada 5 10" xfId="4112"/>
    <cellStyle name="Entrada 5 10 2" xfId="11933"/>
    <cellStyle name="Entrada 5 10 2 2" xfId="41114"/>
    <cellStyle name="Entrada 5 10 3" xfId="33295"/>
    <cellStyle name="Entrada 5 11" xfId="12281"/>
    <cellStyle name="Entrada 5 11 2" xfId="41462"/>
    <cellStyle name="Entrada 5 12" xfId="29572"/>
    <cellStyle name="Entrada 5 2" xfId="434"/>
    <cellStyle name="Entrada 5 2 10" xfId="9351"/>
    <cellStyle name="Entrada 5 2 10 2" xfId="19981"/>
    <cellStyle name="Entrada 5 2 10 2 2" xfId="49162"/>
    <cellStyle name="Entrada 5 2 10 3" xfId="38534"/>
    <cellStyle name="Entrada 5 2 11" xfId="15901"/>
    <cellStyle name="Entrada 5 2 11 2" xfId="45082"/>
    <cellStyle name="Entrada 5 2 12" xfId="58777"/>
    <cellStyle name="Entrada 5 2 13" xfId="29640"/>
    <cellStyle name="Entrada 5 2 2" xfId="524"/>
    <cellStyle name="Entrada 5 2 2 10" xfId="11972"/>
    <cellStyle name="Entrada 5 2 2 10 2" xfId="41153"/>
    <cellStyle name="Entrada 5 2 2 11" xfId="29730"/>
    <cellStyle name="Entrada 5 2 2 2" xfId="877"/>
    <cellStyle name="Entrada 5 2 2 2 2" xfId="1815"/>
    <cellStyle name="Entrada 5 2 2 2 2 2" xfId="3615"/>
    <cellStyle name="Entrada 5 2 2 2 2 2 2" xfId="6594"/>
    <cellStyle name="Entrada 5 2 2 2 2 2 2 2" xfId="18398"/>
    <cellStyle name="Entrada 5 2 2 2 2 2 2 2 2" xfId="47579"/>
    <cellStyle name="Entrada 5 2 2 2 2 2 2 3" xfId="35777"/>
    <cellStyle name="Entrada 5 2 2 2 2 2 3" xfId="9190"/>
    <cellStyle name="Entrada 5 2 2 2 2 2 3 2" xfId="19882"/>
    <cellStyle name="Entrada 5 2 2 2 2 2 3 2 2" xfId="49063"/>
    <cellStyle name="Entrada 5 2 2 2 2 2 3 3" xfId="38373"/>
    <cellStyle name="Entrada 5 2 2 2 2 2 4" xfId="12542"/>
    <cellStyle name="Entrada 5 2 2 2 2 2 4 2" xfId="41723"/>
    <cellStyle name="Entrada 5 2 2 2 2 2 5" xfId="32798"/>
    <cellStyle name="Entrada 5 2 2 2 2 3" xfId="5154"/>
    <cellStyle name="Entrada 5 2 2 2 2 3 2" xfId="13458"/>
    <cellStyle name="Entrada 5 2 2 2 2 3 2 2" xfId="42639"/>
    <cellStyle name="Entrada 5 2 2 2 2 3 3" xfId="34337"/>
    <cellStyle name="Entrada 5 2 2 2 2 4" xfId="8364"/>
    <cellStyle name="Entrada 5 2 2 2 2 4 2" xfId="19386"/>
    <cellStyle name="Entrada 5 2 2 2 2 4 2 2" xfId="48567"/>
    <cellStyle name="Entrada 5 2 2 2 2 4 3" xfId="37547"/>
    <cellStyle name="Entrada 5 2 2 2 2 5" xfId="16904"/>
    <cellStyle name="Entrada 5 2 2 2 2 5 2" xfId="46085"/>
    <cellStyle name="Entrada 5 2 2 2 2 6" xfId="30998"/>
    <cellStyle name="Entrada 5 2 2 2 3" xfId="2715"/>
    <cellStyle name="Entrada 5 2 2 2 3 2" xfId="5874"/>
    <cellStyle name="Entrada 5 2 2 2 3 2 2" xfId="12187"/>
    <cellStyle name="Entrada 5 2 2 2 3 2 2 2" xfId="41368"/>
    <cellStyle name="Entrada 5 2 2 2 3 2 3" xfId="35057"/>
    <cellStyle name="Entrada 5 2 2 2 3 3" xfId="9892"/>
    <cellStyle name="Entrada 5 2 2 2 3 3 2" xfId="20305"/>
    <cellStyle name="Entrada 5 2 2 2 3 3 2 2" xfId="49486"/>
    <cellStyle name="Entrada 5 2 2 2 3 3 3" xfId="39075"/>
    <cellStyle name="Entrada 5 2 2 2 3 4" xfId="13820"/>
    <cellStyle name="Entrada 5 2 2 2 3 4 2" xfId="43001"/>
    <cellStyle name="Entrada 5 2 2 2 3 5" xfId="31898"/>
    <cellStyle name="Entrada 5 2 2 2 4" xfId="4434"/>
    <cellStyle name="Entrada 5 2 2 2 4 2" xfId="11680"/>
    <cellStyle name="Entrada 5 2 2 2 4 2 2" xfId="40861"/>
    <cellStyle name="Entrada 5 2 2 2 4 3" xfId="33617"/>
    <cellStyle name="Entrada 5 2 2 2 5" xfId="7816"/>
    <cellStyle name="Entrada 5 2 2 2 5 2" xfId="19053"/>
    <cellStyle name="Entrada 5 2 2 2 5 2 2" xfId="48234"/>
    <cellStyle name="Entrada 5 2 2 2 5 3" xfId="36999"/>
    <cellStyle name="Entrada 5 2 2 2 6" xfId="15881"/>
    <cellStyle name="Entrada 5 2 2 2 6 2" xfId="45062"/>
    <cellStyle name="Entrada 5 2 2 2 7" xfId="30074"/>
    <cellStyle name="Entrada 5 2 2 3" xfId="1069"/>
    <cellStyle name="Entrada 5 2 2 3 2" xfId="1979"/>
    <cellStyle name="Entrada 5 2 2 3 2 2" xfId="3779"/>
    <cellStyle name="Entrada 5 2 2 3 2 2 2" xfId="6722"/>
    <cellStyle name="Entrada 5 2 2 3 2 2 2 2" xfId="18452"/>
    <cellStyle name="Entrada 5 2 2 3 2 2 2 2 2" xfId="47633"/>
    <cellStyle name="Entrada 5 2 2 3 2 2 2 3" xfId="35905"/>
    <cellStyle name="Entrada 5 2 2 3 2 2 3" xfId="9208"/>
    <cellStyle name="Entrada 5 2 2 3 2 2 3 2" xfId="19894"/>
    <cellStyle name="Entrada 5 2 2 3 2 2 3 2 2" xfId="49075"/>
    <cellStyle name="Entrada 5 2 2 3 2 2 3 3" xfId="38391"/>
    <cellStyle name="Entrada 5 2 2 3 2 2 4" xfId="10620"/>
    <cellStyle name="Entrada 5 2 2 3 2 2 4 2" xfId="39801"/>
    <cellStyle name="Entrada 5 2 2 3 2 2 5" xfId="32962"/>
    <cellStyle name="Entrada 5 2 2 3 2 3" xfId="5282"/>
    <cellStyle name="Entrada 5 2 2 3 2 3 2" xfId="15106"/>
    <cellStyle name="Entrada 5 2 2 3 2 3 2 2" xfId="44287"/>
    <cellStyle name="Entrada 5 2 2 3 2 3 3" xfId="34465"/>
    <cellStyle name="Entrada 5 2 2 3 2 4" xfId="8206"/>
    <cellStyle name="Entrada 5 2 2 3 2 4 2" xfId="19289"/>
    <cellStyle name="Entrada 5 2 2 3 2 4 2 2" xfId="48470"/>
    <cellStyle name="Entrada 5 2 2 3 2 4 3" xfId="37389"/>
    <cellStyle name="Entrada 5 2 2 3 2 5" xfId="17832"/>
    <cellStyle name="Entrada 5 2 2 3 2 5 2" xfId="47013"/>
    <cellStyle name="Entrada 5 2 2 3 2 6" xfId="31162"/>
    <cellStyle name="Entrada 5 2 2 3 3" xfId="2879"/>
    <cellStyle name="Entrada 5 2 2 3 3 2" xfId="6002"/>
    <cellStyle name="Entrada 5 2 2 3 3 2 2" xfId="10579"/>
    <cellStyle name="Entrada 5 2 2 3 3 2 2 2" xfId="39760"/>
    <cellStyle name="Entrada 5 2 2 3 3 2 3" xfId="35185"/>
    <cellStyle name="Entrada 5 2 2 3 3 3" xfId="8971"/>
    <cellStyle name="Entrada 5 2 2 3 3 3 2" xfId="19752"/>
    <cellStyle name="Entrada 5 2 2 3 3 3 2 2" xfId="48933"/>
    <cellStyle name="Entrada 5 2 2 3 3 3 3" xfId="38154"/>
    <cellStyle name="Entrada 5 2 2 3 3 4" xfId="15084"/>
    <cellStyle name="Entrada 5 2 2 3 3 4 2" xfId="44265"/>
    <cellStyle name="Entrada 5 2 2 3 3 5" xfId="32062"/>
    <cellStyle name="Entrada 5 2 2 3 4" xfId="4562"/>
    <cellStyle name="Entrada 5 2 2 3 4 2" xfId="16860"/>
    <cellStyle name="Entrada 5 2 2 3 4 2 2" xfId="46041"/>
    <cellStyle name="Entrada 5 2 2 3 4 3" xfId="33745"/>
    <cellStyle name="Entrada 5 2 2 3 5" xfId="9562"/>
    <cellStyle name="Entrada 5 2 2 3 5 2" xfId="20105"/>
    <cellStyle name="Entrada 5 2 2 3 5 2 2" xfId="49286"/>
    <cellStyle name="Entrada 5 2 2 3 5 3" xfId="38745"/>
    <cellStyle name="Entrada 5 2 2 3 6" xfId="12680"/>
    <cellStyle name="Entrada 5 2 2 3 6 2" xfId="41861"/>
    <cellStyle name="Entrada 5 2 2 3 7" xfId="30259"/>
    <cellStyle name="Entrada 5 2 2 4" xfId="1219"/>
    <cellStyle name="Entrada 5 2 2 4 2" xfId="2123"/>
    <cellStyle name="Entrada 5 2 2 4 2 2" xfId="3923"/>
    <cellStyle name="Entrada 5 2 2 4 2 2 2" xfId="6839"/>
    <cellStyle name="Entrada 5 2 2 4 2 2 2 2" xfId="18506"/>
    <cellStyle name="Entrada 5 2 2 4 2 2 2 2 2" xfId="47687"/>
    <cellStyle name="Entrada 5 2 2 4 2 2 2 3" xfId="36022"/>
    <cellStyle name="Entrada 5 2 2 4 2 2 3" xfId="8582"/>
    <cellStyle name="Entrada 5 2 2 4 2 2 3 2" xfId="19524"/>
    <cellStyle name="Entrada 5 2 2 4 2 2 3 2 2" xfId="48705"/>
    <cellStyle name="Entrada 5 2 2 4 2 2 3 3" xfId="37765"/>
    <cellStyle name="Entrada 5 2 2 4 2 2 4" xfId="13765"/>
    <cellStyle name="Entrada 5 2 2 4 2 2 4 2" xfId="42946"/>
    <cellStyle name="Entrada 5 2 2 4 2 2 5" xfId="33106"/>
    <cellStyle name="Entrada 5 2 2 4 2 3" xfId="5399"/>
    <cellStyle name="Entrada 5 2 2 4 2 3 2" xfId="16875"/>
    <cellStyle name="Entrada 5 2 2 4 2 3 2 2" xfId="46056"/>
    <cellStyle name="Entrada 5 2 2 4 2 3 3" xfId="34582"/>
    <cellStyle name="Entrada 5 2 2 4 2 4" xfId="8781"/>
    <cellStyle name="Entrada 5 2 2 4 2 4 2" xfId="19639"/>
    <cellStyle name="Entrada 5 2 2 4 2 4 2 2" xfId="48820"/>
    <cellStyle name="Entrada 5 2 2 4 2 4 3" xfId="37964"/>
    <cellStyle name="Entrada 5 2 2 4 2 5" xfId="16770"/>
    <cellStyle name="Entrada 5 2 2 4 2 5 2" xfId="45951"/>
    <cellStyle name="Entrada 5 2 2 4 2 6" xfId="31306"/>
    <cellStyle name="Entrada 5 2 2 4 3" xfId="3023"/>
    <cellStyle name="Entrada 5 2 2 4 3 2" xfId="6119"/>
    <cellStyle name="Entrada 5 2 2 4 3 2 2" xfId="18146"/>
    <cellStyle name="Entrada 5 2 2 4 3 2 2 2" xfId="47327"/>
    <cellStyle name="Entrada 5 2 2 4 3 2 3" xfId="35302"/>
    <cellStyle name="Entrada 5 2 2 4 3 3" xfId="10308"/>
    <cellStyle name="Entrada 5 2 2 4 3 3 2" xfId="20555"/>
    <cellStyle name="Entrada 5 2 2 4 3 3 2 2" xfId="49736"/>
    <cellStyle name="Entrada 5 2 2 4 3 3 3" xfId="39491"/>
    <cellStyle name="Entrada 5 2 2 4 3 4" xfId="15209"/>
    <cellStyle name="Entrada 5 2 2 4 3 4 2" xfId="44390"/>
    <cellStyle name="Entrada 5 2 2 4 3 5" xfId="32206"/>
    <cellStyle name="Entrada 5 2 2 4 4" xfId="4679"/>
    <cellStyle name="Entrada 5 2 2 4 4 2" xfId="12190"/>
    <cellStyle name="Entrada 5 2 2 4 4 2 2" xfId="41371"/>
    <cellStyle name="Entrada 5 2 2 4 4 3" xfId="33862"/>
    <cellStyle name="Entrada 5 2 2 4 5" xfId="8574"/>
    <cellStyle name="Entrada 5 2 2 4 5 2" xfId="19517"/>
    <cellStyle name="Entrada 5 2 2 4 5 2 2" xfId="48698"/>
    <cellStyle name="Entrada 5 2 2 4 5 3" xfId="37757"/>
    <cellStyle name="Entrada 5 2 2 4 6" xfId="16965"/>
    <cellStyle name="Entrada 5 2 2 4 6 2" xfId="46146"/>
    <cellStyle name="Entrada 5 2 2 4 7" xfId="30406"/>
    <cellStyle name="Entrada 5 2 2 5" xfId="1365"/>
    <cellStyle name="Entrada 5 2 2 5 2" xfId="2267"/>
    <cellStyle name="Entrada 5 2 2 5 2 2" xfId="4067"/>
    <cellStyle name="Entrada 5 2 2 5 2 2 2" xfId="6956"/>
    <cellStyle name="Entrada 5 2 2 5 2 2 2 2" xfId="18560"/>
    <cellStyle name="Entrada 5 2 2 5 2 2 2 2 2" xfId="47741"/>
    <cellStyle name="Entrada 5 2 2 5 2 2 2 3" xfId="36139"/>
    <cellStyle name="Entrada 5 2 2 5 2 2 3" xfId="7013"/>
    <cellStyle name="Entrada 5 2 2 5 2 2 3 2" xfId="18580"/>
    <cellStyle name="Entrada 5 2 2 5 2 2 3 2 2" xfId="47761"/>
    <cellStyle name="Entrada 5 2 2 5 2 2 3 3" xfId="36196"/>
    <cellStyle name="Entrada 5 2 2 5 2 2 4" xfId="18049"/>
    <cellStyle name="Entrada 5 2 2 5 2 2 4 2" xfId="47230"/>
    <cellStyle name="Entrada 5 2 2 5 2 2 5" xfId="33250"/>
    <cellStyle name="Entrada 5 2 2 5 2 3" xfId="5516"/>
    <cellStyle name="Entrada 5 2 2 5 2 3 2" xfId="14547"/>
    <cellStyle name="Entrada 5 2 2 5 2 3 2 2" xfId="43728"/>
    <cellStyle name="Entrada 5 2 2 5 2 3 3" xfId="34699"/>
    <cellStyle name="Entrada 5 2 2 5 2 4" xfId="7667"/>
    <cellStyle name="Entrada 5 2 2 5 2 4 2" xfId="18959"/>
    <cellStyle name="Entrada 5 2 2 5 2 4 2 2" xfId="48140"/>
    <cellStyle name="Entrada 5 2 2 5 2 4 3" xfId="36850"/>
    <cellStyle name="Entrada 5 2 2 5 2 5" xfId="16626"/>
    <cellStyle name="Entrada 5 2 2 5 2 5 2" xfId="45807"/>
    <cellStyle name="Entrada 5 2 2 5 2 6" xfId="31450"/>
    <cellStyle name="Entrada 5 2 2 5 3" xfId="3167"/>
    <cellStyle name="Entrada 5 2 2 5 3 2" xfId="6236"/>
    <cellStyle name="Entrada 5 2 2 5 3 2 2" xfId="18200"/>
    <cellStyle name="Entrada 5 2 2 5 3 2 2 2" xfId="47381"/>
    <cellStyle name="Entrada 5 2 2 5 3 2 3" xfId="35419"/>
    <cellStyle name="Entrada 5 2 2 5 3 3" xfId="7202"/>
    <cellStyle name="Entrada 5 2 2 5 3 3 2" xfId="18685"/>
    <cellStyle name="Entrada 5 2 2 5 3 3 2 2" xfId="47866"/>
    <cellStyle name="Entrada 5 2 2 5 3 3 3" xfId="36385"/>
    <cellStyle name="Entrada 5 2 2 5 3 4" xfId="11682"/>
    <cellStyle name="Entrada 5 2 2 5 3 4 2" xfId="40863"/>
    <cellStyle name="Entrada 5 2 2 5 3 5" xfId="32350"/>
    <cellStyle name="Entrada 5 2 2 5 4" xfId="4796"/>
    <cellStyle name="Entrada 5 2 2 5 4 2" xfId="17966"/>
    <cellStyle name="Entrada 5 2 2 5 4 2 2" xfId="47147"/>
    <cellStyle name="Entrada 5 2 2 5 4 3" xfId="33979"/>
    <cellStyle name="Entrada 5 2 2 5 5" xfId="9715"/>
    <cellStyle name="Entrada 5 2 2 5 5 2" xfId="20200"/>
    <cellStyle name="Entrada 5 2 2 5 5 2 2" xfId="49381"/>
    <cellStyle name="Entrada 5 2 2 5 5 3" xfId="38898"/>
    <cellStyle name="Entrada 5 2 2 5 6" xfId="15851"/>
    <cellStyle name="Entrada 5 2 2 5 6 2" xfId="45032"/>
    <cellStyle name="Entrada 5 2 2 5 7" xfId="30550"/>
    <cellStyle name="Entrada 5 2 2 6" xfId="1547"/>
    <cellStyle name="Entrada 5 2 2 6 2" xfId="3347"/>
    <cellStyle name="Entrada 5 2 2 6 2 2" xfId="6380"/>
    <cellStyle name="Entrada 5 2 2 6 2 2 2" xfId="18272"/>
    <cellStyle name="Entrada 5 2 2 6 2 2 2 2" xfId="47453"/>
    <cellStyle name="Entrada 5 2 2 6 2 2 3" xfId="35563"/>
    <cellStyle name="Entrada 5 2 2 6 2 3" xfId="9885"/>
    <cellStyle name="Entrada 5 2 2 6 2 3 2" xfId="20299"/>
    <cellStyle name="Entrada 5 2 2 6 2 3 2 2" xfId="49480"/>
    <cellStyle name="Entrada 5 2 2 6 2 3 3" xfId="39068"/>
    <cellStyle name="Entrada 5 2 2 6 2 4" xfId="11713"/>
    <cellStyle name="Entrada 5 2 2 6 2 4 2" xfId="40894"/>
    <cellStyle name="Entrada 5 2 2 6 2 5" xfId="32530"/>
    <cellStyle name="Entrada 5 2 2 6 3" xfId="4940"/>
    <cellStyle name="Entrada 5 2 2 6 3 2" xfId="14936"/>
    <cellStyle name="Entrada 5 2 2 6 3 2 2" xfId="44117"/>
    <cellStyle name="Entrada 5 2 2 6 3 3" xfId="34123"/>
    <cellStyle name="Entrada 5 2 2 6 4" xfId="8709"/>
    <cellStyle name="Entrada 5 2 2 6 4 2" xfId="19592"/>
    <cellStyle name="Entrada 5 2 2 6 4 2 2" xfId="48773"/>
    <cellStyle name="Entrada 5 2 2 6 4 3" xfId="37892"/>
    <cellStyle name="Entrada 5 2 2 6 5" xfId="10678"/>
    <cellStyle name="Entrada 5 2 2 6 5 2" xfId="39859"/>
    <cellStyle name="Entrada 5 2 2 6 6" xfId="30730"/>
    <cellStyle name="Entrada 5 2 2 7" xfId="2447"/>
    <cellStyle name="Entrada 5 2 2 7 2" xfId="5660"/>
    <cellStyle name="Entrada 5 2 2 7 2 2" xfId="14374"/>
    <cellStyle name="Entrada 5 2 2 7 2 2 2" xfId="43555"/>
    <cellStyle name="Entrada 5 2 2 7 2 3" xfId="34843"/>
    <cellStyle name="Entrada 5 2 2 7 3" xfId="10236"/>
    <cellStyle name="Entrada 5 2 2 7 3 2" xfId="20509"/>
    <cellStyle name="Entrada 5 2 2 7 3 2 2" xfId="49690"/>
    <cellStyle name="Entrada 5 2 2 7 3 3" xfId="39419"/>
    <cellStyle name="Entrada 5 2 2 7 4" xfId="15890"/>
    <cellStyle name="Entrada 5 2 2 7 4 2" xfId="45071"/>
    <cellStyle name="Entrada 5 2 2 7 5" xfId="31630"/>
    <cellStyle name="Entrada 5 2 2 8" xfId="4220"/>
    <cellStyle name="Entrada 5 2 2 8 2" xfId="17389"/>
    <cellStyle name="Entrada 5 2 2 8 2 2" xfId="46570"/>
    <cellStyle name="Entrada 5 2 2 8 3" xfId="33403"/>
    <cellStyle name="Entrada 5 2 2 9" xfId="8918"/>
    <cellStyle name="Entrada 5 2 2 9 2" xfId="19720"/>
    <cellStyle name="Entrada 5 2 2 9 2 2" xfId="48901"/>
    <cellStyle name="Entrada 5 2 2 9 3" xfId="38101"/>
    <cellStyle name="Entrada 5 2 3" xfId="787"/>
    <cellStyle name="Entrada 5 2 3 2" xfId="1725"/>
    <cellStyle name="Entrada 5 2 3 2 2" xfId="3525"/>
    <cellStyle name="Entrada 5 2 3 2 2 2" xfId="6522"/>
    <cellStyle name="Entrada 5 2 3 2 2 2 2" xfId="18362"/>
    <cellStyle name="Entrada 5 2 3 2 2 2 2 2" xfId="47543"/>
    <cellStyle name="Entrada 5 2 3 2 2 2 3" xfId="35705"/>
    <cellStyle name="Entrada 5 2 3 2 2 3" xfId="7451"/>
    <cellStyle name="Entrada 5 2 3 2 2 3 2" xfId="18827"/>
    <cellStyle name="Entrada 5 2 3 2 2 3 2 2" xfId="48008"/>
    <cellStyle name="Entrada 5 2 3 2 2 3 3" xfId="36634"/>
    <cellStyle name="Entrada 5 2 3 2 2 4" xfId="15203"/>
    <cellStyle name="Entrada 5 2 3 2 2 4 2" xfId="44384"/>
    <cellStyle name="Entrada 5 2 3 2 2 5" xfId="32708"/>
    <cellStyle name="Entrada 5 2 3 2 3" xfId="5082"/>
    <cellStyle name="Entrada 5 2 3 2 3 2" xfId="17103"/>
    <cellStyle name="Entrada 5 2 3 2 3 2 2" xfId="46284"/>
    <cellStyle name="Entrada 5 2 3 2 3 3" xfId="34265"/>
    <cellStyle name="Entrada 5 2 3 2 4" xfId="9437"/>
    <cellStyle name="Entrada 5 2 3 2 4 2" xfId="20034"/>
    <cellStyle name="Entrada 5 2 3 2 4 2 2" xfId="49215"/>
    <cellStyle name="Entrada 5 2 3 2 4 3" xfId="38620"/>
    <cellStyle name="Entrada 5 2 3 2 5" xfId="16233"/>
    <cellStyle name="Entrada 5 2 3 2 5 2" xfId="45414"/>
    <cellStyle name="Entrada 5 2 3 2 6" xfId="30908"/>
    <cellStyle name="Entrada 5 2 3 3" xfId="2625"/>
    <cellStyle name="Entrada 5 2 3 3 2" xfId="5802"/>
    <cellStyle name="Entrada 5 2 3 3 2 2" xfId="14715"/>
    <cellStyle name="Entrada 5 2 3 3 2 2 2" xfId="43896"/>
    <cellStyle name="Entrada 5 2 3 3 2 3" xfId="34985"/>
    <cellStyle name="Entrada 5 2 3 3 3" xfId="8003"/>
    <cellStyle name="Entrada 5 2 3 3 3 2" xfId="19166"/>
    <cellStyle name="Entrada 5 2 3 3 3 2 2" xfId="48347"/>
    <cellStyle name="Entrada 5 2 3 3 3 3" xfId="37186"/>
    <cellStyle name="Entrada 5 2 3 3 4" xfId="17221"/>
    <cellStyle name="Entrada 5 2 3 3 4 2" xfId="46402"/>
    <cellStyle name="Entrada 5 2 3 3 5" xfId="31808"/>
    <cellStyle name="Entrada 5 2 3 4" xfId="4362"/>
    <cellStyle name="Entrada 5 2 3 4 2" xfId="13109"/>
    <cellStyle name="Entrada 5 2 3 4 2 2" xfId="42290"/>
    <cellStyle name="Entrada 5 2 3 4 3" xfId="33545"/>
    <cellStyle name="Entrada 5 2 3 5" xfId="10176"/>
    <cellStyle name="Entrada 5 2 3 5 2" xfId="20475"/>
    <cellStyle name="Entrada 5 2 3 5 2 2" xfId="49656"/>
    <cellStyle name="Entrada 5 2 3 5 3" xfId="39359"/>
    <cellStyle name="Entrada 5 2 3 6" xfId="12775"/>
    <cellStyle name="Entrada 5 2 3 6 2" xfId="41956"/>
    <cellStyle name="Entrada 5 2 3 7" xfId="29984"/>
    <cellStyle name="Entrada 5 2 4" xfId="979"/>
    <cellStyle name="Entrada 5 2 4 2" xfId="1889"/>
    <cellStyle name="Entrada 5 2 4 2 2" xfId="3689"/>
    <cellStyle name="Entrada 5 2 4 2 2 2" xfId="6650"/>
    <cellStyle name="Entrada 5 2 4 2 2 2 2" xfId="18416"/>
    <cellStyle name="Entrada 5 2 4 2 2 2 2 2" xfId="47597"/>
    <cellStyle name="Entrada 5 2 4 2 2 2 3" xfId="35833"/>
    <cellStyle name="Entrada 5 2 4 2 2 3" xfId="9767"/>
    <cellStyle name="Entrada 5 2 4 2 2 3 2" xfId="20230"/>
    <cellStyle name="Entrada 5 2 4 2 2 3 2 2" xfId="49411"/>
    <cellStyle name="Entrada 5 2 4 2 2 3 3" xfId="38950"/>
    <cellStyle name="Entrada 5 2 4 2 2 4" xfId="17185"/>
    <cellStyle name="Entrada 5 2 4 2 2 4 2" xfId="46366"/>
    <cellStyle name="Entrada 5 2 4 2 2 5" xfId="32872"/>
    <cellStyle name="Entrada 5 2 4 2 3" xfId="5210"/>
    <cellStyle name="Entrada 5 2 4 2 3 2" xfId="11741"/>
    <cellStyle name="Entrada 5 2 4 2 3 2 2" xfId="40922"/>
    <cellStyle name="Entrada 5 2 4 2 3 3" xfId="34393"/>
    <cellStyle name="Entrada 5 2 4 2 4" xfId="9298"/>
    <cellStyle name="Entrada 5 2 4 2 4 2" xfId="19951"/>
    <cellStyle name="Entrada 5 2 4 2 4 2 2" xfId="49132"/>
    <cellStyle name="Entrada 5 2 4 2 4 3" xfId="38481"/>
    <cellStyle name="Entrada 5 2 4 2 5" xfId="11940"/>
    <cellStyle name="Entrada 5 2 4 2 5 2" xfId="41121"/>
    <cellStyle name="Entrada 5 2 4 2 6" xfId="31072"/>
    <cellStyle name="Entrada 5 2 4 3" xfId="2789"/>
    <cellStyle name="Entrada 5 2 4 3 2" xfId="5930"/>
    <cellStyle name="Entrada 5 2 4 3 2 2" xfId="16572"/>
    <cellStyle name="Entrada 5 2 4 3 2 2 2" xfId="45753"/>
    <cellStyle name="Entrada 5 2 4 3 2 3" xfId="35113"/>
    <cellStyle name="Entrada 5 2 4 3 3" xfId="7876"/>
    <cellStyle name="Entrada 5 2 4 3 3 2" xfId="19089"/>
    <cellStyle name="Entrada 5 2 4 3 3 2 2" xfId="48270"/>
    <cellStyle name="Entrada 5 2 4 3 3 3" xfId="37059"/>
    <cellStyle name="Entrada 5 2 4 3 4" xfId="13499"/>
    <cellStyle name="Entrada 5 2 4 3 4 2" xfId="42680"/>
    <cellStyle name="Entrada 5 2 4 3 5" xfId="31972"/>
    <cellStyle name="Entrada 5 2 4 4" xfId="4490"/>
    <cellStyle name="Entrada 5 2 4 4 2" xfId="17053"/>
    <cellStyle name="Entrada 5 2 4 4 2 2" xfId="46234"/>
    <cellStyle name="Entrada 5 2 4 4 3" xfId="33673"/>
    <cellStyle name="Entrada 5 2 4 5" xfId="8577"/>
    <cellStyle name="Entrada 5 2 4 5 2" xfId="19520"/>
    <cellStyle name="Entrada 5 2 4 5 2 2" xfId="48701"/>
    <cellStyle name="Entrada 5 2 4 5 3" xfId="37760"/>
    <cellStyle name="Entrada 5 2 4 6" xfId="11029"/>
    <cellStyle name="Entrada 5 2 4 6 2" xfId="40210"/>
    <cellStyle name="Entrada 5 2 4 7" xfId="30169"/>
    <cellStyle name="Entrada 5 2 5" xfId="1129"/>
    <cellStyle name="Entrada 5 2 5 2" xfId="2033"/>
    <cellStyle name="Entrada 5 2 5 2 2" xfId="3833"/>
    <cellStyle name="Entrada 5 2 5 2 2 2" xfId="6767"/>
    <cellStyle name="Entrada 5 2 5 2 2 2 2" xfId="18470"/>
    <cellStyle name="Entrada 5 2 5 2 2 2 2 2" xfId="47651"/>
    <cellStyle name="Entrada 5 2 5 2 2 2 3" xfId="35950"/>
    <cellStyle name="Entrada 5 2 5 2 2 3" xfId="9608"/>
    <cellStyle name="Entrada 5 2 5 2 2 3 2" xfId="20136"/>
    <cellStyle name="Entrada 5 2 5 2 2 3 2 2" xfId="49317"/>
    <cellStyle name="Entrada 5 2 5 2 2 3 3" xfId="38791"/>
    <cellStyle name="Entrada 5 2 5 2 2 4" xfId="17524"/>
    <cellStyle name="Entrada 5 2 5 2 2 4 2" xfId="46705"/>
    <cellStyle name="Entrada 5 2 5 2 2 5" xfId="33016"/>
    <cellStyle name="Entrada 5 2 5 2 3" xfId="5327"/>
    <cellStyle name="Entrada 5 2 5 2 3 2" xfId="14151"/>
    <cellStyle name="Entrada 5 2 5 2 3 2 2" xfId="43332"/>
    <cellStyle name="Entrada 5 2 5 2 3 3" xfId="34510"/>
    <cellStyle name="Entrada 5 2 5 2 4" xfId="7428"/>
    <cellStyle name="Entrada 5 2 5 2 4 2" xfId="18811"/>
    <cellStyle name="Entrada 5 2 5 2 4 2 2" xfId="47992"/>
    <cellStyle name="Entrada 5 2 5 2 4 3" xfId="36611"/>
    <cellStyle name="Entrada 5 2 5 2 5" xfId="10820"/>
    <cellStyle name="Entrada 5 2 5 2 5 2" xfId="40001"/>
    <cellStyle name="Entrada 5 2 5 2 6" xfId="31216"/>
    <cellStyle name="Entrada 5 2 5 3" xfId="2933"/>
    <cellStyle name="Entrada 5 2 5 3 2" xfId="6047"/>
    <cellStyle name="Entrada 5 2 5 3 2 2" xfId="10561"/>
    <cellStyle name="Entrada 5 2 5 3 2 2 2" xfId="39742"/>
    <cellStyle name="Entrada 5 2 5 3 2 3" xfId="35230"/>
    <cellStyle name="Entrada 5 2 5 3 3" xfId="7746"/>
    <cellStyle name="Entrada 5 2 5 3 3 2" xfId="19009"/>
    <cellStyle name="Entrada 5 2 5 3 3 2 2" xfId="48190"/>
    <cellStyle name="Entrada 5 2 5 3 3 3" xfId="36929"/>
    <cellStyle name="Entrada 5 2 5 3 4" xfId="14582"/>
    <cellStyle name="Entrada 5 2 5 3 4 2" xfId="43763"/>
    <cellStyle name="Entrada 5 2 5 3 5" xfId="32116"/>
    <cellStyle name="Entrada 5 2 5 4" xfId="4607"/>
    <cellStyle name="Entrada 5 2 5 4 2" xfId="14718"/>
    <cellStyle name="Entrada 5 2 5 4 2 2" xfId="43899"/>
    <cellStyle name="Entrada 5 2 5 4 3" xfId="33790"/>
    <cellStyle name="Entrada 5 2 5 5" xfId="9599"/>
    <cellStyle name="Entrada 5 2 5 5 2" xfId="20130"/>
    <cellStyle name="Entrada 5 2 5 5 2 2" xfId="49311"/>
    <cellStyle name="Entrada 5 2 5 5 3" xfId="38782"/>
    <cellStyle name="Entrada 5 2 5 6" xfId="11806"/>
    <cellStyle name="Entrada 5 2 5 6 2" xfId="40987"/>
    <cellStyle name="Entrada 5 2 5 7" xfId="30316"/>
    <cellStyle name="Entrada 5 2 6" xfId="1275"/>
    <cellStyle name="Entrada 5 2 6 2" xfId="2177"/>
    <cellStyle name="Entrada 5 2 6 2 2" xfId="3977"/>
    <cellStyle name="Entrada 5 2 6 2 2 2" xfId="6884"/>
    <cellStyle name="Entrada 5 2 6 2 2 2 2" xfId="18524"/>
    <cellStyle name="Entrada 5 2 6 2 2 2 2 2" xfId="47705"/>
    <cellStyle name="Entrada 5 2 6 2 2 2 3" xfId="36067"/>
    <cellStyle name="Entrada 5 2 6 2 2 3" xfId="7103"/>
    <cellStyle name="Entrada 5 2 6 2 2 3 2" xfId="18634"/>
    <cellStyle name="Entrada 5 2 6 2 2 3 2 2" xfId="47815"/>
    <cellStyle name="Entrada 5 2 6 2 2 3 3" xfId="36286"/>
    <cellStyle name="Entrada 5 2 6 2 2 4" xfId="15589"/>
    <cellStyle name="Entrada 5 2 6 2 2 4 2" xfId="44770"/>
    <cellStyle name="Entrada 5 2 6 2 2 5" xfId="33160"/>
    <cellStyle name="Entrada 5 2 6 2 3" xfId="5444"/>
    <cellStyle name="Entrada 5 2 6 2 3 2" xfId="16333"/>
    <cellStyle name="Entrada 5 2 6 2 3 2 2" xfId="45514"/>
    <cellStyle name="Entrada 5 2 6 2 3 3" xfId="34627"/>
    <cellStyle name="Entrada 5 2 6 2 4" xfId="9705"/>
    <cellStyle name="Entrada 5 2 6 2 4 2" xfId="20193"/>
    <cellStyle name="Entrada 5 2 6 2 4 2 2" xfId="49374"/>
    <cellStyle name="Entrada 5 2 6 2 4 3" xfId="38888"/>
    <cellStyle name="Entrada 5 2 6 2 5" xfId="16923"/>
    <cellStyle name="Entrada 5 2 6 2 5 2" xfId="46104"/>
    <cellStyle name="Entrada 5 2 6 2 6" xfId="31360"/>
    <cellStyle name="Entrada 5 2 6 3" xfId="3077"/>
    <cellStyle name="Entrada 5 2 6 3 2" xfId="6164"/>
    <cellStyle name="Entrada 5 2 6 3 2 2" xfId="18164"/>
    <cellStyle name="Entrada 5 2 6 3 2 2 2" xfId="47345"/>
    <cellStyle name="Entrada 5 2 6 3 2 3" xfId="35347"/>
    <cellStyle name="Entrada 5 2 6 3 3" xfId="8311"/>
    <cellStyle name="Entrada 5 2 6 3 3 2" xfId="19352"/>
    <cellStyle name="Entrada 5 2 6 3 3 2 2" xfId="48533"/>
    <cellStyle name="Entrada 5 2 6 3 3 3" xfId="37494"/>
    <cellStyle name="Entrada 5 2 6 3 4" xfId="14911"/>
    <cellStyle name="Entrada 5 2 6 3 4 2" xfId="44092"/>
    <cellStyle name="Entrada 5 2 6 3 5" xfId="32260"/>
    <cellStyle name="Entrada 5 2 6 4" xfId="4724"/>
    <cellStyle name="Entrada 5 2 6 4 2" xfId="17897"/>
    <cellStyle name="Entrada 5 2 6 4 2 2" xfId="47078"/>
    <cellStyle name="Entrada 5 2 6 4 3" xfId="33907"/>
    <cellStyle name="Entrada 5 2 6 5" xfId="9919"/>
    <cellStyle name="Entrada 5 2 6 5 2" xfId="20322"/>
    <cellStyle name="Entrada 5 2 6 5 2 2" xfId="49503"/>
    <cellStyle name="Entrada 5 2 6 5 3" xfId="39102"/>
    <cellStyle name="Entrada 5 2 6 6" xfId="18057"/>
    <cellStyle name="Entrada 5 2 6 6 2" xfId="47238"/>
    <cellStyle name="Entrada 5 2 6 7" xfId="30460"/>
    <cellStyle name="Entrada 5 2 7" xfId="1457"/>
    <cellStyle name="Entrada 5 2 7 2" xfId="3257"/>
    <cellStyle name="Entrada 5 2 7 2 2" xfId="6308"/>
    <cellStyle name="Entrada 5 2 7 2 2 2" xfId="18236"/>
    <cellStyle name="Entrada 5 2 7 2 2 2 2" xfId="47417"/>
    <cellStyle name="Entrada 5 2 7 2 2 3" xfId="35491"/>
    <cellStyle name="Entrada 5 2 7 2 3" xfId="7996"/>
    <cellStyle name="Entrada 5 2 7 2 3 2" xfId="19161"/>
    <cellStyle name="Entrada 5 2 7 2 3 2 2" xfId="48342"/>
    <cellStyle name="Entrada 5 2 7 2 3 3" xfId="37179"/>
    <cellStyle name="Entrada 5 2 7 2 4" xfId="14651"/>
    <cellStyle name="Entrada 5 2 7 2 4 2" xfId="43832"/>
    <cellStyle name="Entrada 5 2 7 2 5" xfId="32440"/>
    <cellStyle name="Entrada 5 2 7 3" xfId="4868"/>
    <cellStyle name="Entrada 5 2 7 3 2" xfId="17727"/>
    <cellStyle name="Entrada 5 2 7 3 2 2" xfId="46908"/>
    <cellStyle name="Entrada 5 2 7 3 3" xfId="34051"/>
    <cellStyle name="Entrada 5 2 7 4" xfId="9340"/>
    <cellStyle name="Entrada 5 2 7 4 2" xfId="19973"/>
    <cellStyle name="Entrada 5 2 7 4 2 2" xfId="49154"/>
    <cellStyle name="Entrada 5 2 7 4 3" xfId="38523"/>
    <cellStyle name="Entrada 5 2 7 5" xfId="16341"/>
    <cellStyle name="Entrada 5 2 7 5 2" xfId="45522"/>
    <cellStyle name="Entrada 5 2 7 6" xfId="30640"/>
    <cellStyle name="Entrada 5 2 8" xfId="2357"/>
    <cellStyle name="Entrada 5 2 8 2" xfId="5588"/>
    <cellStyle name="Entrada 5 2 8 2 2" xfId="16098"/>
    <cellStyle name="Entrada 5 2 8 2 2 2" xfId="45279"/>
    <cellStyle name="Entrada 5 2 8 2 3" xfId="34771"/>
    <cellStyle name="Entrada 5 2 8 3" xfId="7526"/>
    <cellStyle name="Entrada 5 2 8 3 2" xfId="18871"/>
    <cellStyle name="Entrada 5 2 8 3 2 2" xfId="48052"/>
    <cellStyle name="Entrada 5 2 8 3 3" xfId="36709"/>
    <cellStyle name="Entrada 5 2 8 4" xfId="16304"/>
    <cellStyle name="Entrada 5 2 8 4 2" xfId="45485"/>
    <cellStyle name="Entrada 5 2 8 5" xfId="31540"/>
    <cellStyle name="Entrada 5 2 9" xfId="4148"/>
    <cellStyle name="Entrada 5 2 9 2" xfId="11495"/>
    <cellStyle name="Entrada 5 2 9 2 2" xfId="40676"/>
    <cellStyle name="Entrada 5 2 9 3" xfId="33331"/>
    <cellStyle name="Entrada 5 3" xfId="479"/>
    <cellStyle name="Entrada 5 3 10" xfId="16161"/>
    <cellStyle name="Entrada 5 3 10 2" xfId="45342"/>
    <cellStyle name="Entrada 5 3 11" xfId="29685"/>
    <cellStyle name="Entrada 5 3 2" xfId="832"/>
    <cellStyle name="Entrada 5 3 2 2" xfId="1770"/>
    <cellStyle name="Entrada 5 3 2 2 2" xfId="3570"/>
    <cellStyle name="Entrada 5 3 2 2 2 2" xfId="6558"/>
    <cellStyle name="Entrada 5 3 2 2 2 2 2" xfId="18380"/>
    <cellStyle name="Entrada 5 3 2 2 2 2 2 2" xfId="47561"/>
    <cellStyle name="Entrada 5 3 2 2 2 2 3" xfId="35741"/>
    <cellStyle name="Entrada 5 3 2 2 2 3" xfId="9653"/>
    <cellStyle name="Entrada 5 3 2 2 2 3 2" xfId="20160"/>
    <cellStyle name="Entrada 5 3 2 2 2 3 2 2" xfId="49341"/>
    <cellStyle name="Entrada 5 3 2 2 2 3 3" xfId="38836"/>
    <cellStyle name="Entrada 5 3 2 2 2 4" xfId="14259"/>
    <cellStyle name="Entrada 5 3 2 2 2 4 2" xfId="43440"/>
    <cellStyle name="Entrada 5 3 2 2 2 5" xfId="32753"/>
    <cellStyle name="Entrada 5 3 2 2 3" xfId="5118"/>
    <cellStyle name="Entrada 5 3 2 2 3 2" xfId="13762"/>
    <cellStyle name="Entrada 5 3 2 2 3 2 2" xfId="42943"/>
    <cellStyle name="Entrada 5 3 2 2 3 3" xfId="34301"/>
    <cellStyle name="Entrada 5 3 2 2 4" xfId="9242"/>
    <cellStyle name="Entrada 5 3 2 2 4 2" xfId="19917"/>
    <cellStyle name="Entrada 5 3 2 2 4 2 2" xfId="49098"/>
    <cellStyle name="Entrada 5 3 2 2 4 3" xfId="38425"/>
    <cellStyle name="Entrada 5 3 2 2 5" xfId="17364"/>
    <cellStyle name="Entrada 5 3 2 2 5 2" xfId="46545"/>
    <cellStyle name="Entrada 5 3 2 2 6" xfId="30953"/>
    <cellStyle name="Entrada 5 3 2 3" xfId="2670"/>
    <cellStyle name="Entrada 5 3 2 3 2" xfId="5838"/>
    <cellStyle name="Entrada 5 3 2 3 2 2" xfId="12537"/>
    <cellStyle name="Entrada 5 3 2 3 2 2 2" xfId="41718"/>
    <cellStyle name="Entrada 5 3 2 3 2 3" xfId="35021"/>
    <cellStyle name="Entrada 5 3 2 3 3" xfId="7544"/>
    <cellStyle name="Entrada 5 3 2 3 3 2" xfId="18880"/>
    <cellStyle name="Entrada 5 3 2 3 3 2 2" xfId="48061"/>
    <cellStyle name="Entrada 5 3 2 3 3 3" xfId="36727"/>
    <cellStyle name="Entrada 5 3 2 3 4" xfId="14796"/>
    <cellStyle name="Entrada 5 3 2 3 4 2" xfId="43977"/>
    <cellStyle name="Entrada 5 3 2 3 5" xfId="31853"/>
    <cellStyle name="Entrada 5 3 2 4" xfId="4398"/>
    <cellStyle name="Entrada 5 3 2 4 2" xfId="12004"/>
    <cellStyle name="Entrada 5 3 2 4 2 2" xfId="41185"/>
    <cellStyle name="Entrada 5 3 2 4 3" xfId="33581"/>
    <cellStyle name="Entrada 5 3 2 5" xfId="8022"/>
    <cellStyle name="Entrada 5 3 2 5 2" xfId="19178"/>
    <cellStyle name="Entrada 5 3 2 5 2 2" xfId="48359"/>
    <cellStyle name="Entrada 5 3 2 5 3" xfId="37205"/>
    <cellStyle name="Entrada 5 3 2 6" xfId="15632"/>
    <cellStyle name="Entrada 5 3 2 6 2" xfId="44813"/>
    <cellStyle name="Entrada 5 3 2 7" xfId="30029"/>
    <cellStyle name="Entrada 5 3 3" xfId="1024"/>
    <cellStyle name="Entrada 5 3 3 2" xfId="1934"/>
    <cellStyle name="Entrada 5 3 3 2 2" xfId="3734"/>
    <cellStyle name="Entrada 5 3 3 2 2 2" xfId="6686"/>
    <cellStyle name="Entrada 5 3 3 2 2 2 2" xfId="18434"/>
    <cellStyle name="Entrada 5 3 3 2 2 2 2 2" xfId="47615"/>
    <cellStyle name="Entrada 5 3 3 2 2 2 3" xfId="35869"/>
    <cellStyle name="Entrada 5 3 3 2 2 3" xfId="9532"/>
    <cellStyle name="Entrada 5 3 3 2 2 3 2" xfId="20085"/>
    <cellStyle name="Entrada 5 3 3 2 2 3 2 2" xfId="49266"/>
    <cellStyle name="Entrada 5 3 3 2 2 3 3" xfId="38715"/>
    <cellStyle name="Entrada 5 3 3 2 2 4" xfId="10647"/>
    <cellStyle name="Entrada 5 3 3 2 2 4 2" xfId="39828"/>
    <cellStyle name="Entrada 5 3 3 2 2 5" xfId="32917"/>
    <cellStyle name="Entrada 5 3 3 2 3" xfId="5246"/>
    <cellStyle name="Entrada 5 3 3 2 3 2" xfId="15180"/>
    <cellStyle name="Entrada 5 3 3 2 3 2 2" xfId="44361"/>
    <cellStyle name="Entrada 5 3 3 2 3 3" xfId="34429"/>
    <cellStyle name="Entrada 5 3 3 2 4" xfId="9095"/>
    <cellStyle name="Entrada 5 3 3 2 4 2" xfId="19824"/>
    <cellStyle name="Entrada 5 3 3 2 4 2 2" xfId="49005"/>
    <cellStyle name="Entrada 5 3 3 2 4 3" xfId="38278"/>
    <cellStyle name="Entrada 5 3 3 2 5" xfId="15542"/>
    <cellStyle name="Entrada 5 3 3 2 5 2" xfId="44723"/>
    <cellStyle name="Entrada 5 3 3 2 6" xfId="31117"/>
    <cellStyle name="Entrada 5 3 3 3" xfId="2834"/>
    <cellStyle name="Entrada 5 3 3 3 2" xfId="5966"/>
    <cellStyle name="Entrada 5 3 3 3 2 2" xfId="10597"/>
    <cellStyle name="Entrada 5 3 3 3 2 2 2" xfId="39778"/>
    <cellStyle name="Entrada 5 3 3 3 2 3" xfId="35149"/>
    <cellStyle name="Entrada 5 3 3 3 3" xfId="7589"/>
    <cellStyle name="Entrada 5 3 3 3 3 2" xfId="18912"/>
    <cellStyle name="Entrada 5 3 3 3 3 2 2" xfId="48093"/>
    <cellStyle name="Entrada 5 3 3 3 3 3" xfId="36772"/>
    <cellStyle name="Entrada 5 3 3 3 4" xfId="11407"/>
    <cellStyle name="Entrada 5 3 3 3 4 2" xfId="40588"/>
    <cellStyle name="Entrada 5 3 3 3 5" xfId="32017"/>
    <cellStyle name="Entrada 5 3 3 4" xfId="4526"/>
    <cellStyle name="Entrada 5 3 3 4 2" xfId="16417"/>
    <cellStyle name="Entrada 5 3 3 4 2 2" xfId="45598"/>
    <cellStyle name="Entrada 5 3 3 4 3" xfId="33709"/>
    <cellStyle name="Entrada 5 3 3 5" xfId="9796"/>
    <cellStyle name="Entrada 5 3 3 5 2" xfId="20244"/>
    <cellStyle name="Entrada 5 3 3 5 2 2" xfId="49425"/>
    <cellStyle name="Entrada 5 3 3 5 3" xfId="38979"/>
    <cellStyle name="Entrada 5 3 3 6" xfId="16184"/>
    <cellStyle name="Entrada 5 3 3 6 2" xfId="45365"/>
    <cellStyle name="Entrada 5 3 3 7" xfId="30214"/>
    <cellStyle name="Entrada 5 3 4" xfId="1174"/>
    <cellStyle name="Entrada 5 3 4 2" xfId="2078"/>
    <cellStyle name="Entrada 5 3 4 2 2" xfId="3878"/>
    <cellStyle name="Entrada 5 3 4 2 2 2" xfId="6803"/>
    <cellStyle name="Entrada 5 3 4 2 2 2 2" xfId="18488"/>
    <cellStyle name="Entrada 5 3 4 2 2 2 2 2" xfId="47669"/>
    <cellStyle name="Entrada 5 3 4 2 2 2 3" xfId="35986"/>
    <cellStyle name="Entrada 5 3 4 2 2 3" xfId="9452"/>
    <cellStyle name="Entrada 5 3 4 2 2 3 2" xfId="20041"/>
    <cellStyle name="Entrada 5 3 4 2 2 3 2 2" xfId="49222"/>
    <cellStyle name="Entrada 5 3 4 2 2 3 3" xfId="38635"/>
    <cellStyle name="Entrada 5 3 4 2 2 4" xfId="14822"/>
    <cellStyle name="Entrada 5 3 4 2 2 4 2" xfId="44003"/>
    <cellStyle name="Entrada 5 3 4 2 2 5" xfId="33061"/>
    <cellStyle name="Entrada 5 3 4 2 3" xfId="5363"/>
    <cellStyle name="Entrada 5 3 4 2 3 2" xfId="17250"/>
    <cellStyle name="Entrada 5 3 4 2 3 2 2" xfId="46431"/>
    <cellStyle name="Entrada 5 3 4 2 3 3" xfId="34546"/>
    <cellStyle name="Entrada 5 3 4 2 4" xfId="9394"/>
    <cellStyle name="Entrada 5 3 4 2 4 2" xfId="20007"/>
    <cellStyle name="Entrada 5 3 4 2 4 2 2" xfId="49188"/>
    <cellStyle name="Entrada 5 3 4 2 4 3" xfId="38577"/>
    <cellStyle name="Entrada 5 3 4 2 5" xfId="15920"/>
    <cellStyle name="Entrada 5 3 4 2 5 2" xfId="45101"/>
    <cellStyle name="Entrada 5 3 4 2 6" xfId="31261"/>
    <cellStyle name="Entrada 5 3 4 3" xfId="2978"/>
    <cellStyle name="Entrada 5 3 4 3 2" xfId="6083"/>
    <cellStyle name="Entrada 5 3 4 3 2 2" xfId="10543"/>
    <cellStyle name="Entrada 5 3 4 3 2 2 2" xfId="39724"/>
    <cellStyle name="Entrada 5 3 4 3 2 3" xfId="35266"/>
    <cellStyle name="Entrada 5 3 4 3 3" xfId="8236"/>
    <cellStyle name="Entrada 5 3 4 3 3 2" xfId="19307"/>
    <cellStyle name="Entrada 5 3 4 3 3 2 2" xfId="48488"/>
    <cellStyle name="Entrada 5 3 4 3 3 3" xfId="37419"/>
    <cellStyle name="Entrada 5 3 4 3 4" xfId="13627"/>
    <cellStyle name="Entrada 5 3 4 3 4 2" xfId="42808"/>
    <cellStyle name="Entrada 5 3 4 3 5" xfId="32161"/>
    <cellStyle name="Entrada 5 3 4 4" xfId="4643"/>
    <cellStyle name="Entrada 5 3 4 4 2" xfId="12540"/>
    <cellStyle name="Entrada 5 3 4 4 2 2" xfId="41721"/>
    <cellStyle name="Entrada 5 3 4 4 3" xfId="33826"/>
    <cellStyle name="Entrada 5 3 4 5" xfId="8753"/>
    <cellStyle name="Entrada 5 3 4 5 2" xfId="19621"/>
    <cellStyle name="Entrada 5 3 4 5 2 2" xfId="48802"/>
    <cellStyle name="Entrada 5 3 4 5 3" xfId="37936"/>
    <cellStyle name="Entrada 5 3 4 6" xfId="16023"/>
    <cellStyle name="Entrada 5 3 4 6 2" xfId="45204"/>
    <cellStyle name="Entrada 5 3 4 7" xfId="30361"/>
    <cellStyle name="Entrada 5 3 5" xfId="1320"/>
    <cellStyle name="Entrada 5 3 5 2" xfId="2222"/>
    <cellStyle name="Entrada 5 3 5 2 2" xfId="4022"/>
    <cellStyle name="Entrada 5 3 5 2 2 2" xfId="6920"/>
    <cellStyle name="Entrada 5 3 5 2 2 2 2" xfId="18542"/>
    <cellStyle name="Entrada 5 3 5 2 2 2 2 2" xfId="47723"/>
    <cellStyle name="Entrada 5 3 5 2 2 2 3" xfId="36103"/>
    <cellStyle name="Entrada 5 3 5 2 2 3" xfId="7058"/>
    <cellStyle name="Entrada 5 3 5 2 2 3 2" xfId="18607"/>
    <cellStyle name="Entrada 5 3 5 2 2 3 2 2" xfId="47788"/>
    <cellStyle name="Entrada 5 3 5 2 2 3 3" xfId="36241"/>
    <cellStyle name="Entrada 5 3 5 2 2 4" xfId="16059"/>
    <cellStyle name="Entrada 5 3 5 2 2 4 2" xfId="45240"/>
    <cellStyle name="Entrada 5 3 5 2 2 5" xfId="33205"/>
    <cellStyle name="Entrada 5 3 5 2 3" xfId="5480"/>
    <cellStyle name="Entrada 5 3 5 2 3 2" xfId="14625"/>
    <cellStyle name="Entrada 5 3 5 2 3 2 2" xfId="43806"/>
    <cellStyle name="Entrada 5 3 5 2 3 3" xfId="34663"/>
    <cellStyle name="Entrada 5 3 5 2 4" xfId="8857"/>
    <cellStyle name="Entrada 5 3 5 2 4 2" xfId="19681"/>
    <cellStyle name="Entrada 5 3 5 2 4 2 2" xfId="48862"/>
    <cellStyle name="Entrada 5 3 5 2 4 3" xfId="38040"/>
    <cellStyle name="Entrada 5 3 5 2 5" xfId="12831"/>
    <cellStyle name="Entrada 5 3 5 2 5 2" xfId="42012"/>
    <cellStyle name="Entrada 5 3 5 2 6" xfId="31405"/>
    <cellStyle name="Entrada 5 3 5 3" xfId="3122"/>
    <cellStyle name="Entrada 5 3 5 3 2" xfId="6200"/>
    <cellStyle name="Entrada 5 3 5 3 2 2" xfId="18182"/>
    <cellStyle name="Entrada 5 3 5 3 2 2 2" xfId="47363"/>
    <cellStyle name="Entrada 5 3 5 3 2 3" xfId="35383"/>
    <cellStyle name="Entrada 5 3 5 3 3" xfId="10384"/>
    <cellStyle name="Entrada 5 3 5 3 3 2" xfId="20605"/>
    <cellStyle name="Entrada 5 3 5 3 3 2 2" xfId="49786"/>
    <cellStyle name="Entrada 5 3 5 3 3 3" xfId="39567"/>
    <cellStyle name="Entrada 5 3 5 3 4" xfId="13855"/>
    <cellStyle name="Entrada 5 3 5 3 4 2" xfId="43036"/>
    <cellStyle name="Entrada 5 3 5 3 5" xfId="32305"/>
    <cellStyle name="Entrada 5 3 5 4" xfId="4760"/>
    <cellStyle name="Entrada 5 3 5 4 2" xfId="17421"/>
    <cellStyle name="Entrada 5 3 5 4 2 2" xfId="46602"/>
    <cellStyle name="Entrada 5 3 5 4 3" xfId="33943"/>
    <cellStyle name="Entrada 5 3 5 5" xfId="7726"/>
    <cellStyle name="Entrada 5 3 5 5 2" xfId="18997"/>
    <cellStyle name="Entrada 5 3 5 5 2 2" xfId="48178"/>
    <cellStyle name="Entrada 5 3 5 5 3" xfId="36909"/>
    <cellStyle name="Entrada 5 3 5 6" xfId="11339"/>
    <cellStyle name="Entrada 5 3 5 6 2" xfId="40520"/>
    <cellStyle name="Entrada 5 3 5 7" xfId="30505"/>
    <cellStyle name="Entrada 5 3 6" xfId="1502"/>
    <cellStyle name="Entrada 5 3 6 2" xfId="3302"/>
    <cellStyle name="Entrada 5 3 6 2 2" xfId="6344"/>
    <cellStyle name="Entrada 5 3 6 2 2 2" xfId="18254"/>
    <cellStyle name="Entrada 5 3 6 2 2 2 2" xfId="47435"/>
    <cellStyle name="Entrada 5 3 6 2 2 3" xfId="35527"/>
    <cellStyle name="Entrada 5 3 6 2 3" xfId="7560"/>
    <cellStyle name="Entrada 5 3 6 2 3 2" xfId="18893"/>
    <cellStyle name="Entrada 5 3 6 2 3 2 2" xfId="48074"/>
    <cellStyle name="Entrada 5 3 6 2 3 3" xfId="36743"/>
    <cellStyle name="Entrada 5 3 6 2 4" xfId="13880"/>
    <cellStyle name="Entrada 5 3 6 2 4 2" xfId="43061"/>
    <cellStyle name="Entrada 5 3 6 2 5" xfId="32485"/>
    <cellStyle name="Entrada 5 3 6 3" xfId="4904"/>
    <cellStyle name="Entrada 5 3 6 3 2" xfId="17634"/>
    <cellStyle name="Entrada 5 3 6 3 2 2" xfId="46815"/>
    <cellStyle name="Entrada 5 3 6 3 3" xfId="34087"/>
    <cellStyle name="Entrada 5 3 6 4" xfId="7319"/>
    <cellStyle name="Entrada 5 3 6 4 2" xfId="18751"/>
    <cellStyle name="Entrada 5 3 6 4 2 2" xfId="47932"/>
    <cellStyle name="Entrada 5 3 6 4 3" xfId="36502"/>
    <cellStyle name="Entrada 5 3 6 5" xfId="10717"/>
    <cellStyle name="Entrada 5 3 6 5 2" xfId="39898"/>
    <cellStyle name="Entrada 5 3 6 6" xfId="30685"/>
    <cellStyle name="Entrada 5 3 7" xfId="2402"/>
    <cellStyle name="Entrada 5 3 7 2" xfId="5624"/>
    <cellStyle name="Entrada 5 3 7 2 2" xfId="15933"/>
    <cellStyle name="Entrada 5 3 7 2 2 2" xfId="45114"/>
    <cellStyle name="Entrada 5 3 7 2 3" xfId="34807"/>
    <cellStyle name="Entrada 5 3 7 3" xfId="7256"/>
    <cellStyle name="Entrada 5 3 7 3 2" xfId="18716"/>
    <cellStyle name="Entrada 5 3 7 3 2 2" xfId="47897"/>
    <cellStyle name="Entrada 5 3 7 3 3" xfId="36439"/>
    <cellStyle name="Entrada 5 3 7 4" xfId="12770"/>
    <cellStyle name="Entrada 5 3 7 4 2" xfId="41951"/>
    <cellStyle name="Entrada 5 3 7 5" xfId="31585"/>
    <cellStyle name="Entrada 5 3 8" xfId="4184"/>
    <cellStyle name="Entrada 5 3 8 2" xfId="11163"/>
    <cellStyle name="Entrada 5 3 8 2 2" xfId="40344"/>
    <cellStyle name="Entrada 5 3 8 3" xfId="33367"/>
    <cellStyle name="Entrada 5 3 9" xfId="7368"/>
    <cellStyle name="Entrada 5 3 9 2" xfId="18776"/>
    <cellStyle name="Entrada 5 3 9 2 2" xfId="47957"/>
    <cellStyle name="Entrada 5 3 9 3" xfId="36551"/>
    <cellStyle name="Entrada 5 4" xfId="661"/>
    <cellStyle name="Entrada 5 4 2" xfId="1653"/>
    <cellStyle name="Entrada 5 4 2 2" xfId="3453"/>
    <cellStyle name="Entrada 5 4 2 2 2" xfId="6468"/>
    <cellStyle name="Entrada 5 4 2 2 2 2" xfId="18335"/>
    <cellStyle name="Entrada 5 4 2 2 2 2 2" xfId="47516"/>
    <cellStyle name="Entrada 5 4 2 2 2 3" xfId="35651"/>
    <cellStyle name="Entrada 5 4 2 2 3" xfId="8416"/>
    <cellStyle name="Entrada 5 4 2 2 3 2" xfId="19418"/>
    <cellStyle name="Entrada 5 4 2 2 3 2 2" xfId="48599"/>
    <cellStyle name="Entrada 5 4 2 2 3 3" xfId="37599"/>
    <cellStyle name="Entrada 5 4 2 2 4" xfId="11865"/>
    <cellStyle name="Entrada 5 4 2 2 4 2" xfId="41046"/>
    <cellStyle name="Entrada 5 4 2 2 5" xfId="32636"/>
    <cellStyle name="Entrada 5 4 2 3" xfId="5028"/>
    <cellStyle name="Entrada 5 4 2 3 2" xfId="16157"/>
    <cellStyle name="Entrada 5 4 2 3 2 2" xfId="45338"/>
    <cellStyle name="Entrada 5 4 2 3 3" xfId="34211"/>
    <cellStyle name="Entrada 5 4 2 4" xfId="9137"/>
    <cellStyle name="Entrada 5 4 2 4 2" xfId="19852"/>
    <cellStyle name="Entrada 5 4 2 4 2 2" xfId="49033"/>
    <cellStyle name="Entrada 5 4 2 4 3" xfId="38320"/>
    <cellStyle name="Entrada 5 4 2 5" xfId="13706"/>
    <cellStyle name="Entrada 5 4 2 5 2" xfId="42887"/>
    <cellStyle name="Entrada 5 4 2 6" xfId="30836"/>
    <cellStyle name="Entrada 5 4 3" xfId="2553"/>
    <cellStyle name="Entrada 5 4 3 2" xfId="5748"/>
    <cellStyle name="Entrada 5 4 3 2 2" xfId="15186"/>
    <cellStyle name="Entrada 5 4 3 2 2 2" xfId="44367"/>
    <cellStyle name="Entrada 5 4 3 2 3" xfId="34931"/>
    <cellStyle name="Entrada 5 4 3 3" xfId="7713"/>
    <cellStyle name="Entrada 5 4 3 3 2" xfId="18988"/>
    <cellStyle name="Entrada 5 4 3 3 2 2" xfId="48169"/>
    <cellStyle name="Entrada 5 4 3 3 3" xfId="36896"/>
    <cellStyle name="Entrada 5 4 3 4" xfId="12237"/>
    <cellStyle name="Entrada 5 4 3 4 2" xfId="41418"/>
    <cellStyle name="Entrada 5 4 3 5" xfId="31736"/>
    <cellStyle name="Entrada 5 4 4" xfId="4308"/>
    <cellStyle name="Entrada 5 4 4 2" xfId="17090"/>
    <cellStyle name="Entrada 5 4 4 2 2" xfId="46271"/>
    <cellStyle name="Entrada 5 4 4 3" xfId="33491"/>
    <cellStyle name="Entrada 5 4 5" xfId="8338"/>
    <cellStyle name="Entrada 5 4 5 2" xfId="19369"/>
    <cellStyle name="Entrada 5 4 5 2 2" xfId="48550"/>
    <cellStyle name="Entrada 5 4 5 3" xfId="37521"/>
    <cellStyle name="Entrada 5 4 6" xfId="11031"/>
    <cellStyle name="Entrada 5 4 6 2" xfId="40212"/>
    <cellStyle name="Entrada 5 4 7" xfId="29864"/>
    <cellStyle name="Entrada 5 5" xfId="616"/>
    <cellStyle name="Entrada 5 5 2" xfId="1608"/>
    <cellStyle name="Entrada 5 5 2 2" xfId="3408"/>
    <cellStyle name="Entrada 5 5 2 2 2" xfId="6423"/>
    <cellStyle name="Entrada 5 5 2 2 2 2" xfId="18290"/>
    <cellStyle name="Entrada 5 5 2 2 2 2 2" xfId="47471"/>
    <cellStyle name="Entrada 5 5 2 2 2 3" xfId="35606"/>
    <cellStyle name="Entrada 5 5 2 2 3" xfId="9808"/>
    <cellStyle name="Entrada 5 5 2 2 3 2" xfId="20253"/>
    <cellStyle name="Entrada 5 5 2 2 3 2 2" xfId="49434"/>
    <cellStyle name="Entrada 5 5 2 2 3 3" xfId="38991"/>
    <cellStyle name="Entrada 5 5 2 2 4" xfId="16540"/>
    <cellStyle name="Entrada 5 5 2 2 4 2" xfId="45721"/>
    <cellStyle name="Entrada 5 5 2 2 5" xfId="32591"/>
    <cellStyle name="Entrada 5 5 2 3" xfId="4983"/>
    <cellStyle name="Entrada 5 5 2 3 2" xfId="15745"/>
    <cellStyle name="Entrada 5 5 2 3 2 2" xfId="44926"/>
    <cellStyle name="Entrada 5 5 2 3 3" xfId="34166"/>
    <cellStyle name="Entrada 5 5 2 4" xfId="8387"/>
    <cellStyle name="Entrada 5 5 2 4 2" xfId="19399"/>
    <cellStyle name="Entrada 5 5 2 4 2 2" xfId="48580"/>
    <cellStyle name="Entrada 5 5 2 4 3" xfId="37570"/>
    <cellStyle name="Entrada 5 5 2 5" xfId="14650"/>
    <cellStyle name="Entrada 5 5 2 5 2" xfId="43831"/>
    <cellStyle name="Entrada 5 5 2 6" xfId="30791"/>
    <cellStyle name="Entrada 5 5 3" xfId="2508"/>
    <cellStyle name="Entrada 5 5 3 2" xfId="5703"/>
    <cellStyle name="Entrada 5 5 3 2 2" xfId="11462"/>
    <cellStyle name="Entrada 5 5 3 2 2 2" xfId="40643"/>
    <cellStyle name="Entrada 5 5 3 2 3" xfId="34886"/>
    <cellStyle name="Entrada 5 5 3 3" xfId="9941"/>
    <cellStyle name="Entrada 5 5 3 3 2" xfId="20333"/>
    <cellStyle name="Entrada 5 5 3 3 2 2" xfId="49514"/>
    <cellStyle name="Entrada 5 5 3 3 3" xfId="39124"/>
    <cellStyle name="Entrada 5 5 3 4" xfId="13024"/>
    <cellStyle name="Entrada 5 5 3 4 2" xfId="42205"/>
    <cellStyle name="Entrada 5 5 3 5" xfId="31691"/>
    <cellStyle name="Entrada 5 5 4" xfId="4263"/>
    <cellStyle name="Entrada 5 5 4 2" xfId="12094"/>
    <cellStyle name="Entrada 5 5 4 2 2" xfId="41275"/>
    <cellStyle name="Entrada 5 5 4 3" xfId="33446"/>
    <cellStyle name="Entrada 5 5 5" xfId="8541"/>
    <cellStyle name="Entrada 5 5 5 2" xfId="19500"/>
    <cellStyle name="Entrada 5 5 5 2 2" xfId="48681"/>
    <cellStyle name="Entrada 5 5 5 3" xfId="37724"/>
    <cellStyle name="Entrada 5 5 6" xfId="12358"/>
    <cellStyle name="Entrada 5 5 6 2" xfId="41539"/>
    <cellStyle name="Entrada 5 5 7" xfId="29819"/>
    <cellStyle name="Entrada 5 6" xfId="670"/>
    <cellStyle name="Entrada 5 6 2" xfId="1662"/>
    <cellStyle name="Entrada 5 6 2 2" xfId="3462"/>
    <cellStyle name="Entrada 5 6 2 2 2" xfId="6477"/>
    <cellStyle name="Entrada 5 6 2 2 2 2" xfId="18344"/>
    <cellStyle name="Entrada 5 6 2 2 2 2 2" xfId="47525"/>
    <cellStyle name="Entrada 5 6 2 2 2 3" xfId="35660"/>
    <cellStyle name="Entrada 5 6 2 2 3" xfId="7562"/>
    <cellStyle name="Entrada 5 6 2 2 3 2" xfId="18894"/>
    <cellStyle name="Entrada 5 6 2 2 3 2 2" xfId="48075"/>
    <cellStyle name="Entrada 5 6 2 2 3 3" xfId="36745"/>
    <cellStyle name="Entrada 5 6 2 2 4" xfId="17750"/>
    <cellStyle name="Entrada 5 6 2 2 4 2" xfId="46931"/>
    <cellStyle name="Entrada 5 6 2 2 5" xfId="32645"/>
    <cellStyle name="Entrada 5 6 2 3" xfId="5037"/>
    <cellStyle name="Entrada 5 6 2 3 2" xfId="16311"/>
    <cellStyle name="Entrada 5 6 2 3 2 2" xfId="45492"/>
    <cellStyle name="Entrada 5 6 2 3 3" xfId="34220"/>
    <cellStyle name="Entrada 5 6 2 4" xfId="8864"/>
    <cellStyle name="Entrada 5 6 2 4 2" xfId="19685"/>
    <cellStyle name="Entrada 5 6 2 4 2 2" xfId="48866"/>
    <cellStyle name="Entrada 5 6 2 4 3" xfId="38047"/>
    <cellStyle name="Entrada 5 6 2 5" xfId="11839"/>
    <cellStyle name="Entrada 5 6 2 5 2" xfId="41020"/>
    <cellStyle name="Entrada 5 6 2 6" xfId="30845"/>
    <cellStyle name="Entrada 5 6 3" xfId="2562"/>
    <cellStyle name="Entrada 5 6 3 2" xfId="5757"/>
    <cellStyle name="Entrada 5 6 3 2 2" xfId="18040"/>
    <cellStyle name="Entrada 5 6 3 2 2 2" xfId="47221"/>
    <cellStyle name="Entrada 5 6 3 2 3" xfId="34940"/>
    <cellStyle name="Entrada 5 6 3 3" xfId="10391"/>
    <cellStyle name="Entrada 5 6 3 3 2" xfId="20609"/>
    <cellStyle name="Entrada 5 6 3 3 2 2" xfId="49790"/>
    <cellStyle name="Entrada 5 6 3 3 3" xfId="39574"/>
    <cellStyle name="Entrada 5 6 3 4" xfId="13526"/>
    <cellStyle name="Entrada 5 6 3 4 2" xfId="42707"/>
    <cellStyle name="Entrada 5 6 3 5" xfId="31745"/>
    <cellStyle name="Entrada 5 6 4" xfId="4317"/>
    <cellStyle name="Entrada 5 6 4 2" xfId="10910"/>
    <cellStyle name="Entrada 5 6 4 2 2" xfId="40091"/>
    <cellStyle name="Entrada 5 6 4 3" xfId="33500"/>
    <cellStyle name="Entrada 5 6 5" xfId="9488"/>
    <cellStyle name="Entrada 5 6 5 2" xfId="20059"/>
    <cellStyle name="Entrada 5 6 5 2 2" xfId="49240"/>
    <cellStyle name="Entrada 5 6 5 3" xfId="38671"/>
    <cellStyle name="Entrada 5 6 6" xfId="15766"/>
    <cellStyle name="Entrada 5 6 6 2" xfId="44947"/>
    <cellStyle name="Entrada 5 6 7" xfId="29873"/>
    <cellStyle name="Entrada 5 7" xfId="607"/>
    <cellStyle name="Entrada 5 7 2" xfId="1599"/>
    <cellStyle name="Entrada 5 7 2 2" xfId="3399"/>
    <cellStyle name="Entrada 5 7 2 2 2" xfId="6414"/>
    <cellStyle name="Entrada 5 7 2 2 2 2" xfId="18281"/>
    <cellStyle name="Entrada 5 7 2 2 2 2 2" xfId="47462"/>
    <cellStyle name="Entrada 5 7 2 2 2 3" xfId="35597"/>
    <cellStyle name="Entrada 5 7 2 2 3" xfId="10225"/>
    <cellStyle name="Entrada 5 7 2 2 3 2" xfId="20504"/>
    <cellStyle name="Entrada 5 7 2 2 3 2 2" xfId="49685"/>
    <cellStyle name="Entrada 5 7 2 2 3 3" xfId="39408"/>
    <cellStyle name="Entrada 5 7 2 2 4" xfId="14691"/>
    <cellStyle name="Entrada 5 7 2 2 4 2" xfId="43872"/>
    <cellStyle name="Entrada 5 7 2 2 5" xfId="32582"/>
    <cellStyle name="Entrada 5 7 2 3" xfId="4974"/>
    <cellStyle name="Entrada 5 7 2 3 2" xfId="16453"/>
    <cellStyle name="Entrada 5 7 2 3 2 2" xfId="45634"/>
    <cellStyle name="Entrada 5 7 2 3 3" xfId="34157"/>
    <cellStyle name="Entrada 5 7 2 4" xfId="10166"/>
    <cellStyle name="Entrada 5 7 2 4 2" xfId="20470"/>
    <cellStyle name="Entrada 5 7 2 4 2 2" xfId="49651"/>
    <cellStyle name="Entrada 5 7 2 4 3" xfId="39349"/>
    <cellStyle name="Entrada 5 7 2 5" xfId="14048"/>
    <cellStyle name="Entrada 5 7 2 5 2" xfId="43229"/>
    <cellStyle name="Entrada 5 7 2 6" xfId="30782"/>
    <cellStyle name="Entrada 5 7 3" xfId="2499"/>
    <cellStyle name="Entrada 5 7 3 2" xfId="5694"/>
    <cellStyle name="Entrada 5 7 3 2 2" xfId="10613"/>
    <cellStyle name="Entrada 5 7 3 2 2 2" xfId="39794"/>
    <cellStyle name="Entrada 5 7 3 2 3" xfId="34877"/>
    <cellStyle name="Entrada 5 7 3 3" xfId="9166"/>
    <cellStyle name="Entrada 5 7 3 3 2" xfId="19868"/>
    <cellStyle name="Entrada 5 7 3 3 2 2" xfId="49049"/>
    <cellStyle name="Entrada 5 7 3 3 3" xfId="38349"/>
    <cellStyle name="Entrada 5 7 3 4" xfId="17230"/>
    <cellStyle name="Entrada 5 7 3 4 2" xfId="46411"/>
    <cellStyle name="Entrada 5 7 3 5" xfId="31682"/>
    <cellStyle name="Entrada 5 7 4" xfId="4254"/>
    <cellStyle name="Entrada 5 7 4 2" xfId="11744"/>
    <cellStyle name="Entrada 5 7 4 2 2" xfId="40925"/>
    <cellStyle name="Entrada 5 7 4 3" xfId="33437"/>
    <cellStyle name="Entrada 5 7 5" xfId="10333"/>
    <cellStyle name="Entrada 5 7 5 2" xfId="20573"/>
    <cellStyle name="Entrada 5 7 5 2 2" xfId="49754"/>
    <cellStyle name="Entrada 5 7 5 3" xfId="39516"/>
    <cellStyle name="Entrada 5 7 6" xfId="16908"/>
    <cellStyle name="Entrada 5 7 6 2" xfId="46089"/>
    <cellStyle name="Entrada 5 7 7" xfId="29810"/>
    <cellStyle name="Entrada 5 8" xfId="1412"/>
    <cellStyle name="Entrada 5 8 2" xfId="3212"/>
    <cellStyle name="Entrada 5 8 2 2" xfId="6272"/>
    <cellStyle name="Entrada 5 8 2 2 2" xfId="18218"/>
    <cellStyle name="Entrada 5 8 2 2 2 2" xfId="47399"/>
    <cellStyle name="Entrada 5 8 2 2 3" xfId="35455"/>
    <cellStyle name="Entrada 5 8 2 3" xfId="9949"/>
    <cellStyle name="Entrada 5 8 2 3 2" xfId="20339"/>
    <cellStyle name="Entrada 5 8 2 3 2 2" xfId="49520"/>
    <cellStyle name="Entrada 5 8 2 3 3" xfId="39132"/>
    <cellStyle name="Entrada 5 8 2 4" xfId="15408"/>
    <cellStyle name="Entrada 5 8 2 4 2" xfId="44589"/>
    <cellStyle name="Entrada 5 8 2 5" xfId="32395"/>
    <cellStyle name="Entrada 5 8 3" xfId="4832"/>
    <cellStyle name="Entrada 5 8 3 2" xfId="13697"/>
    <cellStyle name="Entrada 5 8 3 2 2" xfId="42878"/>
    <cellStyle name="Entrada 5 8 3 3" xfId="34015"/>
    <cellStyle name="Entrada 5 8 4" xfId="9519"/>
    <cellStyle name="Entrada 5 8 4 2" xfId="20077"/>
    <cellStyle name="Entrada 5 8 4 2 2" xfId="49258"/>
    <cellStyle name="Entrada 5 8 4 3" xfId="38702"/>
    <cellStyle name="Entrada 5 8 5" xfId="17665"/>
    <cellStyle name="Entrada 5 8 5 2" xfId="46846"/>
    <cellStyle name="Entrada 5 8 6" xfId="30595"/>
    <cellStyle name="Entrada 5 9" xfId="2312"/>
    <cellStyle name="Entrada 5 9 2" xfId="5552"/>
    <cellStyle name="Entrada 5 9 2 2" xfId="12467"/>
    <cellStyle name="Entrada 5 9 2 2 2" xfId="41648"/>
    <cellStyle name="Entrada 5 9 2 3" xfId="34735"/>
    <cellStyle name="Entrada 5 9 3" xfId="8104"/>
    <cellStyle name="Entrada 5 9 3 2" xfId="19224"/>
    <cellStyle name="Entrada 5 9 3 2 2" xfId="48405"/>
    <cellStyle name="Entrada 5 9 3 3" xfId="37287"/>
    <cellStyle name="Entrada 5 9 4" xfId="17175"/>
    <cellStyle name="Entrada 5 9 4 2" xfId="46356"/>
    <cellStyle name="Entrada 5 9 5" xfId="31495"/>
    <cellStyle name="Entrada 6" xfId="260"/>
    <cellStyle name="Entrada 6 10" xfId="4113"/>
    <cellStyle name="Entrada 6 10 2" xfId="11302"/>
    <cellStyle name="Entrada 6 10 2 2" xfId="40483"/>
    <cellStyle name="Entrada 6 10 3" xfId="33296"/>
    <cellStyle name="Entrada 6 11" xfId="15850"/>
    <cellStyle name="Entrada 6 11 2" xfId="45031"/>
    <cellStyle name="Entrada 6 12" xfId="29573"/>
    <cellStyle name="Entrada 6 2" xfId="435"/>
    <cellStyle name="Entrada 6 2 10" xfId="10116"/>
    <cellStyle name="Entrada 6 2 10 2" xfId="20442"/>
    <cellStyle name="Entrada 6 2 10 2 2" xfId="49623"/>
    <cellStyle name="Entrada 6 2 10 3" xfId="39299"/>
    <cellStyle name="Entrada 6 2 11" xfId="15662"/>
    <cellStyle name="Entrada 6 2 11 2" xfId="44843"/>
    <cellStyle name="Entrada 6 2 12" xfId="58778"/>
    <cellStyle name="Entrada 6 2 13" xfId="29641"/>
    <cellStyle name="Entrada 6 2 2" xfId="525"/>
    <cellStyle name="Entrada 6 2 2 10" xfId="11342"/>
    <cellStyle name="Entrada 6 2 2 10 2" xfId="40523"/>
    <cellStyle name="Entrada 6 2 2 11" xfId="29731"/>
    <cellStyle name="Entrada 6 2 2 2" xfId="878"/>
    <cellStyle name="Entrada 6 2 2 2 2" xfId="1816"/>
    <cellStyle name="Entrada 6 2 2 2 2 2" xfId="3616"/>
    <cellStyle name="Entrada 6 2 2 2 2 2 2" xfId="6595"/>
    <cellStyle name="Entrada 6 2 2 2 2 2 2 2" xfId="18399"/>
    <cellStyle name="Entrada 6 2 2 2 2 2 2 2 2" xfId="47580"/>
    <cellStyle name="Entrada 6 2 2 2 2 2 2 3" xfId="35778"/>
    <cellStyle name="Entrada 6 2 2 2 2 2 3" xfId="9956"/>
    <cellStyle name="Entrada 6 2 2 2 2 2 3 2" xfId="20344"/>
    <cellStyle name="Entrada 6 2 2 2 2 2 3 2 2" xfId="49525"/>
    <cellStyle name="Entrada 6 2 2 2 2 2 3 3" xfId="39139"/>
    <cellStyle name="Entrada 6 2 2 2 2 2 4" xfId="17290"/>
    <cellStyle name="Entrada 6 2 2 2 2 2 4 2" xfId="46471"/>
    <cellStyle name="Entrada 6 2 2 2 2 2 5" xfId="32799"/>
    <cellStyle name="Entrada 6 2 2 2 2 3" xfId="5155"/>
    <cellStyle name="Entrada 6 2 2 2 2 3 2" xfId="16554"/>
    <cellStyle name="Entrada 6 2 2 2 2 3 2 2" xfId="45735"/>
    <cellStyle name="Entrada 6 2 2 2 2 3 3" xfId="34338"/>
    <cellStyle name="Entrada 6 2 2 2 2 4" xfId="9749"/>
    <cellStyle name="Entrada 6 2 2 2 2 4 2" xfId="20220"/>
    <cellStyle name="Entrada 6 2 2 2 2 4 2 2" xfId="49401"/>
    <cellStyle name="Entrada 6 2 2 2 2 4 3" xfId="38932"/>
    <cellStyle name="Entrada 6 2 2 2 2 5" xfId="15165"/>
    <cellStyle name="Entrada 6 2 2 2 2 5 2" xfId="44346"/>
    <cellStyle name="Entrada 6 2 2 2 2 6" xfId="30999"/>
    <cellStyle name="Entrada 6 2 2 2 3" xfId="2716"/>
    <cellStyle name="Entrada 6 2 2 2 3 2" xfId="5875"/>
    <cellStyle name="Entrada 6 2 2 2 3 2 2" xfId="17120"/>
    <cellStyle name="Entrada 6 2 2 2 3 2 2 2" xfId="46301"/>
    <cellStyle name="Entrada 6 2 2 2 3 2 3" xfId="35058"/>
    <cellStyle name="Entrada 6 2 2 2 3 3" xfId="8355"/>
    <cellStyle name="Entrada 6 2 2 2 3 3 2" xfId="19379"/>
    <cellStyle name="Entrada 6 2 2 2 3 3 2 2" xfId="48560"/>
    <cellStyle name="Entrada 6 2 2 2 3 3 3" xfId="37538"/>
    <cellStyle name="Entrada 6 2 2 2 3 4" xfId="17975"/>
    <cellStyle name="Entrada 6 2 2 2 3 4 2" xfId="47156"/>
    <cellStyle name="Entrada 6 2 2 2 3 5" xfId="31899"/>
    <cellStyle name="Entrada 6 2 2 2 4" xfId="4435"/>
    <cellStyle name="Entrada 6 2 2 2 4 2" xfId="11019"/>
    <cellStyle name="Entrada 6 2 2 2 4 2 2" xfId="40200"/>
    <cellStyle name="Entrada 6 2 2 2 4 3" xfId="33618"/>
    <cellStyle name="Entrada 6 2 2 2 5" xfId="9253"/>
    <cellStyle name="Entrada 6 2 2 2 5 2" xfId="19923"/>
    <cellStyle name="Entrada 6 2 2 2 5 2 2" xfId="49104"/>
    <cellStyle name="Entrada 6 2 2 2 5 3" xfId="38436"/>
    <cellStyle name="Entrada 6 2 2 2 6" xfId="17723"/>
    <cellStyle name="Entrada 6 2 2 2 6 2" xfId="46904"/>
    <cellStyle name="Entrada 6 2 2 2 7" xfId="30075"/>
    <cellStyle name="Entrada 6 2 2 3" xfId="1070"/>
    <cellStyle name="Entrada 6 2 2 3 2" xfId="1980"/>
    <cellStyle name="Entrada 6 2 2 3 2 2" xfId="3780"/>
    <cellStyle name="Entrada 6 2 2 3 2 2 2" xfId="6723"/>
    <cellStyle name="Entrada 6 2 2 3 2 2 2 2" xfId="18453"/>
    <cellStyle name="Entrada 6 2 2 3 2 2 2 2 2" xfId="47634"/>
    <cellStyle name="Entrada 6 2 2 3 2 2 2 3" xfId="35906"/>
    <cellStyle name="Entrada 6 2 2 3 2 2 3" xfId="9974"/>
    <cellStyle name="Entrada 6 2 2 3 2 2 3 2" xfId="20356"/>
    <cellStyle name="Entrada 6 2 2 3 2 2 3 2 2" xfId="49537"/>
    <cellStyle name="Entrada 6 2 2 3 2 2 3 3" xfId="39157"/>
    <cellStyle name="Entrada 6 2 2 3 2 2 4" xfId="10619"/>
    <cellStyle name="Entrada 6 2 2 3 2 2 4 2" xfId="39800"/>
    <cellStyle name="Entrada 6 2 2 3 2 2 5" xfId="32963"/>
    <cellStyle name="Entrada 6 2 2 3 2 3" xfId="5283"/>
    <cellStyle name="Entrada 6 2 2 3 2 3 2" xfId="12797"/>
    <cellStyle name="Entrada 6 2 2 3 2 3 2 2" xfId="41978"/>
    <cellStyle name="Entrada 6 2 2 3 2 3 3" xfId="34466"/>
    <cellStyle name="Entrada 6 2 2 3 2 4" xfId="9628"/>
    <cellStyle name="Entrada 6 2 2 3 2 4 2" xfId="20146"/>
    <cellStyle name="Entrada 6 2 2 3 2 4 2 2" xfId="49327"/>
    <cellStyle name="Entrada 6 2 2 3 2 4 3" xfId="38811"/>
    <cellStyle name="Entrada 6 2 2 3 2 5" xfId="14018"/>
    <cellStyle name="Entrada 6 2 2 3 2 5 2" xfId="43199"/>
    <cellStyle name="Entrada 6 2 2 3 2 6" xfId="31163"/>
    <cellStyle name="Entrada 6 2 2 3 3" xfId="2880"/>
    <cellStyle name="Entrada 6 2 2 3 3 2" xfId="6003"/>
    <cellStyle name="Entrada 6 2 2 3 3 2 2" xfId="10578"/>
    <cellStyle name="Entrada 6 2 2 3 3 2 2 2" xfId="39759"/>
    <cellStyle name="Entrada 6 2 2 3 3 2 3" xfId="35186"/>
    <cellStyle name="Entrada 6 2 2 3 3 3" xfId="8197"/>
    <cellStyle name="Entrada 6 2 2 3 3 3 2" xfId="19284"/>
    <cellStyle name="Entrada 6 2 2 3 3 3 2 2" xfId="48465"/>
    <cellStyle name="Entrada 6 2 2 3 3 3 3" xfId="37380"/>
    <cellStyle name="Entrada 6 2 2 3 3 4" xfId="12769"/>
    <cellStyle name="Entrada 6 2 2 3 3 4 2" xfId="41950"/>
    <cellStyle name="Entrada 6 2 2 3 3 5" xfId="32063"/>
    <cellStyle name="Entrada 6 2 2 3 4" xfId="4563"/>
    <cellStyle name="Entrada 6 2 2 3 4 2" xfId="13985"/>
    <cellStyle name="Entrada 6 2 2 3 4 2 2" xfId="43166"/>
    <cellStyle name="Entrada 6 2 2 3 4 3" xfId="33746"/>
    <cellStyle name="Entrada 6 2 2 3 5" xfId="10330"/>
    <cellStyle name="Entrada 6 2 2 3 5 2" xfId="20570"/>
    <cellStyle name="Entrada 6 2 2 3 5 2 2" xfId="49751"/>
    <cellStyle name="Entrada 6 2 2 3 5 3" xfId="39513"/>
    <cellStyle name="Entrada 6 2 2 3 6" xfId="17849"/>
    <cellStyle name="Entrada 6 2 2 3 6 2" xfId="47030"/>
    <cellStyle name="Entrada 6 2 2 3 7" xfId="30260"/>
    <cellStyle name="Entrada 6 2 2 4" xfId="1220"/>
    <cellStyle name="Entrada 6 2 2 4 2" xfId="2124"/>
    <cellStyle name="Entrada 6 2 2 4 2 2" xfId="3924"/>
    <cellStyle name="Entrada 6 2 2 4 2 2 2" xfId="6840"/>
    <cellStyle name="Entrada 6 2 2 4 2 2 2 2" xfId="18507"/>
    <cellStyle name="Entrada 6 2 2 4 2 2 2 2 2" xfId="47688"/>
    <cellStyle name="Entrada 6 2 2 4 2 2 2 3" xfId="36023"/>
    <cellStyle name="Entrada 6 2 2 4 2 2 3" xfId="7773"/>
    <cellStyle name="Entrada 6 2 2 4 2 2 3 2" xfId="19026"/>
    <cellStyle name="Entrada 6 2 2 4 2 2 3 2 2" xfId="48207"/>
    <cellStyle name="Entrada 6 2 2 4 2 2 3 3" xfId="36956"/>
    <cellStyle name="Entrada 6 2 2 4 2 2 4" xfId="16822"/>
    <cellStyle name="Entrada 6 2 2 4 2 2 4 2" xfId="46003"/>
    <cellStyle name="Entrada 6 2 2 4 2 2 5" xfId="33107"/>
    <cellStyle name="Entrada 6 2 2 4 2 3" xfId="5400"/>
    <cellStyle name="Entrada 6 2 2 4 2 3 2" xfId="15130"/>
    <cellStyle name="Entrada 6 2 2 4 2 3 2 2" xfId="44311"/>
    <cellStyle name="Entrada 6 2 2 4 2 3 3" xfId="34583"/>
    <cellStyle name="Entrada 6 2 2 4 2 4" xfId="8007"/>
    <cellStyle name="Entrada 6 2 2 4 2 4 2" xfId="19168"/>
    <cellStyle name="Entrada 6 2 2 4 2 4 2 2" xfId="48349"/>
    <cellStyle name="Entrada 6 2 2 4 2 4 3" xfId="37190"/>
    <cellStyle name="Entrada 6 2 2 4 2 5" xfId="14353"/>
    <cellStyle name="Entrada 6 2 2 4 2 5 2" xfId="43534"/>
    <cellStyle name="Entrada 6 2 2 4 2 6" xfId="31307"/>
    <cellStyle name="Entrada 6 2 2 4 3" xfId="3024"/>
    <cellStyle name="Entrada 6 2 2 4 3 2" xfId="6120"/>
    <cellStyle name="Entrada 6 2 2 4 3 2 2" xfId="18147"/>
    <cellStyle name="Entrada 6 2 2 4 3 2 2 2" xfId="47328"/>
    <cellStyle name="Entrada 6 2 2 4 3 2 3" xfId="35303"/>
    <cellStyle name="Entrada 6 2 2 4 3 3" xfId="8772"/>
    <cellStyle name="Entrada 6 2 2 4 3 3 2" xfId="19633"/>
    <cellStyle name="Entrada 6 2 2 4 3 3 2 2" xfId="48814"/>
    <cellStyle name="Entrada 6 2 2 4 3 3 3" xfId="37955"/>
    <cellStyle name="Entrada 6 2 2 4 3 4" xfId="12909"/>
    <cellStyle name="Entrada 6 2 2 4 3 4 2" xfId="42090"/>
    <cellStyle name="Entrada 6 2 2 4 3 5" xfId="32207"/>
    <cellStyle name="Entrada 6 2 2 4 4" xfId="4680"/>
    <cellStyle name="Entrada 6 2 2 4 4 2" xfId="17012"/>
    <cellStyle name="Entrada 6 2 2 4 4 2 2" xfId="46193"/>
    <cellStyle name="Entrada 6 2 2 4 4 3" xfId="33863"/>
    <cellStyle name="Entrada 6 2 2 4 5" xfId="7765"/>
    <cellStyle name="Entrada 6 2 2 4 5 2" xfId="19019"/>
    <cellStyle name="Entrada 6 2 2 4 5 2 2" xfId="48200"/>
    <cellStyle name="Entrada 6 2 2 4 5 3" xfId="36948"/>
    <cellStyle name="Entrada 6 2 2 4 6" xfId="15805"/>
    <cellStyle name="Entrada 6 2 2 4 6 2" xfId="44986"/>
    <cellStyle name="Entrada 6 2 2 4 7" xfId="30407"/>
    <cellStyle name="Entrada 6 2 2 5" xfId="1366"/>
    <cellStyle name="Entrada 6 2 2 5 2" xfId="2268"/>
    <cellStyle name="Entrada 6 2 2 5 2 2" xfId="4068"/>
    <cellStyle name="Entrada 6 2 2 5 2 2 2" xfId="6957"/>
    <cellStyle name="Entrada 6 2 2 5 2 2 2 2" xfId="18561"/>
    <cellStyle name="Entrada 6 2 2 5 2 2 2 2 2" xfId="47742"/>
    <cellStyle name="Entrada 6 2 2 5 2 2 2 3" xfId="36140"/>
    <cellStyle name="Entrada 6 2 2 5 2 2 3" xfId="7012"/>
    <cellStyle name="Entrada 6 2 2 5 2 2 3 2" xfId="18579"/>
    <cellStyle name="Entrada 6 2 2 5 2 2 3 2 2" xfId="47760"/>
    <cellStyle name="Entrada 6 2 2 5 2 2 3 3" xfId="36195"/>
    <cellStyle name="Entrada 6 2 2 5 2 2 4" xfId="13516"/>
    <cellStyle name="Entrada 6 2 2 5 2 2 4 2" xfId="42697"/>
    <cellStyle name="Entrada 6 2 2 5 2 2 5" xfId="33251"/>
    <cellStyle name="Entrada 6 2 2 5 2 3" xfId="5517"/>
    <cellStyle name="Entrada 6 2 2 5 2 3 2" xfId="12156"/>
    <cellStyle name="Entrada 6 2 2 5 2 3 2 2" xfId="41337"/>
    <cellStyle name="Entrada 6 2 2 5 2 3 3" xfId="34700"/>
    <cellStyle name="Entrada 6 2 2 5 2 4" xfId="7512"/>
    <cellStyle name="Entrada 6 2 2 5 2 4 2" xfId="18862"/>
    <cellStyle name="Entrada 6 2 2 5 2 4 2 2" xfId="48043"/>
    <cellStyle name="Entrada 6 2 2 5 2 4 3" xfId="36695"/>
    <cellStyle name="Entrada 6 2 2 5 2 5" xfId="15309"/>
    <cellStyle name="Entrada 6 2 2 5 2 5 2" xfId="44490"/>
    <cellStyle name="Entrada 6 2 2 5 2 6" xfId="31451"/>
    <cellStyle name="Entrada 6 2 2 5 3" xfId="3168"/>
    <cellStyle name="Entrada 6 2 2 5 3 2" xfId="6237"/>
    <cellStyle name="Entrada 6 2 2 5 3 2 2" xfId="18201"/>
    <cellStyle name="Entrada 6 2 2 5 3 2 2 2" xfId="47382"/>
    <cellStyle name="Entrada 6 2 2 5 3 2 3" xfId="35420"/>
    <cellStyle name="Entrada 6 2 2 5 3 3" xfId="7201"/>
    <cellStyle name="Entrada 6 2 2 5 3 3 2" xfId="18684"/>
    <cellStyle name="Entrada 6 2 2 5 3 3 2 2" xfId="47865"/>
    <cellStyle name="Entrada 6 2 2 5 3 3 3" xfId="36384"/>
    <cellStyle name="Entrada 6 2 2 5 3 4" xfId="11021"/>
    <cellStyle name="Entrada 6 2 2 5 3 4 2" xfId="40202"/>
    <cellStyle name="Entrada 6 2 2 5 3 5" xfId="32351"/>
    <cellStyle name="Entrada 6 2 2 5 4" xfId="4797"/>
    <cellStyle name="Entrada 6 2 2 5 4 2" xfId="13428"/>
    <cellStyle name="Entrada 6 2 2 5 4 2 2" xfId="42609"/>
    <cellStyle name="Entrada 6 2 2 5 4 3" xfId="33980"/>
    <cellStyle name="Entrada 6 2 2 5 5" xfId="10484"/>
    <cellStyle name="Entrada 6 2 2 5 5 2" xfId="20667"/>
    <cellStyle name="Entrada 6 2 2 5 5 2 2" xfId="49848"/>
    <cellStyle name="Entrada 6 2 2 5 5 3" xfId="39667"/>
    <cellStyle name="Entrada 6 2 2 5 6" xfId="17456"/>
    <cellStyle name="Entrada 6 2 2 5 6 2" xfId="46637"/>
    <cellStyle name="Entrada 6 2 2 5 7" xfId="30551"/>
    <cellStyle name="Entrada 6 2 2 6" xfId="1548"/>
    <cellStyle name="Entrada 6 2 2 6 2" xfId="3348"/>
    <cellStyle name="Entrada 6 2 2 6 2 2" xfId="6381"/>
    <cellStyle name="Entrada 6 2 2 6 2 2 2" xfId="18273"/>
    <cellStyle name="Entrada 6 2 2 6 2 2 2 2" xfId="47454"/>
    <cellStyle name="Entrada 6 2 2 6 2 2 3" xfId="35564"/>
    <cellStyle name="Entrada 6 2 2 6 2 3" xfId="8348"/>
    <cellStyle name="Entrada 6 2 2 6 2 3 2" xfId="19373"/>
    <cellStyle name="Entrada 6 2 2 6 2 3 2 2" xfId="48554"/>
    <cellStyle name="Entrada 6 2 2 6 2 3 3" xfId="37531"/>
    <cellStyle name="Entrada 6 2 2 6 2 4" xfId="11051"/>
    <cellStyle name="Entrada 6 2 2 6 2 4 2" xfId="40232"/>
    <cellStyle name="Entrada 6 2 2 6 2 5" xfId="32531"/>
    <cellStyle name="Entrada 6 2 2 6 3" xfId="4941"/>
    <cellStyle name="Entrada 6 2 2 6 3 2" xfId="12600"/>
    <cellStyle name="Entrada 6 2 2 6 3 2 2" xfId="41781"/>
    <cellStyle name="Entrada 6 2 2 6 3 3" xfId="34124"/>
    <cellStyle name="Entrada 6 2 2 6 4" xfId="7927"/>
    <cellStyle name="Entrada 6 2 2 6 4 2" xfId="19115"/>
    <cellStyle name="Entrada 6 2 2 6 4 2 2" xfId="48296"/>
    <cellStyle name="Entrada 6 2 2 6 4 3" xfId="37110"/>
    <cellStyle name="Entrada 6 2 2 6 5" xfId="10677"/>
    <cellStyle name="Entrada 6 2 2 6 5 2" xfId="39858"/>
    <cellStyle name="Entrada 6 2 2 6 6" xfId="30731"/>
    <cellStyle name="Entrada 6 2 2 7" xfId="2448"/>
    <cellStyle name="Entrada 6 2 2 7 2" xfId="5661"/>
    <cellStyle name="Entrada 6 2 2 7 2 2" xfId="17020"/>
    <cellStyle name="Entrada 6 2 2 7 2 2 2" xfId="46201"/>
    <cellStyle name="Entrada 6 2 2 7 2 3" xfId="34844"/>
    <cellStyle name="Entrada 6 2 2 7 3" xfId="8700"/>
    <cellStyle name="Entrada 6 2 2 7 3 2" xfId="19587"/>
    <cellStyle name="Entrada 6 2 2 7 3 2 2" xfId="48768"/>
    <cellStyle name="Entrada 6 2 2 7 3 3" xfId="37883"/>
    <cellStyle name="Entrada 6 2 2 7 4" xfId="15252"/>
    <cellStyle name="Entrada 6 2 2 7 4 2" xfId="44433"/>
    <cellStyle name="Entrada 6 2 2 7 5" xfId="31631"/>
    <cellStyle name="Entrada 6 2 2 8" xfId="4221"/>
    <cellStyle name="Entrada 6 2 2 8 2" xfId="13817"/>
    <cellStyle name="Entrada 6 2 2 8 2 2" xfId="42998"/>
    <cellStyle name="Entrada 6 2 2 8 3" xfId="33404"/>
    <cellStyle name="Entrada 6 2 2 9" xfId="8144"/>
    <cellStyle name="Entrada 6 2 2 9 2" xfId="19251"/>
    <cellStyle name="Entrada 6 2 2 9 2 2" xfId="48432"/>
    <cellStyle name="Entrada 6 2 2 9 3" xfId="37327"/>
    <cellStyle name="Entrada 6 2 3" xfId="788"/>
    <cellStyle name="Entrada 6 2 3 2" xfId="1726"/>
    <cellStyle name="Entrada 6 2 3 2 2" xfId="3526"/>
    <cellStyle name="Entrada 6 2 3 2 2 2" xfId="6523"/>
    <cellStyle name="Entrada 6 2 3 2 2 2 2" xfId="18363"/>
    <cellStyle name="Entrada 6 2 3 2 2 2 2 2" xfId="47544"/>
    <cellStyle name="Entrada 6 2 3 2 2 2 3" xfId="35706"/>
    <cellStyle name="Entrada 6 2 3 2 2 3" xfId="7374"/>
    <cellStyle name="Entrada 6 2 3 2 2 3 2" xfId="18782"/>
    <cellStyle name="Entrada 6 2 3 2 2 3 2 2" xfId="47963"/>
    <cellStyle name="Entrada 6 2 3 2 2 3 3" xfId="36557"/>
    <cellStyle name="Entrada 6 2 3 2 2 4" xfId="12904"/>
    <cellStyle name="Entrada 6 2 3 2 2 4 2" xfId="42085"/>
    <cellStyle name="Entrada 6 2 3 2 2 5" xfId="32709"/>
    <cellStyle name="Entrada 6 2 3 2 3" xfId="5083"/>
    <cellStyle name="Entrada 6 2 3 2 3 2" xfId="13593"/>
    <cellStyle name="Entrada 6 2 3 2 3 2 2" xfId="42774"/>
    <cellStyle name="Entrada 6 2 3 2 3 3" xfId="34266"/>
    <cellStyle name="Entrada 6 2 3 2 4" xfId="10204"/>
    <cellStyle name="Entrada 6 2 3 2 4 2" xfId="20495"/>
    <cellStyle name="Entrada 6 2 3 2 4 2 2" xfId="49676"/>
    <cellStyle name="Entrada 6 2 3 2 4 3" xfId="39387"/>
    <cellStyle name="Entrada 6 2 3 2 5" xfId="14696"/>
    <cellStyle name="Entrada 6 2 3 2 5 2" xfId="43877"/>
    <cellStyle name="Entrada 6 2 3 2 6" xfId="30909"/>
    <cellStyle name="Entrada 6 2 3 3" xfId="2626"/>
    <cellStyle name="Entrada 6 2 3 3 2" xfId="5803"/>
    <cellStyle name="Entrada 6 2 3 3 2 2" xfId="12347"/>
    <cellStyle name="Entrada 6 2 3 3 2 2 2" xfId="41528"/>
    <cellStyle name="Entrada 6 2 3 3 2 3" xfId="34986"/>
    <cellStyle name="Entrada 6 2 3 3 3" xfId="9428"/>
    <cellStyle name="Entrada 6 2 3 3 3 2" xfId="20028"/>
    <cellStyle name="Entrada 6 2 3 3 3 2 2" xfId="49209"/>
    <cellStyle name="Entrada 6 2 3 3 3 3" xfId="38611"/>
    <cellStyle name="Entrada 6 2 3 3 4" xfId="14155"/>
    <cellStyle name="Entrada 6 2 3 3 4 2" xfId="43336"/>
    <cellStyle name="Entrada 6 2 3 3 5" xfId="31809"/>
    <cellStyle name="Entrada 6 2 3 4" xfId="4363"/>
    <cellStyle name="Entrada 6 2 3 4 2" xfId="11833"/>
    <cellStyle name="Entrada 6 2 3 4 2 2" xfId="41014"/>
    <cellStyle name="Entrada 6 2 3 4 3" xfId="33546"/>
    <cellStyle name="Entrada 6 2 3 5" xfId="8641"/>
    <cellStyle name="Entrada 6 2 3 5 2" xfId="19555"/>
    <cellStyle name="Entrada 6 2 3 5 2 2" xfId="48736"/>
    <cellStyle name="Entrada 6 2 3 5 3" xfId="37824"/>
    <cellStyle name="Entrada 6 2 3 6" xfId="11505"/>
    <cellStyle name="Entrada 6 2 3 6 2" xfId="40686"/>
    <cellStyle name="Entrada 6 2 3 7" xfId="29985"/>
    <cellStyle name="Entrada 6 2 4" xfId="980"/>
    <cellStyle name="Entrada 6 2 4 2" xfId="1890"/>
    <cellStyle name="Entrada 6 2 4 2 2" xfId="3690"/>
    <cellStyle name="Entrada 6 2 4 2 2 2" xfId="6651"/>
    <cellStyle name="Entrada 6 2 4 2 2 2 2" xfId="18417"/>
    <cellStyle name="Entrada 6 2 4 2 2 2 2 2" xfId="47598"/>
    <cellStyle name="Entrada 6 2 4 2 2 2 3" xfId="35834"/>
    <cellStyle name="Entrada 6 2 4 2 2 3" xfId="8228"/>
    <cellStyle name="Entrada 6 2 4 2 2 3 2" xfId="19301"/>
    <cellStyle name="Entrada 6 2 4 2 2 3 2 2" xfId="48482"/>
    <cellStyle name="Entrada 6 2 4 2 2 3 3" xfId="37411"/>
    <cellStyle name="Entrada 6 2 4 2 2 4" xfId="15406"/>
    <cellStyle name="Entrada 6 2 4 2 2 4 2" xfId="44587"/>
    <cellStyle name="Entrada 6 2 4 2 2 5" xfId="32873"/>
    <cellStyle name="Entrada 6 2 4 2 3" xfId="5211"/>
    <cellStyle name="Entrada 6 2 4 2 3 2" xfId="11080"/>
    <cellStyle name="Entrada 6 2 4 2 3 2 2" xfId="40261"/>
    <cellStyle name="Entrada 6 2 4 2 3 3" xfId="34394"/>
    <cellStyle name="Entrada 6 2 4 2 4" xfId="10064"/>
    <cellStyle name="Entrada 6 2 4 2 4 2" xfId="20413"/>
    <cellStyle name="Entrada 6 2 4 2 4 2 2" xfId="49594"/>
    <cellStyle name="Entrada 6 2 4 2 4 3" xfId="39247"/>
    <cellStyle name="Entrada 6 2 4 2 5" xfId="11309"/>
    <cellStyle name="Entrada 6 2 4 2 5 2" xfId="40490"/>
    <cellStyle name="Entrada 6 2 4 2 6" xfId="31073"/>
    <cellStyle name="Entrada 6 2 4 3" xfId="2790"/>
    <cellStyle name="Entrada 6 2 4 3 2" xfId="5931"/>
    <cellStyle name="Entrada 6 2 4 3 2 2" xfId="10746"/>
    <cellStyle name="Entrada 6 2 4 3 2 2 2" xfId="39927"/>
    <cellStyle name="Entrada 6 2 4 3 2 3" xfId="35114"/>
    <cellStyle name="Entrada 6 2 4 3 3" xfId="9289"/>
    <cellStyle name="Entrada 6 2 4 3 3 2" xfId="19944"/>
    <cellStyle name="Entrada 6 2 4 3 3 2 2" xfId="49125"/>
    <cellStyle name="Entrada 6 2 4 3 3 3" xfId="38472"/>
    <cellStyle name="Entrada 6 2 4 3 4" xfId="16617"/>
    <cellStyle name="Entrada 6 2 4 3 4 2" xfId="45798"/>
    <cellStyle name="Entrada 6 2 4 3 5" xfId="31973"/>
    <cellStyle name="Entrada 6 2 4 4" xfId="4491"/>
    <cellStyle name="Entrada 6 2 4 4 2" xfId="15301"/>
    <cellStyle name="Entrada 6 2 4 4 2 2" xfId="44482"/>
    <cellStyle name="Entrada 6 2 4 4 3" xfId="33674"/>
    <cellStyle name="Entrada 6 2 4 5" xfId="7768"/>
    <cellStyle name="Entrada 6 2 4 5 2" xfId="19022"/>
    <cellStyle name="Entrada 6 2 4 5 2 2" xfId="48203"/>
    <cellStyle name="Entrada 6 2 4 5 3" xfId="36951"/>
    <cellStyle name="Entrada 6 2 4 6" xfId="16811"/>
    <cellStyle name="Entrada 6 2 4 6 2" xfId="45992"/>
    <cellStyle name="Entrada 6 2 4 7" xfId="30170"/>
    <cellStyle name="Entrada 6 2 5" xfId="1130"/>
    <cellStyle name="Entrada 6 2 5 2" xfId="2034"/>
    <cellStyle name="Entrada 6 2 5 2 2" xfId="3834"/>
    <cellStyle name="Entrada 6 2 5 2 2 2" xfId="6768"/>
    <cellStyle name="Entrada 6 2 5 2 2 2 2" xfId="18471"/>
    <cellStyle name="Entrada 6 2 5 2 2 2 2 2" xfId="47652"/>
    <cellStyle name="Entrada 6 2 5 2 2 2 3" xfId="35951"/>
    <cellStyle name="Entrada 6 2 5 2 2 3" xfId="10376"/>
    <cellStyle name="Entrada 6 2 5 2 2 3 2" xfId="20601"/>
    <cellStyle name="Entrada 6 2 5 2 2 3 2 2" xfId="49782"/>
    <cellStyle name="Entrada 6 2 5 2 2 3 3" xfId="39559"/>
    <cellStyle name="Entrada 6 2 5 2 2 4" xfId="14071"/>
    <cellStyle name="Entrada 6 2 5 2 2 4 2" xfId="43252"/>
    <cellStyle name="Entrada 6 2 5 2 2 5" xfId="33017"/>
    <cellStyle name="Entrada 6 2 5 2 3" xfId="5328"/>
    <cellStyle name="Entrada 6 2 5 2 3 2" xfId="17916"/>
    <cellStyle name="Entrada 6 2 5 2 3 2 2" xfId="47097"/>
    <cellStyle name="Entrada 6 2 5 2 3 3" xfId="34511"/>
    <cellStyle name="Entrada 6 2 5 2 4" xfId="9056"/>
    <cellStyle name="Entrada 6 2 5 2 4 2" xfId="19799"/>
    <cellStyle name="Entrada 6 2 5 2 4 2 2" xfId="48980"/>
    <cellStyle name="Entrada 6 2 5 2 4 3" xfId="38239"/>
    <cellStyle name="Entrada 6 2 5 2 5" xfId="16164"/>
    <cellStyle name="Entrada 6 2 5 2 5 2" xfId="45345"/>
    <cellStyle name="Entrada 6 2 5 2 6" xfId="31217"/>
    <cellStyle name="Entrada 6 2 5 3" xfId="2934"/>
    <cellStyle name="Entrada 6 2 5 3 2" xfId="6048"/>
    <cellStyle name="Entrada 6 2 5 3 2 2" xfId="10560"/>
    <cellStyle name="Entrada 6 2 5 3 2 2 2" xfId="39741"/>
    <cellStyle name="Entrada 6 2 5 3 2 3" xfId="35231"/>
    <cellStyle name="Entrada 6 2 5 3 3" xfId="7419"/>
    <cellStyle name="Entrada 6 2 5 3 3 2" xfId="18806"/>
    <cellStyle name="Entrada 6 2 5 3 3 2 2" xfId="47987"/>
    <cellStyle name="Entrada 6 2 5 3 3 3" xfId="36602"/>
    <cellStyle name="Entrada 6 2 5 3 4" xfId="12194"/>
    <cellStyle name="Entrada 6 2 5 3 4 2" xfId="41375"/>
    <cellStyle name="Entrada 6 2 5 3 5" xfId="32117"/>
    <cellStyle name="Entrada 6 2 5 4" xfId="4608"/>
    <cellStyle name="Entrada 6 2 5 4 2" xfId="12350"/>
    <cellStyle name="Entrada 6 2 5 4 2 2" xfId="41531"/>
    <cellStyle name="Entrada 6 2 5 4 3" xfId="33791"/>
    <cellStyle name="Entrada 6 2 5 5" xfId="10367"/>
    <cellStyle name="Entrada 6 2 5 5 2" xfId="20595"/>
    <cellStyle name="Entrada 6 2 5 5 2 2" xfId="49776"/>
    <cellStyle name="Entrada 6 2 5 5 3" xfId="39550"/>
    <cellStyle name="Entrada 6 2 5 6" xfId="11170"/>
    <cellStyle name="Entrada 6 2 5 6 2" xfId="40351"/>
    <cellStyle name="Entrada 6 2 5 7" xfId="30317"/>
    <cellStyle name="Entrada 6 2 6" xfId="1276"/>
    <cellStyle name="Entrada 6 2 6 2" xfId="2178"/>
    <cellStyle name="Entrada 6 2 6 2 2" xfId="3978"/>
    <cellStyle name="Entrada 6 2 6 2 2 2" xfId="6885"/>
    <cellStyle name="Entrada 6 2 6 2 2 2 2" xfId="18525"/>
    <cellStyle name="Entrada 6 2 6 2 2 2 2 2" xfId="47706"/>
    <cellStyle name="Entrada 6 2 6 2 2 2 3" xfId="36068"/>
    <cellStyle name="Entrada 6 2 6 2 2 3" xfId="7102"/>
    <cellStyle name="Entrada 6 2 6 2 2 3 2" xfId="18633"/>
    <cellStyle name="Entrada 6 2 6 2 2 3 2 2" xfId="47814"/>
    <cellStyle name="Entrada 6 2 6 2 2 3 3" xfId="36285"/>
    <cellStyle name="Entrada 6 2 6 2 2 4" xfId="13343"/>
    <cellStyle name="Entrada 6 2 6 2 2 4 2" xfId="42524"/>
    <cellStyle name="Entrada 6 2 6 2 2 5" xfId="33161"/>
    <cellStyle name="Entrada 6 2 6 2 3" xfId="5445"/>
    <cellStyle name="Entrada 6 2 6 2 3 2" xfId="14176"/>
    <cellStyle name="Entrada 6 2 6 2 3 2 2" xfId="43357"/>
    <cellStyle name="Entrada 6 2 6 2 3 3" xfId="34628"/>
    <cellStyle name="Entrada 6 2 6 2 4" xfId="10474"/>
    <cellStyle name="Entrada 6 2 6 2 4 2" xfId="20661"/>
    <cellStyle name="Entrada 6 2 6 2 4 2 2" xfId="49842"/>
    <cellStyle name="Entrada 6 2 6 2 4 3" xfId="39657"/>
    <cellStyle name="Entrada 6 2 6 2 5" xfId="13768"/>
    <cellStyle name="Entrada 6 2 6 2 5 2" xfId="42949"/>
    <cellStyle name="Entrada 6 2 6 2 6" xfId="31361"/>
    <cellStyle name="Entrada 6 2 6 3" xfId="3078"/>
    <cellStyle name="Entrada 6 2 6 3 2" xfId="6165"/>
    <cellStyle name="Entrada 6 2 6 3 2 2" xfId="18165"/>
    <cellStyle name="Entrada 6 2 6 3 2 2 2" xfId="47346"/>
    <cellStyle name="Entrada 6 2 6 3 2 3" xfId="35348"/>
    <cellStyle name="Entrada 6 2 6 3 3" xfId="9696"/>
    <cellStyle name="Entrada 6 2 6 3 3 2" xfId="20188"/>
    <cellStyle name="Entrada 6 2 6 3 3 2 2" xfId="49369"/>
    <cellStyle name="Entrada 6 2 6 3 3 3" xfId="38879"/>
    <cellStyle name="Entrada 6 2 6 3 4" xfId="12573"/>
    <cellStyle name="Entrada 6 2 6 3 4 2" xfId="41754"/>
    <cellStyle name="Entrada 6 2 6 3 5" xfId="32261"/>
    <cellStyle name="Entrada 6 2 6 4" xfId="4725"/>
    <cellStyle name="Entrada 6 2 6 4 2" xfId="14745"/>
    <cellStyle name="Entrada 6 2 6 4 2 2" xfId="43926"/>
    <cellStyle name="Entrada 6 2 6 4 3" xfId="33908"/>
    <cellStyle name="Entrada 6 2 6 5" xfId="8383"/>
    <cellStyle name="Entrada 6 2 6 5 2" xfId="19397"/>
    <cellStyle name="Entrada 6 2 6 5 2 2" xfId="48578"/>
    <cellStyle name="Entrada 6 2 6 5 3" xfId="37566"/>
    <cellStyle name="Entrada 6 2 6 6" xfId="12546"/>
    <cellStyle name="Entrada 6 2 6 6 2" xfId="41727"/>
    <cellStyle name="Entrada 6 2 6 7" xfId="30461"/>
    <cellStyle name="Entrada 6 2 7" xfId="1458"/>
    <cellStyle name="Entrada 6 2 7 2" xfId="3258"/>
    <cellStyle name="Entrada 6 2 7 2 2" xfId="6309"/>
    <cellStyle name="Entrada 6 2 7 2 2 2" xfId="18237"/>
    <cellStyle name="Entrada 6 2 7 2 2 2 2" xfId="47418"/>
    <cellStyle name="Entrada 6 2 7 2 2 3" xfId="35492"/>
    <cellStyle name="Entrada 6 2 7 2 3" xfId="9421"/>
    <cellStyle name="Entrada 6 2 7 2 3 2" xfId="20022"/>
    <cellStyle name="Entrada 6 2 7 2 3 2 2" xfId="49203"/>
    <cellStyle name="Entrada 6 2 7 2 3 3" xfId="38604"/>
    <cellStyle name="Entrada 6 2 7 2 4" xfId="12272"/>
    <cellStyle name="Entrada 6 2 7 2 4 2" xfId="41453"/>
    <cellStyle name="Entrada 6 2 7 2 5" xfId="32441"/>
    <cellStyle name="Entrada 6 2 7 3" xfId="4869"/>
    <cellStyle name="Entrada 6 2 7 3 2" xfId="14972"/>
    <cellStyle name="Entrada 6 2 7 3 2 2" xfId="44153"/>
    <cellStyle name="Entrada 6 2 7 3 3" xfId="34052"/>
    <cellStyle name="Entrada 6 2 7 4" xfId="10106"/>
    <cellStyle name="Entrada 6 2 7 4 2" xfId="20435"/>
    <cellStyle name="Entrada 6 2 7 4 2 2" xfId="49616"/>
    <cellStyle name="Entrada 6 2 7 4 3" xfId="39289"/>
    <cellStyle name="Entrada 6 2 7 5" xfId="16721"/>
    <cellStyle name="Entrada 6 2 7 5 2" xfId="45902"/>
    <cellStyle name="Entrada 6 2 7 6" xfId="30641"/>
    <cellStyle name="Entrada 6 2 8" xfId="2358"/>
    <cellStyle name="Entrada 6 2 8 2" xfId="5589"/>
    <cellStyle name="Entrada 6 2 8 2 2" xfId="14409"/>
    <cellStyle name="Entrada 6 2 8 2 2 2" xfId="43590"/>
    <cellStyle name="Entrada 6 2 8 2 3" xfId="34772"/>
    <cellStyle name="Entrada 6 2 8 3" xfId="7609"/>
    <cellStyle name="Entrada 6 2 8 3 2" xfId="18925"/>
    <cellStyle name="Entrada 6 2 8 3 2 2" xfId="48106"/>
    <cellStyle name="Entrada 6 2 8 3 3" xfId="36792"/>
    <cellStyle name="Entrada 6 2 8 4" xfId="13793"/>
    <cellStyle name="Entrada 6 2 8 4 2" xfId="42974"/>
    <cellStyle name="Entrada 6 2 8 5" xfId="31541"/>
    <cellStyle name="Entrada 6 2 9" xfId="4149"/>
    <cellStyle name="Entrada 6 2 9 2" xfId="16218"/>
    <cellStyle name="Entrada 6 2 9 2 2" xfId="45399"/>
    <cellStyle name="Entrada 6 2 9 3" xfId="33332"/>
    <cellStyle name="Entrada 6 3" xfId="480"/>
    <cellStyle name="Entrada 6 3 10" xfId="16878"/>
    <cellStyle name="Entrada 6 3 10 2" xfId="46059"/>
    <cellStyle name="Entrada 6 3 11" xfId="29686"/>
    <cellStyle name="Entrada 6 3 2" xfId="833"/>
    <cellStyle name="Entrada 6 3 2 2" xfId="1771"/>
    <cellStyle name="Entrada 6 3 2 2 2" xfId="3571"/>
    <cellStyle name="Entrada 6 3 2 2 2 2" xfId="6559"/>
    <cellStyle name="Entrada 6 3 2 2 2 2 2" xfId="18381"/>
    <cellStyle name="Entrada 6 3 2 2 2 2 2 2" xfId="47562"/>
    <cellStyle name="Entrada 6 3 2 2 2 2 3" xfId="35742"/>
    <cellStyle name="Entrada 6 3 2 2 2 3" xfId="10421"/>
    <cellStyle name="Entrada 6 3 2 2 2 3 2" xfId="20627"/>
    <cellStyle name="Entrada 6 3 2 2 2 3 2 2" xfId="49808"/>
    <cellStyle name="Entrada 6 3 2 2 2 3 3" xfId="39604"/>
    <cellStyle name="Entrada 6 3 2 2 2 4" xfId="17510"/>
    <cellStyle name="Entrada 6 3 2 2 2 4 2" xfId="46691"/>
    <cellStyle name="Entrada 6 3 2 2 2 5" xfId="32754"/>
    <cellStyle name="Entrada 6 3 2 2 3" xfId="5119"/>
    <cellStyle name="Entrada 6 3 2 2 3 2" xfId="18001"/>
    <cellStyle name="Entrada 6 3 2 2 3 2 2" xfId="47182"/>
    <cellStyle name="Entrada 6 3 2 2 3 3" xfId="34302"/>
    <cellStyle name="Entrada 6 3 2 2 4" xfId="10008"/>
    <cellStyle name="Entrada 6 3 2 2 4 2" xfId="20379"/>
    <cellStyle name="Entrada 6 3 2 2 4 2 2" xfId="49560"/>
    <cellStyle name="Entrada 6 3 2 2 4 3" xfId="39191"/>
    <cellStyle name="Entrada 6 3 2 2 5" xfId="13732"/>
    <cellStyle name="Entrada 6 3 2 2 5 2" xfId="42913"/>
    <cellStyle name="Entrada 6 3 2 2 6" xfId="30954"/>
    <cellStyle name="Entrada 6 3 2 3" xfId="2671"/>
    <cellStyle name="Entrada 6 3 2 3 2" xfId="5839"/>
    <cellStyle name="Entrada 6 3 2 3 2 2" xfId="16441"/>
    <cellStyle name="Entrada 6 3 2 3 2 2 2" xfId="45622"/>
    <cellStyle name="Entrada 6 3 2 3 2 3" xfId="35022"/>
    <cellStyle name="Entrada 6 3 2 3 3" xfId="9224"/>
    <cellStyle name="Entrada 6 3 2 3 3 2" xfId="19906"/>
    <cellStyle name="Entrada 6 3 2 3 3 2 2" xfId="49087"/>
    <cellStyle name="Entrada 6 3 2 3 3 3" xfId="38407"/>
    <cellStyle name="Entrada 6 3 2 3 4" xfId="12440"/>
    <cellStyle name="Entrada 6 3 2 3 4 2" xfId="41621"/>
    <cellStyle name="Entrada 6 3 2 3 5" xfId="31854"/>
    <cellStyle name="Entrada 6 3 2 4" xfId="4399"/>
    <cellStyle name="Entrada 6 3 2 4 2" xfId="11375"/>
    <cellStyle name="Entrada 6 3 2 4 2 2" xfId="40556"/>
    <cellStyle name="Entrada 6 3 2 4 3" xfId="33582"/>
    <cellStyle name="Entrada 6 3 2 5" xfId="9448"/>
    <cellStyle name="Entrada 6 3 2 5 2" xfId="20038"/>
    <cellStyle name="Entrada 6 3 2 5 2 2" xfId="49219"/>
    <cellStyle name="Entrada 6 3 2 5 3" xfId="38631"/>
    <cellStyle name="Entrada 6 3 2 6" xfId="13350"/>
    <cellStyle name="Entrada 6 3 2 6 2" xfId="42531"/>
    <cellStyle name="Entrada 6 3 2 7" xfId="30030"/>
    <cellStyle name="Entrada 6 3 3" xfId="1025"/>
    <cellStyle name="Entrada 6 3 3 2" xfId="1935"/>
    <cellStyle name="Entrada 6 3 3 2 2" xfId="3735"/>
    <cellStyle name="Entrada 6 3 3 2 2 2" xfId="6687"/>
    <cellStyle name="Entrada 6 3 3 2 2 2 2" xfId="18435"/>
    <cellStyle name="Entrada 6 3 3 2 2 2 2 2" xfId="47616"/>
    <cellStyle name="Entrada 6 3 3 2 2 2 3" xfId="35870"/>
    <cellStyle name="Entrada 6 3 3 2 2 3" xfId="10300"/>
    <cellStyle name="Entrada 6 3 3 2 2 3 2" xfId="20549"/>
    <cellStyle name="Entrada 6 3 3 2 2 3 2 2" xfId="49730"/>
    <cellStyle name="Entrada 6 3 3 2 2 3 3" xfId="39483"/>
    <cellStyle name="Entrada 6 3 3 2 2 4" xfId="10646"/>
    <cellStyle name="Entrada 6 3 3 2 2 4 2" xfId="39827"/>
    <cellStyle name="Entrada 6 3 3 2 2 5" xfId="32918"/>
    <cellStyle name="Entrada 6 3 3 2 3" xfId="5247"/>
    <cellStyle name="Entrada 6 3 3 2 3 2" xfId="12881"/>
    <cellStyle name="Entrada 6 3 3 2 3 2 2" xfId="42062"/>
    <cellStyle name="Entrada 6 3 3 2 3 3" xfId="34430"/>
    <cellStyle name="Entrada 6 3 3 2 4" xfId="9861"/>
    <cellStyle name="Entrada 6 3 3 2 4 2" xfId="20286"/>
    <cellStyle name="Entrada 6 3 3 2 4 2 2" xfId="49467"/>
    <cellStyle name="Entrada 6 3 3 2 4 3" xfId="39044"/>
    <cellStyle name="Entrada 6 3 3 2 5" xfId="13287"/>
    <cellStyle name="Entrada 6 3 3 2 5 2" xfId="42468"/>
    <cellStyle name="Entrada 6 3 3 2 6" xfId="31118"/>
    <cellStyle name="Entrada 6 3 3 3" xfId="2835"/>
    <cellStyle name="Entrada 6 3 3 3 2" xfId="5967"/>
    <cellStyle name="Entrada 6 3 3 3 2 2" xfId="10596"/>
    <cellStyle name="Entrada 6 3 3 3 2 2 2" xfId="39777"/>
    <cellStyle name="Entrada 6 3 3 3 2 3" xfId="35150"/>
    <cellStyle name="Entrada 6 3 3 3 3" xfId="9086"/>
    <cellStyle name="Entrada 6 3 3 3 3 2" xfId="19818"/>
    <cellStyle name="Entrada 6 3 3 3 3 2 2" xfId="48999"/>
    <cellStyle name="Entrada 6 3 3 3 3 3" xfId="38269"/>
    <cellStyle name="Entrada 6 3 3 3 4" xfId="17962"/>
    <cellStyle name="Entrada 6 3 3 3 4 2" xfId="47143"/>
    <cellStyle name="Entrada 6 3 3 3 5" xfId="32018"/>
    <cellStyle name="Entrada 6 3 3 4" xfId="4527"/>
    <cellStyle name="Entrada 6 3 3 4 2" xfId="14073"/>
    <cellStyle name="Entrada 6 3 3 4 2 2" xfId="43254"/>
    <cellStyle name="Entrada 6 3 3 4 3" xfId="33710"/>
    <cellStyle name="Entrada 6 3 3 5" xfId="8257"/>
    <cellStyle name="Entrada 6 3 3 5 2" xfId="19316"/>
    <cellStyle name="Entrada 6 3 3 5 2 2" xfId="48497"/>
    <cellStyle name="Entrada 6 3 3 5 3" xfId="37440"/>
    <cellStyle name="Entrada 6 3 3 6" xfId="17188"/>
    <cellStyle name="Entrada 6 3 3 6 2" xfId="46369"/>
    <cellStyle name="Entrada 6 3 3 7" xfId="30215"/>
    <cellStyle name="Entrada 6 3 4" xfId="1175"/>
    <cellStyle name="Entrada 6 3 4 2" xfId="2079"/>
    <cellStyle name="Entrada 6 3 4 2 2" xfId="3879"/>
    <cellStyle name="Entrada 6 3 4 2 2 2" xfId="6804"/>
    <cellStyle name="Entrada 6 3 4 2 2 2 2" xfId="18489"/>
    <cellStyle name="Entrada 6 3 4 2 2 2 2 2" xfId="47670"/>
    <cellStyle name="Entrada 6 3 4 2 2 2 3" xfId="35987"/>
    <cellStyle name="Entrada 6 3 4 2 2 3" xfId="10219"/>
    <cellStyle name="Entrada 6 3 4 2 2 3 2" xfId="20502"/>
    <cellStyle name="Entrada 6 3 4 2 2 3 2 2" xfId="49683"/>
    <cellStyle name="Entrada 6 3 4 2 2 3 3" xfId="39402"/>
    <cellStyle name="Entrada 6 3 4 2 2 4" xfId="12472"/>
    <cellStyle name="Entrada 6 3 4 2 2 4 2" xfId="41653"/>
    <cellStyle name="Entrada 6 3 4 2 2 5" xfId="33062"/>
    <cellStyle name="Entrada 6 3 4 2 3" xfId="5364"/>
    <cellStyle name="Entrada 6 3 4 2 3 2" xfId="15441"/>
    <cellStyle name="Entrada 6 3 4 2 3 2 2" xfId="44622"/>
    <cellStyle name="Entrada 6 3 4 2 3 3" xfId="34547"/>
    <cellStyle name="Entrada 6 3 4 2 4" xfId="10160"/>
    <cellStyle name="Entrada 6 3 4 2 4 2" xfId="20468"/>
    <cellStyle name="Entrada 6 3 4 2 4 2 2" xfId="49649"/>
    <cellStyle name="Entrada 6 3 4 2 4 3" xfId="39343"/>
    <cellStyle name="Entrada 6 3 4 2 5" xfId="15171"/>
    <cellStyle name="Entrada 6 3 4 2 5 2" xfId="44352"/>
    <cellStyle name="Entrada 6 3 4 2 6" xfId="31262"/>
    <cellStyle name="Entrada 6 3 4 3" xfId="2979"/>
    <cellStyle name="Entrada 6 3 4 3 2" xfId="6084"/>
    <cellStyle name="Entrada 6 3 4 3 2 2" xfId="10542"/>
    <cellStyle name="Entrada 6 3 4 3 2 2 2" xfId="39723"/>
    <cellStyle name="Entrada 6 3 4 3 2 3" xfId="35267"/>
    <cellStyle name="Entrada 6 3 4 3 3" xfId="9172"/>
    <cellStyle name="Entrada 6 3 4 3 3 2" xfId="19870"/>
    <cellStyle name="Entrada 6 3 4 3 3 2 2" xfId="49051"/>
    <cellStyle name="Entrada 6 3 4 3 3 3" xfId="38355"/>
    <cellStyle name="Entrada 6 3 4 3 4" xfId="17137"/>
    <cellStyle name="Entrada 6 3 4 3 4 2" xfId="46318"/>
    <cellStyle name="Entrada 6 3 4 3 5" xfId="32162"/>
    <cellStyle name="Entrada 6 3 4 4" xfId="4644"/>
    <cellStyle name="Entrada 6 3 4 4 2" xfId="17382"/>
    <cellStyle name="Entrada 6 3 4 4 2 2" xfId="46563"/>
    <cellStyle name="Entrada 6 3 4 4 3" xfId="33827"/>
    <cellStyle name="Entrada 6 3 4 5" xfId="7971"/>
    <cellStyle name="Entrada 6 3 4 5 2" xfId="19145"/>
    <cellStyle name="Entrada 6 3 4 5 2 2" xfId="48326"/>
    <cellStyle name="Entrada 6 3 4 5 3" xfId="37154"/>
    <cellStyle name="Entrada 6 3 4 6" xfId="13028"/>
    <cellStyle name="Entrada 6 3 4 6 2" xfId="42209"/>
    <cellStyle name="Entrada 6 3 4 7" xfId="30362"/>
    <cellStyle name="Entrada 6 3 5" xfId="1321"/>
    <cellStyle name="Entrada 6 3 5 2" xfId="2223"/>
    <cellStyle name="Entrada 6 3 5 2 2" xfId="4023"/>
    <cellStyle name="Entrada 6 3 5 2 2 2" xfId="6921"/>
    <cellStyle name="Entrada 6 3 5 2 2 2 2" xfId="18543"/>
    <cellStyle name="Entrada 6 3 5 2 2 2 2 2" xfId="47724"/>
    <cellStyle name="Entrada 6 3 5 2 2 2 3" xfId="36104"/>
    <cellStyle name="Entrada 6 3 5 2 2 3" xfId="7057"/>
    <cellStyle name="Entrada 6 3 5 2 2 3 2" xfId="18606"/>
    <cellStyle name="Entrada 6 3 5 2 2 3 2 2" xfId="47787"/>
    <cellStyle name="Entrada 6 3 5 2 2 3 3" xfId="36240"/>
    <cellStyle name="Entrada 6 3 5 2 2 4" xfId="14495"/>
    <cellStyle name="Entrada 6 3 5 2 2 4 2" xfId="43676"/>
    <cellStyle name="Entrada 6 3 5 2 2 5" xfId="33206"/>
    <cellStyle name="Entrada 6 3 5 2 3" xfId="5481"/>
    <cellStyle name="Entrada 6 3 5 2 3 2" xfId="12245"/>
    <cellStyle name="Entrada 6 3 5 2 3 2 2" xfId="41426"/>
    <cellStyle name="Entrada 6 3 5 2 3 3" xfId="34664"/>
    <cellStyle name="Entrada 6 3 5 2 4" xfId="8083"/>
    <cellStyle name="Entrada 6 3 5 2 4 2" xfId="19211"/>
    <cellStyle name="Entrada 6 3 5 2 4 2 2" xfId="48392"/>
    <cellStyle name="Entrada 6 3 5 2 4 3" xfId="37266"/>
    <cellStyle name="Entrada 6 3 5 2 5" xfId="11560"/>
    <cellStyle name="Entrada 6 3 5 2 5 2" xfId="40741"/>
    <cellStyle name="Entrada 6 3 5 2 6" xfId="31406"/>
    <cellStyle name="Entrada 6 3 5 3" xfId="3123"/>
    <cellStyle name="Entrada 6 3 5 3 2" xfId="6201"/>
    <cellStyle name="Entrada 6 3 5 3 2 2" xfId="18183"/>
    <cellStyle name="Entrada 6 3 5 3 2 2 2" xfId="47364"/>
    <cellStyle name="Entrada 6 3 5 3 2 3" xfId="35384"/>
    <cellStyle name="Entrada 6 3 5 3 3" xfId="8848"/>
    <cellStyle name="Entrada 6 3 5 3 3 2" xfId="19677"/>
    <cellStyle name="Entrada 6 3 5 3 3 2 2" xfId="48858"/>
    <cellStyle name="Entrada 6 3 5 3 3 3" xfId="38031"/>
    <cellStyle name="Entrada 6 3 5 3 4" xfId="17109"/>
    <cellStyle name="Entrada 6 3 5 3 4 2" xfId="46290"/>
    <cellStyle name="Entrada 6 3 5 3 5" xfId="32306"/>
    <cellStyle name="Entrada 6 3 5 4" xfId="4761"/>
    <cellStyle name="Entrada 6 3 5 4 2" xfId="13508"/>
    <cellStyle name="Entrada 6 3 5 4 2 2" xfId="42689"/>
    <cellStyle name="Entrada 6 3 5 4 3" xfId="33944"/>
    <cellStyle name="Entrada 6 3 5 5" xfId="9141"/>
    <cellStyle name="Entrada 6 3 5 5 2" xfId="19854"/>
    <cellStyle name="Entrada 6 3 5 5 2 2" xfId="49035"/>
    <cellStyle name="Entrada 6 3 5 5 3" xfId="38324"/>
    <cellStyle name="Entrada 6 3 5 6" xfId="16808"/>
    <cellStyle name="Entrada 6 3 5 6 2" xfId="45989"/>
    <cellStyle name="Entrada 6 3 5 7" xfId="30506"/>
    <cellStyle name="Entrada 6 3 6" xfId="1503"/>
    <cellStyle name="Entrada 6 3 6 2" xfId="3303"/>
    <cellStyle name="Entrada 6 3 6 2 2" xfId="6345"/>
    <cellStyle name="Entrada 6 3 6 2 2 2" xfId="18255"/>
    <cellStyle name="Entrada 6 3 6 2 2 2 2" xfId="47436"/>
    <cellStyle name="Entrada 6 3 6 2 2 3" xfId="35528"/>
    <cellStyle name="Entrada 6 3 6 2 3" xfId="9206"/>
    <cellStyle name="Entrada 6 3 6 2 3 2" xfId="19892"/>
    <cellStyle name="Entrada 6 3 6 2 3 2 2" xfId="49073"/>
    <cellStyle name="Entrada 6 3 6 2 3 3" xfId="38389"/>
    <cellStyle name="Entrada 6 3 6 2 4" xfId="17027"/>
    <cellStyle name="Entrada 6 3 6 2 4 2" xfId="46208"/>
    <cellStyle name="Entrada 6 3 6 2 5" xfId="32486"/>
    <cellStyle name="Entrada 6 3 6 3" xfId="4905"/>
    <cellStyle name="Entrada 6 3 6 3 2" xfId="14687"/>
    <cellStyle name="Entrada 6 3 6 3 2 2" xfId="43868"/>
    <cellStyle name="Entrada 6 3 6 3 3" xfId="34088"/>
    <cellStyle name="Entrada 6 3 6 4" xfId="7318"/>
    <cellStyle name="Entrada 6 3 6 4 2" xfId="18750"/>
    <cellStyle name="Entrada 6 3 6 4 2 2" xfId="47931"/>
    <cellStyle name="Entrada 6 3 6 4 3" xfId="36501"/>
    <cellStyle name="Entrada 6 3 6 5" xfId="10716"/>
    <cellStyle name="Entrada 6 3 6 5 2" xfId="39897"/>
    <cellStyle name="Entrada 6 3 6 6" xfId="30686"/>
    <cellStyle name="Entrada 6 3 7" xfId="2403"/>
    <cellStyle name="Entrada 6 3 7 2" xfId="5625"/>
    <cellStyle name="Entrada 6 3 7 2 2" xfId="14120"/>
    <cellStyle name="Entrada 6 3 7 2 2 2" xfId="43301"/>
    <cellStyle name="Entrada 6 3 7 2 3" xfId="34808"/>
    <cellStyle name="Entrada 6 3 7 3" xfId="7255"/>
    <cellStyle name="Entrada 6 3 7 3 2" xfId="18715"/>
    <cellStyle name="Entrada 6 3 7 3 2 2" xfId="47896"/>
    <cellStyle name="Entrada 6 3 7 3 3" xfId="36438"/>
    <cellStyle name="Entrada 6 3 7 4" xfId="11499"/>
    <cellStyle name="Entrada 6 3 7 4 2" xfId="40680"/>
    <cellStyle name="Entrada 6 3 7 5" xfId="31586"/>
    <cellStyle name="Entrada 6 3 8" xfId="4185"/>
    <cellStyle name="Entrada 6 3 8 2" xfId="15858"/>
    <cellStyle name="Entrada 6 3 8 2 2" xfId="45039"/>
    <cellStyle name="Entrada 6 3 8 3" xfId="33368"/>
    <cellStyle name="Entrada 6 3 9" xfId="9035"/>
    <cellStyle name="Entrada 6 3 9 2" xfId="19786"/>
    <cellStyle name="Entrada 6 3 9 2 2" xfId="48967"/>
    <cellStyle name="Entrada 6 3 9 3" xfId="38218"/>
    <cellStyle name="Entrada 6 4" xfId="662"/>
    <cellStyle name="Entrada 6 4 2" xfId="1654"/>
    <cellStyle name="Entrada 6 4 2 2" xfId="3454"/>
    <cellStyle name="Entrada 6 4 2 2 2" xfId="6469"/>
    <cellStyle name="Entrada 6 4 2 2 2 2" xfId="18336"/>
    <cellStyle name="Entrada 6 4 2 2 2 2 2" xfId="47517"/>
    <cellStyle name="Entrada 6 4 2 2 2 3" xfId="35652"/>
    <cellStyle name="Entrada 6 4 2 2 3" xfId="7553"/>
    <cellStyle name="Entrada 6 4 2 2 3 2" xfId="18887"/>
    <cellStyle name="Entrada 6 4 2 2 3 2 2" xfId="48068"/>
    <cellStyle name="Entrada 6 4 2 2 3 3" xfId="36736"/>
    <cellStyle name="Entrada 6 4 2 2 4" xfId="11228"/>
    <cellStyle name="Entrada 6 4 2 2 4 2" xfId="40409"/>
    <cellStyle name="Entrada 6 4 2 2 5" xfId="32637"/>
    <cellStyle name="Entrada 6 4 2 3" xfId="5029"/>
    <cellStyle name="Entrada 6 4 2 3 2" xfId="14066"/>
    <cellStyle name="Entrada 6 4 2 3 2 2" xfId="43247"/>
    <cellStyle name="Entrada 6 4 2 3 3" xfId="34212"/>
    <cellStyle name="Entrada 6 4 2 4" xfId="9903"/>
    <cellStyle name="Entrada 6 4 2 4 2" xfId="20314"/>
    <cellStyle name="Entrada 6 4 2 4 2 2" xfId="49495"/>
    <cellStyle name="Entrada 6 4 2 4 3" xfId="39086"/>
    <cellStyle name="Entrada 6 4 2 5" xfId="17544"/>
    <cellStyle name="Entrada 6 4 2 5 2" xfId="46725"/>
    <cellStyle name="Entrada 6 4 2 6" xfId="30837"/>
    <cellStyle name="Entrada 6 4 3" xfId="2554"/>
    <cellStyle name="Entrada 6 4 3 2" xfId="5749"/>
    <cellStyle name="Entrada 6 4 3 2 2" xfId="12887"/>
    <cellStyle name="Entrada 6 4 3 2 2 2" xfId="42068"/>
    <cellStyle name="Entrada 6 4 3 2 3" xfId="34932"/>
    <cellStyle name="Entrada 6 4 3 3" xfId="9128"/>
    <cellStyle name="Entrada 6 4 3 3 2" xfId="19845"/>
    <cellStyle name="Entrada 6 4 3 3 2 2" xfId="49026"/>
    <cellStyle name="Entrada 6 4 3 3 3" xfId="38311"/>
    <cellStyle name="Entrada 6 4 3 4" xfId="16604"/>
    <cellStyle name="Entrada 6 4 3 4 2" xfId="45785"/>
    <cellStyle name="Entrada 6 4 3 5" xfId="31737"/>
    <cellStyle name="Entrada 6 4 4" xfId="4309"/>
    <cellStyle name="Entrada 6 4 4 2" xfId="14636"/>
    <cellStyle name="Entrada 6 4 4 2 2" xfId="43817"/>
    <cellStyle name="Entrada 6 4 4 3" xfId="33492"/>
    <cellStyle name="Entrada 6 4 5" xfId="9723"/>
    <cellStyle name="Entrada 6 4 5 2" xfId="20204"/>
    <cellStyle name="Entrada 6 4 5 2 2" xfId="49385"/>
    <cellStyle name="Entrada 6 4 5 3" xfId="38906"/>
    <cellStyle name="Entrada 6 4 6" xfId="17272"/>
    <cellStyle name="Entrada 6 4 6 2" xfId="46453"/>
    <cellStyle name="Entrada 6 4 7" xfId="29865"/>
    <cellStyle name="Entrada 6 5" xfId="615"/>
    <cellStyle name="Entrada 6 5 2" xfId="1607"/>
    <cellStyle name="Entrada 6 5 2 2" xfId="3407"/>
    <cellStyle name="Entrada 6 5 2 2 2" xfId="6422"/>
    <cellStyle name="Entrada 6 5 2 2 2 2" xfId="18289"/>
    <cellStyle name="Entrada 6 5 2 2 2 2 2" xfId="47470"/>
    <cellStyle name="Entrada 6 5 2 2 2 3" xfId="35605"/>
    <cellStyle name="Entrada 6 5 2 2 3" xfId="9042"/>
    <cellStyle name="Entrada 6 5 2 2 3 2" xfId="19791"/>
    <cellStyle name="Entrada 6 5 2 2 3 2 2" xfId="48972"/>
    <cellStyle name="Entrada 6 5 2 2 3 3" xfId="38225"/>
    <cellStyle name="Entrada 6 5 2 2 4" xfId="11020"/>
    <cellStyle name="Entrada 6 5 2 2 4 2" xfId="40201"/>
    <cellStyle name="Entrada 6 5 2 2 5" xfId="32590"/>
    <cellStyle name="Entrada 6 5 2 3" xfId="4982"/>
    <cellStyle name="Entrada 6 5 2 3 2" xfId="13929"/>
    <cellStyle name="Entrada 6 5 2 3 2 2" xfId="43110"/>
    <cellStyle name="Entrada 6 5 2 3 3" xfId="34165"/>
    <cellStyle name="Entrada 6 5 2 4" xfId="9923"/>
    <cellStyle name="Entrada 6 5 2 4 2" xfId="20324"/>
    <cellStyle name="Entrada 6 5 2 4 2 2" xfId="49505"/>
    <cellStyle name="Entrada 6 5 2 4 3" xfId="39106"/>
    <cellStyle name="Entrada 6 5 2 5" xfId="17578"/>
    <cellStyle name="Entrada 6 5 2 5 2" xfId="46759"/>
    <cellStyle name="Entrada 6 5 2 6" xfId="30790"/>
    <cellStyle name="Entrada 6 5 3" xfId="2507"/>
    <cellStyle name="Entrada 6 5 3 2" xfId="5702"/>
    <cellStyle name="Entrada 6 5 3 2 2" xfId="12733"/>
    <cellStyle name="Entrada 6 5 3 2 2 2" xfId="41914"/>
    <cellStyle name="Entrada 6 5 3 2 3" xfId="34885"/>
    <cellStyle name="Entrada 6 5 3 3" xfId="9175"/>
    <cellStyle name="Entrada 6 5 3 3 2" xfId="19871"/>
    <cellStyle name="Entrada 6 5 3 3 2 2" xfId="49052"/>
    <cellStyle name="Entrada 6 5 3 3 3" xfId="38358"/>
    <cellStyle name="Entrada 6 5 3 4" xfId="15308"/>
    <cellStyle name="Entrada 6 5 3 4 2" xfId="44489"/>
    <cellStyle name="Entrada 6 5 3 5" xfId="31690"/>
    <cellStyle name="Entrada 6 5 4" xfId="4262"/>
    <cellStyle name="Entrada 6 5 4 2" xfId="14494"/>
    <cellStyle name="Entrada 6 5 4 2 2" xfId="43675"/>
    <cellStyle name="Entrada 6 5 4 3" xfId="33445"/>
    <cellStyle name="Entrada 6 5 5" xfId="10076"/>
    <cellStyle name="Entrada 6 5 5 2" xfId="20420"/>
    <cellStyle name="Entrada 6 5 5 2 2" xfId="49601"/>
    <cellStyle name="Entrada 6 5 5 3" xfId="39259"/>
    <cellStyle name="Entrada 6 5 6" xfId="17000"/>
    <cellStyle name="Entrada 6 5 6 2" xfId="46181"/>
    <cellStyle name="Entrada 6 5 7" xfId="29818"/>
    <cellStyle name="Entrada 6 6" xfId="671"/>
    <cellStyle name="Entrada 6 6 2" xfId="1663"/>
    <cellStyle name="Entrada 6 6 2 2" xfId="3463"/>
    <cellStyle name="Entrada 6 6 2 2 2" xfId="6478"/>
    <cellStyle name="Entrada 6 6 2 2 2 2" xfId="18345"/>
    <cellStyle name="Entrada 6 6 2 2 2 2 2" xfId="47526"/>
    <cellStyle name="Entrada 6 6 2 2 2 3" xfId="35661"/>
    <cellStyle name="Entrada 6 6 2 2 3" xfId="9204"/>
    <cellStyle name="Entrada 6 6 2 2 3 2" xfId="19891"/>
    <cellStyle name="Entrada 6 6 2 2 3 2 2" xfId="49072"/>
    <cellStyle name="Entrada 6 6 2 2 3 3" xfId="38387"/>
    <cellStyle name="Entrada 6 6 2 2 4" xfId="15305"/>
    <cellStyle name="Entrada 6 6 2 2 4 2" xfId="44486"/>
    <cellStyle name="Entrada 6 6 2 2 5" xfId="32646"/>
    <cellStyle name="Entrada 6 6 2 3" xfId="5038"/>
    <cellStyle name="Entrada 6 6 2 3 2" xfId="14549"/>
    <cellStyle name="Entrada 6 6 2 3 2 2" xfId="43730"/>
    <cellStyle name="Entrada 6 6 2 3 3" xfId="34221"/>
    <cellStyle name="Entrada 6 6 2 4" xfId="8090"/>
    <cellStyle name="Entrada 6 6 2 4 2" xfId="19214"/>
    <cellStyle name="Entrada 6 6 2 4 2 2" xfId="48395"/>
    <cellStyle name="Entrada 6 6 2 4 3" xfId="37273"/>
    <cellStyle name="Entrada 6 6 2 5" xfId="11202"/>
    <cellStyle name="Entrada 6 6 2 5 2" xfId="40383"/>
    <cellStyle name="Entrada 6 6 2 6" xfId="30846"/>
    <cellStyle name="Entrada 6 6 3" xfId="2563"/>
    <cellStyle name="Entrada 6 6 3 2" xfId="5758"/>
    <cellStyle name="Entrada 6 6 3 2 2" xfId="13981"/>
    <cellStyle name="Entrada 6 6 3 2 2 2" xfId="43162"/>
    <cellStyle name="Entrada 6 6 3 2 3" xfId="34941"/>
    <cellStyle name="Entrada 6 6 3 3" xfId="8855"/>
    <cellStyle name="Entrada 6 6 3 3 2" xfId="19680"/>
    <cellStyle name="Entrada 6 6 3 3 2 2" xfId="48861"/>
    <cellStyle name="Entrada 6 6 3 3 3" xfId="38038"/>
    <cellStyle name="Entrada 6 6 3 4" xfId="16125"/>
    <cellStyle name="Entrada 6 6 3 4 2" xfId="45306"/>
    <cellStyle name="Entrada 6 6 3 5" xfId="31746"/>
    <cellStyle name="Entrada 6 6 4" xfId="4318"/>
    <cellStyle name="Entrada 6 6 4 2" xfId="16310"/>
    <cellStyle name="Entrada 6 6 4 2 2" xfId="45491"/>
    <cellStyle name="Entrada 6 6 4 3" xfId="33501"/>
    <cellStyle name="Entrada 6 6 5" xfId="10255"/>
    <cellStyle name="Entrada 6 6 5 2" xfId="20520"/>
    <cellStyle name="Entrada 6 6 5 2 2" xfId="49701"/>
    <cellStyle name="Entrada 6 6 5 3" xfId="39438"/>
    <cellStyle name="Entrada 6 6 6" xfId="12713"/>
    <cellStyle name="Entrada 6 6 6 2" xfId="41894"/>
    <cellStyle name="Entrada 6 6 7" xfId="29874"/>
    <cellStyle name="Entrada 6 7" xfId="606"/>
    <cellStyle name="Entrada 6 7 2" xfId="1598"/>
    <cellStyle name="Entrada 6 7 2 2" xfId="3398"/>
    <cellStyle name="Entrada 6 7 2 2 2" xfId="6413"/>
    <cellStyle name="Entrada 6 7 2 2 2 2" xfId="18280"/>
    <cellStyle name="Entrada 6 7 2 2 2 2 2" xfId="47461"/>
    <cellStyle name="Entrada 6 7 2 2 2 3" xfId="35596"/>
    <cellStyle name="Entrada 6 7 2 2 3" xfId="9458"/>
    <cellStyle name="Entrada 6 7 2 2 3 2" xfId="20043"/>
    <cellStyle name="Entrada 6 7 2 2 3 2 2" xfId="49224"/>
    <cellStyle name="Entrada 6 7 2 2 3 3" xfId="38641"/>
    <cellStyle name="Entrada 6 7 2 2 4" xfId="17436"/>
    <cellStyle name="Entrada 6 7 2 2 4 2" xfId="46617"/>
    <cellStyle name="Entrada 6 7 2 2 5" xfId="32581"/>
    <cellStyle name="Entrada 6 7 2 3" xfId="4973"/>
    <cellStyle name="Entrada 6 7 2 3 2" xfId="10812"/>
    <cellStyle name="Entrada 6 7 2 3 2 2" xfId="39993"/>
    <cellStyle name="Entrada 6 7 2 3 3" xfId="34156"/>
    <cellStyle name="Entrada 6 7 2 4" xfId="9400"/>
    <cellStyle name="Entrada 6 7 2 4 2" xfId="20009"/>
    <cellStyle name="Entrada 6 7 2 4 2 2" xfId="49190"/>
    <cellStyle name="Entrada 6 7 2 4 3" xfId="38583"/>
    <cellStyle name="Entrada 6 7 2 5" xfId="16675"/>
    <cellStyle name="Entrada 6 7 2 5 2" xfId="45856"/>
    <cellStyle name="Entrada 6 7 2 6" xfId="30781"/>
    <cellStyle name="Entrada 6 7 3" xfId="2498"/>
    <cellStyle name="Entrada 6 7 3 2" xfId="5693"/>
    <cellStyle name="Entrada 6 7 3 2 2" xfId="13372"/>
    <cellStyle name="Entrada 6 7 3 2 2 2" xfId="42553"/>
    <cellStyle name="Entrada 6 7 3 2 3" xfId="34876"/>
    <cellStyle name="Entrada 6 7 3 3" xfId="8242"/>
    <cellStyle name="Entrada 6 7 3 3 2" xfId="19309"/>
    <cellStyle name="Entrada 6 7 3 3 2 2" xfId="48490"/>
    <cellStyle name="Entrada 6 7 3 3 3" xfId="37425"/>
    <cellStyle name="Entrada 6 7 3 4" xfId="11231"/>
    <cellStyle name="Entrada 6 7 3 4 2" xfId="40412"/>
    <cellStyle name="Entrada 6 7 3 5" xfId="31681"/>
    <cellStyle name="Entrada 6 7 4" xfId="4253"/>
    <cellStyle name="Entrada 6 7 4 2" xfId="13019"/>
    <cellStyle name="Entrada 6 7 4 2 2" xfId="42200"/>
    <cellStyle name="Entrada 6 7 4 3" xfId="33436"/>
    <cellStyle name="Entrada 6 7 5" xfId="9565"/>
    <cellStyle name="Entrada 6 7 5 2" xfId="20108"/>
    <cellStyle name="Entrada 6 7 5 2 2" xfId="49289"/>
    <cellStyle name="Entrada 6 7 5 3" xfId="38748"/>
    <cellStyle name="Entrada 6 7 6" xfId="17153"/>
    <cellStyle name="Entrada 6 7 6 2" xfId="46334"/>
    <cellStyle name="Entrada 6 7 7" xfId="29809"/>
    <cellStyle name="Entrada 6 8" xfId="1413"/>
    <cellStyle name="Entrada 6 8 2" xfId="3213"/>
    <cellStyle name="Entrada 6 8 2 2" xfId="6273"/>
    <cellStyle name="Entrada 6 8 2 2 2" xfId="18219"/>
    <cellStyle name="Entrada 6 8 2 2 2 2" xfId="47400"/>
    <cellStyle name="Entrada 6 8 2 2 3" xfId="35456"/>
    <cellStyle name="Entrada 6 8 2 3" xfId="8413"/>
    <cellStyle name="Entrada 6 8 2 3 2" xfId="19416"/>
    <cellStyle name="Entrada 6 8 2 3 2 2" xfId="48597"/>
    <cellStyle name="Entrada 6 8 2 3 3" xfId="37596"/>
    <cellStyle name="Entrada 6 8 2 4" xfId="13142"/>
    <cellStyle name="Entrada 6 8 2 4 2" xfId="42323"/>
    <cellStyle name="Entrada 6 8 2 5" xfId="32396"/>
    <cellStyle name="Entrada 6 8 3" xfId="4833"/>
    <cellStyle name="Entrada 6 8 3 2" xfId="16652"/>
    <cellStyle name="Entrada 6 8 3 2 2" xfId="45833"/>
    <cellStyle name="Entrada 6 8 3 3" xfId="34016"/>
    <cellStyle name="Entrada 6 8 4" xfId="10286"/>
    <cellStyle name="Entrada 6 8 4 2" xfId="20541"/>
    <cellStyle name="Entrada 6 8 4 2 2" xfId="49722"/>
    <cellStyle name="Entrada 6 8 4 3" xfId="39469"/>
    <cellStyle name="Entrada 6 8 5" xfId="17970"/>
    <cellStyle name="Entrada 6 8 5 2" xfId="47151"/>
    <cellStyle name="Entrada 6 8 6" xfId="30596"/>
    <cellStyle name="Entrada 6 9" xfId="2313"/>
    <cellStyle name="Entrada 6 9 2" xfId="5553"/>
    <cellStyle name="Entrada 6 9 2 2" xfId="17234"/>
    <cellStyle name="Entrada 6 9 2 2 2" xfId="46415"/>
    <cellStyle name="Entrada 6 9 2 3" xfId="34736"/>
    <cellStyle name="Entrada 6 9 3" xfId="7980"/>
    <cellStyle name="Entrada 6 9 3 2" xfId="19151"/>
    <cellStyle name="Entrada 6 9 3 2 2" xfId="48332"/>
    <cellStyle name="Entrada 6 9 3 3" xfId="37163"/>
    <cellStyle name="Entrada 6 9 4" xfId="14617"/>
    <cellStyle name="Entrada 6 9 4 2" xfId="43798"/>
    <cellStyle name="Entrada 6 9 5" xfId="31496"/>
    <cellStyle name="Entrada 7" xfId="261"/>
    <cellStyle name="Entrada 7 10" xfId="4114"/>
    <cellStyle name="Entrada 7 10 2" xfId="16761"/>
    <cellStyle name="Entrada 7 10 2 2" xfId="45942"/>
    <cellStyle name="Entrada 7 10 3" xfId="33297"/>
    <cellStyle name="Entrada 7 11" xfId="17455"/>
    <cellStyle name="Entrada 7 11 2" xfId="46636"/>
    <cellStyle name="Entrada 7 12" xfId="29574"/>
    <cellStyle name="Entrada 7 2" xfId="436"/>
    <cellStyle name="Entrada 7 2 10" xfId="8581"/>
    <cellStyle name="Entrada 7 2 10 2" xfId="19523"/>
    <cellStyle name="Entrada 7 2 10 2 2" xfId="48704"/>
    <cellStyle name="Entrada 7 2 10 3" xfId="37764"/>
    <cellStyle name="Entrada 7 2 11" xfId="13321"/>
    <cellStyle name="Entrada 7 2 11 2" xfId="42502"/>
    <cellStyle name="Entrada 7 2 12" xfId="58779"/>
    <cellStyle name="Entrada 7 2 13" xfId="29642"/>
    <cellStyle name="Entrada 7 2 2" xfId="526"/>
    <cellStyle name="Entrada 7 2 2 10" xfId="16135"/>
    <cellStyle name="Entrada 7 2 2 10 2" xfId="45316"/>
    <cellStyle name="Entrada 7 2 2 11" xfId="29732"/>
    <cellStyle name="Entrada 7 2 2 2" xfId="879"/>
    <cellStyle name="Entrada 7 2 2 2 2" xfId="1817"/>
    <cellStyle name="Entrada 7 2 2 2 2 2" xfId="3617"/>
    <cellStyle name="Entrada 7 2 2 2 2 2 2" xfId="6596"/>
    <cellStyle name="Entrada 7 2 2 2 2 2 2 2" xfId="18400"/>
    <cellStyle name="Entrada 7 2 2 2 2 2 2 2 2" xfId="47581"/>
    <cellStyle name="Entrada 7 2 2 2 2 2 2 3" xfId="35779"/>
    <cellStyle name="Entrada 7 2 2 2 2 2 3" xfId="8420"/>
    <cellStyle name="Entrada 7 2 2 2 2 2 3 2" xfId="19421"/>
    <cellStyle name="Entrada 7 2 2 2 2 2 3 2 2" xfId="48602"/>
    <cellStyle name="Entrada 7 2 2 2 2 2 3 3" xfId="37603"/>
    <cellStyle name="Entrada 7 2 2 2 2 2 4" xfId="14323"/>
    <cellStyle name="Entrada 7 2 2 2 2 2 4 2" xfId="43504"/>
    <cellStyle name="Entrada 7 2 2 2 2 2 5" xfId="32800"/>
    <cellStyle name="Entrada 7 2 2 2 2 3" xfId="5156"/>
    <cellStyle name="Entrada 7 2 2 2 2 3 2" xfId="14577"/>
    <cellStyle name="Entrada 7 2 2 2 2 3 2 2" xfId="43758"/>
    <cellStyle name="Entrada 7 2 2 2 2 3 3" xfId="34339"/>
    <cellStyle name="Entrada 7 2 2 2 2 4" xfId="10518"/>
    <cellStyle name="Entrada 7 2 2 2 2 4 2" xfId="20689"/>
    <cellStyle name="Entrada 7 2 2 2 2 4 2 2" xfId="49870"/>
    <cellStyle name="Entrada 7 2 2 2 2 4 3" xfId="39701"/>
    <cellStyle name="Entrada 7 2 2 2 2 5" xfId="12866"/>
    <cellStyle name="Entrada 7 2 2 2 2 5 2" xfId="42047"/>
    <cellStyle name="Entrada 7 2 2 2 2 6" xfId="31000"/>
    <cellStyle name="Entrada 7 2 2 2 3" xfId="2717"/>
    <cellStyle name="Entrada 7 2 2 2 3 2" xfId="5876"/>
    <cellStyle name="Entrada 7 2 2 2 3 2 2" xfId="14008"/>
    <cellStyle name="Entrada 7 2 2 2 3 2 2 2" xfId="43189"/>
    <cellStyle name="Entrada 7 2 2 2 3 2 3" xfId="35059"/>
    <cellStyle name="Entrada 7 2 2 2 3 3" xfId="9740"/>
    <cellStyle name="Entrada 7 2 2 2 3 3 2" xfId="20213"/>
    <cellStyle name="Entrada 7 2 2 2 3 3 2 2" xfId="49394"/>
    <cellStyle name="Entrada 7 2 2 2 3 3 3" xfId="38923"/>
    <cellStyle name="Entrada 7 2 2 2 3 4" xfId="14940"/>
    <cellStyle name="Entrada 7 2 2 2 3 4 2" xfId="44121"/>
    <cellStyle name="Entrada 7 2 2 2 3 5" xfId="31900"/>
    <cellStyle name="Entrada 7 2 2 2 4" xfId="4436"/>
    <cellStyle name="Entrada 7 2 2 2 4 2" xfId="16163"/>
    <cellStyle name="Entrada 7 2 2 2 4 2 2" xfId="45344"/>
    <cellStyle name="Entrada 7 2 2 2 4 3" xfId="33619"/>
    <cellStyle name="Entrada 7 2 2 2 5" xfId="10019"/>
    <cellStyle name="Entrada 7 2 2 2 5 2" xfId="20385"/>
    <cellStyle name="Entrada 7 2 2 2 5 2 2" xfId="49566"/>
    <cellStyle name="Entrada 7 2 2 2 5 3" xfId="39202"/>
    <cellStyle name="Entrada 7 2 2 2 6" xfId="12292"/>
    <cellStyle name="Entrada 7 2 2 2 6 2" xfId="41473"/>
    <cellStyle name="Entrada 7 2 2 2 7" xfId="30076"/>
    <cellStyle name="Entrada 7 2 2 3" xfId="1071"/>
    <cellStyle name="Entrada 7 2 2 3 2" xfId="1981"/>
    <cellStyle name="Entrada 7 2 2 3 2 2" xfId="3781"/>
    <cellStyle name="Entrada 7 2 2 3 2 2 2" xfId="6724"/>
    <cellStyle name="Entrada 7 2 2 3 2 2 2 2" xfId="18454"/>
    <cellStyle name="Entrada 7 2 2 3 2 2 2 2 2" xfId="47635"/>
    <cellStyle name="Entrada 7 2 2 3 2 2 2 3" xfId="35907"/>
    <cellStyle name="Entrada 7 2 2 3 2 2 3" xfId="8438"/>
    <cellStyle name="Entrada 7 2 2 3 2 2 3 2" xfId="19434"/>
    <cellStyle name="Entrada 7 2 2 3 2 2 3 2 2" xfId="48615"/>
    <cellStyle name="Entrada 7 2 2 3 2 2 3 3" xfId="37621"/>
    <cellStyle name="Entrada 7 2 2 3 2 2 4" xfId="10618"/>
    <cellStyle name="Entrada 7 2 2 3 2 2 4 2" xfId="39799"/>
    <cellStyle name="Entrada 7 2 2 3 2 2 5" xfId="32964"/>
    <cellStyle name="Entrada 7 2 2 3 2 3" xfId="5284"/>
    <cellStyle name="Entrada 7 2 2 3 2 3 2" xfId="11526"/>
    <cellStyle name="Entrada 7 2 2 3 2 3 2 2" xfId="40707"/>
    <cellStyle name="Entrada 7 2 2 3 2 3 3" xfId="34467"/>
    <cellStyle name="Entrada 7 2 2 3 2 4" xfId="10396"/>
    <cellStyle name="Entrada 7 2 2 3 2 4 2" xfId="20611"/>
    <cellStyle name="Entrada 7 2 2 3 2 4 2 2" xfId="49792"/>
    <cellStyle name="Entrada 7 2 2 3 2 4 3" xfId="39579"/>
    <cellStyle name="Entrada 7 2 2 3 2 5" xfId="18109"/>
    <cellStyle name="Entrada 7 2 2 3 2 5 2" xfId="47290"/>
    <cellStyle name="Entrada 7 2 2 3 2 6" xfId="31164"/>
    <cellStyle name="Entrada 7 2 2 3 3" xfId="2881"/>
    <cellStyle name="Entrada 7 2 2 3 3 2" xfId="6004"/>
    <cellStyle name="Entrada 7 2 2 3 3 2 2" xfId="10577"/>
    <cellStyle name="Entrada 7 2 2 3 3 2 2 2" xfId="39758"/>
    <cellStyle name="Entrada 7 2 2 3 3 2 3" xfId="35187"/>
    <cellStyle name="Entrada 7 2 2 3 3 3" xfId="9619"/>
    <cellStyle name="Entrada 7 2 2 3 3 3 2" xfId="20141"/>
    <cellStyle name="Entrada 7 2 2 3 3 3 2 2" xfId="49322"/>
    <cellStyle name="Entrada 7 2 2 3 3 3 3" xfId="38802"/>
    <cellStyle name="Entrada 7 2 2 3 3 4" xfId="11498"/>
    <cellStyle name="Entrada 7 2 2 3 3 4 2" xfId="40679"/>
    <cellStyle name="Entrada 7 2 2 3 3 5" xfId="32064"/>
    <cellStyle name="Entrada 7 2 2 3 4" xfId="4564"/>
    <cellStyle name="Entrada 7 2 2 3 4 2" xfId="16014"/>
    <cellStyle name="Entrada 7 2 2 3 4 2 2" xfId="45195"/>
    <cellStyle name="Entrada 7 2 2 3 4 3" xfId="33747"/>
    <cellStyle name="Entrada 7 2 2 3 5" xfId="8794"/>
    <cellStyle name="Entrada 7 2 2 3 5 2" xfId="19647"/>
    <cellStyle name="Entrada 7 2 2 3 5 2 2" xfId="48828"/>
    <cellStyle name="Entrada 7 2 2 3 5 3" xfId="37977"/>
    <cellStyle name="Entrada 7 2 2 3 6" xfId="15663"/>
    <cellStyle name="Entrada 7 2 2 3 6 2" xfId="44844"/>
    <cellStyle name="Entrada 7 2 2 3 7" xfId="30261"/>
    <cellStyle name="Entrada 7 2 2 4" xfId="1221"/>
    <cellStyle name="Entrada 7 2 2 4 2" xfId="2125"/>
    <cellStyle name="Entrada 7 2 2 4 2 2" xfId="3925"/>
    <cellStyle name="Entrada 7 2 2 4 2 2 2" xfId="6841"/>
    <cellStyle name="Entrada 7 2 2 4 2 2 2 2" xfId="18508"/>
    <cellStyle name="Entrada 7 2 2 4 2 2 2 2 2" xfId="47689"/>
    <cellStyle name="Entrada 7 2 2 4 2 2 2 3" xfId="36024"/>
    <cellStyle name="Entrada 7 2 2 4 2 2 3" xfId="7446"/>
    <cellStyle name="Entrada 7 2 2 4 2 2 3 2" xfId="18823"/>
    <cellStyle name="Entrada 7 2 2 4 2 2 3 2 2" xfId="48004"/>
    <cellStyle name="Entrada 7 2 2 4 2 2 3 3" xfId="36629"/>
    <cellStyle name="Entrada 7 2 2 4 2 2 4" xfId="14884"/>
    <cellStyle name="Entrada 7 2 2 4 2 2 4 2" xfId="44065"/>
    <cellStyle name="Entrada 7 2 2 4 2 2 5" xfId="33108"/>
    <cellStyle name="Entrada 7 2 2 4 2 3" xfId="5401"/>
    <cellStyle name="Entrada 7 2 2 4 2 3 2" xfId="12825"/>
    <cellStyle name="Entrada 7 2 2 4 2 3 2 2" xfId="42006"/>
    <cellStyle name="Entrada 7 2 2 4 2 3 3" xfId="34584"/>
    <cellStyle name="Entrada 7 2 2 4 2 4" xfId="9432"/>
    <cellStyle name="Entrada 7 2 2 4 2 4 2" xfId="20030"/>
    <cellStyle name="Entrada 7 2 2 4 2 4 2 2" xfId="49211"/>
    <cellStyle name="Entrada 7 2 2 4 2 4 3" xfId="38615"/>
    <cellStyle name="Entrada 7 2 2 4 2 5" xfId="16813"/>
    <cellStyle name="Entrada 7 2 2 4 2 5 2" xfId="45994"/>
    <cellStyle name="Entrada 7 2 2 4 2 6" xfId="31308"/>
    <cellStyle name="Entrada 7 2 2 4 3" xfId="3025"/>
    <cellStyle name="Entrada 7 2 2 4 3 2" xfId="6121"/>
    <cellStyle name="Entrada 7 2 2 4 3 2 2" xfId="18148"/>
    <cellStyle name="Entrada 7 2 2 4 3 2 2 2" xfId="47329"/>
    <cellStyle name="Entrada 7 2 2 4 3 2 3" xfId="35304"/>
    <cellStyle name="Entrada 7 2 2 4 3 3" xfId="7998"/>
    <cellStyle name="Entrada 7 2 2 4 3 3 2" xfId="19162"/>
    <cellStyle name="Entrada 7 2 2 4 3 3 2 2" xfId="48343"/>
    <cellStyle name="Entrada 7 2 2 4 3 3 3" xfId="37181"/>
    <cellStyle name="Entrada 7 2 2 4 3 4" xfId="11636"/>
    <cellStyle name="Entrada 7 2 2 4 3 4 2" xfId="40817"/>
    <cellStyle name="Entrada 7 2 2 4 3 5" xfId="32208"/>
    <cellStyle name="Entrada 7 2 2 4 4" xfId="4681"/>
    <cellStyle name="Entrada 7 2 2 4 4 2" xfId="14010"/>
    <cellStyle name="Entrada 7 2 2 4 4 2 2" xfId="43191"/>
    <cellStyle name="Entrada 7 2 2 4 4 3" xfId="33864"/>
    <cellStyle name="Entrada 7 2 2 4 5" xfId="7438"/>
    <cellStyle name="Entrada 7 2 2 4 5 2" xfId="18816"/>
    <cellStyle name="Entrada 7 2 2 4 5 2 2" xfId="47997"/>
    <cellStyle name="Entrada 7 2 2 4 5 3" xfId="36621"/>
    <cellStyle name="Entrada 7 2 2 4 6" xfId="12165"/>
    <cellStyle name="Entrada 7 2 2 4 6 2" xfId="41346"/>
    <cellStyle name="Entrada 7 2 2 4 7" xfId="30408"/>
    <cellStyle name="Entrada 7 2 2 5" xfId="1367"/>
    <cellStyle name="Entrada 7 2 2 5 2" xfId="2269"/>
    <cellStyle name="Entrada 7 2 2 5 2 2" xfId="4069"/>
    <cellStyle name="Entrada 7 2 2 5 2 2 2" xfId="6958"/>
    <cellStyle name="Entrada 7 2 2 5 2 2 2 2" xfId="18562"/>
    <cellStyle name="Entrada 7 2 2 5 2 2 2 2 2" xfId="47743"/>
    <cellStyle name="Entrada 7 2 2 5 2 2 2 3" xfId="36141"/>
    <cellStyle name="Entrada 7 2 2 5 2 2 3" xfId="7011"/>
    <cellStyle name="Entrada 7 2 2 5 2 2 3 2" xfId="18578"/>
    <cellStyle name="Entrada 7 2 2 5 2 2 3 2 2" xfId="47759"/>
    <cellStyle name="Entrada 7 2 2 5 2 2 3 3" xfId="36194"/>
    <cellStyle name="Entrada 7 2 2 5 2 2 4" xfId="17635"/>
    <cellStyle name="Entrada 7 2 2 5 2 2 4 2" xfId="46816"/>
    <cellStyle name="Entrada 7 2 2 5 2 2 5" xfId="33252"/>
    <cellStyle name="Entrada 7 2 2 5 2 3" xfId="5518"/>
    <cellStyle name="Entrada 7 2 2 5 2 3 2" xfId="16954"/>
    <cellStyle name="Entrada 7 2 2 5 2 3 2 2" xfId="46135"/>
    <cellStyle name="Entrada 7 2 2 5 2 3 3" xfId="34701"/>
    <cellStyle name="Entrada 7 2 2 5 2 4" xfId="7623"/>
    <cellStyle name="Entrada 7 2 2 5 2 4 2" xfId="18933"/>
    <cellStyle name="Entrada 7 2 2 5 2 4 2 2" xfId="48114"/>
    <cellStyle name="Entrada 7 2 2 5 2 4 3" xfId="36806"/>
    <cellStyle name="Entrada 7 2 2 5 2 5" xfId="13025"/>
    <cellStyle name="Entrada 7 2 2 5 2 5 2" xfId="42206"/>
    <cellStyle name="Entrada 7 2 2 5 2 6" xfId="31452"/>
    <cellStyle name="Entrada 7 2 2 5 3" xfId="3169"/>
    <cellStyle name="Entrada 7 2 2 5 3 2" xfId="6238"/>
    <cellStyle name="Entrada 7 2 2 5 3 2 2" xfId="18202"/>
    <cellStyle name="Entrada 7 2 2 5 3 2 2 2" xfId="47383"/>
    <cellStyle name="Entrada 7 2 2 5 3 2 3" xfId="35421"/>
    <cellStyle name="Entrada 7 2 2 5 3 3" xfId="7200"/>
    <cellStyle name="Entrada 7 2 2 5 3 3 2" xfId="18683"/>
    <cellStyle name="Entrada 7 2 2 5 3 3 2 2" xfId="47864"/>
    <cellStyle name="Entrada 7 2 2 5 3 3 3" xfId="36383"/>
    <cellStyle name="Entrada 7 2 2 5 3 4" xfId="17534"/>
    <cellStyle name="Entrada 7 2 2 5 3 4 2" xfId="46715"/>
    <cellStyle name="Entrada 7 2 2 5 3 5" xfId="32352"/>
    <cellStyle name="Entrada 7 2 2 5 4" xfId="4798"/>
    <cellStyle name="Entrada 7 2 2 5 4 2" xfId="16193"/>
    <cellStyle name="Entrada 7 2 2 5 4 2 2" xfId="45374"/>
    <cellStyle name="Entrada 7 2 2 5 4 3" xfId="33981"/>
    <cellStyle name="Entrada 7 2 2 5 5" xfId="8948"/>
    <cellStyle name="Entrada 7 2 2 5 5 2" xfId="19739"/>
    <cellStyle name="Entrada 7 2 2 5 5 2 2" xfId="48920"/>
    <cellStyle name="Entrada 7 2 2 5 5 3" xfId="38131"/>
    <cellStyle name="Entrada 7 2 2 5 6" xfId="12865"/>
    <cellStyle name="Entrada 7 2 2 5 6 2" xfId="42046"/>
    <cellStyle name="Entrada 7 2 2 5 7" xfId="30552"/>
    <cellStyle name="Entrada 7 2 2 6" xfId="1549"/>
    <cellStyle name="Entrada 7 2 2 6 2" xfId="3349"/>
    <cellStyle name="Entrada 7 2 2 6 2 2" xfId="6382"/>
    <cellStyle name="Entrada 7 2 2 6 2 2 2" xfId="18274"/>
    <cellStyle name="Entrada 7 2 2 6 2 2 2 2" xfId="47455"/>
    <cellStyle name="Entrada 7 2 2 6 2 2 3" xfId="35565"/>
    <cellStyle name="Entrada 7 2 2 6 2 3" xfId="9733"/>
    <cellStyle name="Entrada 7 2 2 6 2 3 2" xfId="20208"/>
    <cellStyle name="Entrada 7 2 2 6 2 3 2 2" xfId="49389"/>
    <cellStyle name="Entrada 7 2 2 6 2 3 3" xfId="38916"/>
    <cellStyle name="Entrada 7 2 2 6 2 4" xfId="10782"/>
    <cellStyle name="Entrada 7 2 2 6 2 4 2" xfId="39963"/>
    <cellStyle name="Entrada 7 2 2 6 2 5" xfId="32532"/>
    <cellStyle name="Entrada 7 2 2 6 3" xfId="4942"/>
    <cellStyle name="Entrada 7 2 2 6 3 2" xfId="17093"/>
    <cellStyle name="Entrada 7 2 2 6 3 2 2" xfId="46274"/>
    <cellStyle name="Entrada 7 2 2 6 3 3" xfId="34125"/>
    <cellStyle name="Entrada 7 2 2 6 4" xfId="9339"/>
    <cellStyle name="Entrada 7 2 2 6 4 2" xfId="19972"/>
    <cellStyle name="Entrada 7 2 2 6 4 2 2" xfId="49153"/>
    <cellStyle name="Entrada 7 2 2 6 4 3" xfId="38522"/>
    <cellStyle name="Entrada 7 2 2 6 5" xfId="10676"/>
    <cellStyle name="Entrada 7 2 2 6 5 2" xfId="39857"/>
    <cellStyle name="Entrada 7 2 2 6 6" xfId="30732"/>
    <cellStyle name="Entrada 7 2 2 7" xfId="2449"/>
    <cellStyle name="Entrada 7 2 2 7 2" xfId="5662"/>
    <cellStyle name="Entrada 7 2 2 7 2 2" xfId="15496"/>
    <cellStyle name="Entrada 7 2 2 7 2 2 2" xfId="44677"/>
    <cellStyle name="Entrada 7 2 2 7 2 3" xfId="34845"/>
    <cellStyle name="Entrada 7 2 2 7 3" xfId="7918"/>
    <cellStyle name="Entrada 7 2 2 7 3 2" xfId="19111"/>
    <cellStyle name="Entrada 7 2 2 7 3 2 2" xfId="48292"/>
    <cellStyle name="Entrada 7 2 2 7 3 3" xfId="37101"/>
    <cellStyle name="Entrada 7 2 2 7 4" xfId="12958"/>
    <cellStyle name="Entrada 7 2 2 7 4 2" xfId="42139"/>
    <cellStyle name="Entrada 7 2 2 7 5" xfId="31632"/>
    <cellStyle name="Entrada 7 2 2 8" xfId="4222"/>
    <cellStyle name="Entrada 7 2 2 8 2" xfId="16523"/>
    <cellStyle name="Entrada 7 2 2 8 2 2" xfId="45704"/>
    <cellStyle name="Entrada 7 2 2 8 3" xfId="33405"/>
    <cellStyle name="Entrada 7 2 2 9" xfId="9566"/>
    <cellStyle name="Entrada 7 2 2 9 2" xfId="20109"/>
    <cellStyle name="Entrada 7 2 2 9 2 2" xfId="49290"/>
    <cellStyle name="Entrada 7 2 2 9 3" xfId="38749"/>
    <cellStyle name="Entrada 7 2 3" xfId="789"/>
    <cellStyle name="Entrada 7 2 3 2" xfId="1727"/>
    <cellStyle name="Entrada 7 2 3 2 2" xfId="3527"/>
    <cellStyle name="Entrada 7 2 3 2 2 2" xfId="6524"/>
    <cellStyle name="Entrada 7 2 3 2 2 2 2" xfId="18364"/>
    <cellStyle name="Entrada 7 2 3 2 2 2 2 2" xfId="47545"/>
    <cellStyle name="Entrada 7 2 3 2 2 2 3" xfId="35707"/>
    <cellStyle name="Entrada 7 2 3 2 2 3" xfId="7158"/>
    <cellStyle name="Entrada 7 2 3 2 2 3 2" xfId="18661"/>
    <cellStyle name="Entrada 7 2 3 2 2 3 2 2" xfId="47842"/>
    <cellStyle name="Entrada 7 2 3 2 2 3 3" xfId="36341"/>
    <cellStyle name="Entrada 7 2 3 2 2 4" xfId="11631"/>
    <cellStyle name="Entrada 7 2 3 2 2 4 2" xfId="40812"/>
    <cellStyle name="Entrada 7 2 3 2 2 5" xfId="32710"/>
    <cellStyle name="Entrada 7 2 3 2 3" xfId="5084"/>
    <cellStyle name="Entrada 7 2 3 2 3 2" xfId="17715"/>
    <cellStyle name="Entrada 7 2 3 2 3 2 2" xfId="46896"/>
    <cellStyle name="Entrada 7 2 3 2 3 3" xfId="34267"/>
    <cellStyle name="Entrada 7 2 3 2 4" xfId="8669"/>
    <cellStyle name="Entrada 7 2 3 2 4 2" xfId="19574"/>
    <cellStyle name="Entrada 7 2 3 2 4 2 2" xfId="48755"/>
    <cellStyle name="Entrada 7 2 3 2 4 3" xfId="37852"/>
    <cellStyle name="Entrada 7 2 3 2 5" xfId="12323"/>
    <cellStyle name="Entrada 7 2 3 2 5 2" xfId="41504"/>
    <cellStyle name="Entrada 7 2 3 2 6" xfId="30910"/>
    <cellStyle name="Entrada 7 2 3 3" xfId="2627"/>
    <cellStyle name="Entrada 7 2 3 3 2" xfId="5804"/>
    <cellStyle name="Entrada 7 2 3 3 2 2" xfId="16505"/>
    <cellStyle name="Entrada 7 2 3 3 2 2 2" xfId="45686"/>
    <cellStyle name="Entrada 7 2 3 3 2 3" xfId="34987"/>
    <cellStyle name="Entrada 7 2 3 3 3" xfId="10195"/>
    <cellStyle name="Entrada 7 2 3 3 3 2" xfId="20488"/>
    <cellStyle name="Entrada 7 2 3 3 3 2 2" xfId="49669"/>
    <cellStyle name="Entrada 7 2 3 3 3 3" xfId="39378"/>
    <cellStyle name="Entrada 7 2 3 3 4" xfId="17511"/>
    <cellStyle name="Entrada 7 2 3 3 4 2" xfId="46692"/>
    <cellStyle name="Entrada 7 2 3 3 5" xfId="31810"/>
    <cellStyle name="Entrada 7 2 3 4" xfId="4364"/>
    <cellStyle name="Entrada 7 2 3 4 2" xfId="11196"/>
    <cellStyle name="Entrada 7 2 3 4 2 2" xfId="40377"/>
    <cellStyle name="Entrada 7 2 3 4 3" xfId="33547"/>
    <cellStyle name="Entrada 7 2 3 5" xfId="7856"/>
    <cellStyle name="Entrada 7 2 3 5 2" xfId="19076"/>
    <cellStyle name="Entrada 7 2 3 5 2 2" xfId="48257"/>
    <cellStyle name="Entrada 7 2 3 5 3" xfId="37039"/>
    <cellStyle name="Entrada 7 2 3 6" xfId="16563"/>
    <cellStyle name="Entrada 7 2 3 6 2" xfId="45744"/>
    <cellStyle name="Entrada 7 2 3 7" xfId="29986"/>
    <cellStyle name="Entrada 7 2 4" xfId="981"/>
    <cellStyle name="Entrada 7 2 4 2" xfId="1891"/>
    <cellStyle name="Entrada 7 2 4 2 2" xfId="3691"/>
    <cellStyle name="Entrada 7 2 4 2 2 2" xfId="6652"/>
    <cellStyle name="Entrada 7 2 4 2 2 2 2" xfId="18418"/>
    <cellStyle name="Entrada 7 2 4 2 2 2 2 2" xfId="47599"/>
    <cellStyle name="Entrada 7 2 4 2 2 2 3" xfId="35835"/>
    <cellStyle name="Entrada 7 2 4 2 2 3" xfId="9216"/>
    <cellStyle name="Entrada 7 2 4 2 2 3 2" xfId="19900"/>
    <cellStyle name="Entrada 7 2 4 2 2 3 2 2" xfId="49081"/>
    <cellStyle name="Entrada 7 2 4 2 2 3 3" xfId="38399"/>
    <cellStyle name="Entrada 7 2 4 2 2 4" xfId="13140"/>
    <cellStyle name="Entrada 7 2 4 2 2 4 2" xfId="42321"/>
    <cellStyle name="Entrada 7 2 4 2 2 5" xfId="32874"/>
    <cellStyle name="Entrada 7 2 4 2 3" xfId="5212"/>
    <cellStyle name="Entrada 7 2 4 2 3 2" xfId="10811"/>
    <cellStyle name="Entrada 7 2 4 2 3 2 2" xfId="39992"/>
    <cellStyle name="Entrada 7 2 4 2 3 3" xfId="34395"/>
    <cellStyle name="Entrada 7 2 4 2 4" xfId="8528"/>
    <cellStyle name="Entrada 7 2 4 2 4 2" xfId="19492"/>
    <cellStyle name="Entrada 7 2 4 2 4 2 2" xfId="48673"/>
    <cellStyle name="Entrada 7 2 4 2 4 3" xfId="37711"/>
    <cellStyle name="Entrada 7 2 4 2 5" xfId="17881"/>
    <cellStyle name="Entrada 7 2 4 2 5 2" xfId="47062"/>
    <cellStyle name="Entrada 7 2 4 2 6" xfId="31074"/>
    <cellStyle name="Entrada 7 2 4 3" xfId="2791"/>
    <cellStyle name="Entrada 7 2 4 3 2" xfId="5932"/>
    <cellStyle name="Entrada 7 2 4 3 2 2" xfId="13371"/>
    <cellStyle name="Entrada 7 2 4 3 2 2 2" xfId="42552"/>
    <cellStyle name="Entrada 7 2 4 3 2 3" xfId="35115"/>
    <cellStyle name="Entrada 7 2 4 3 3" xfId="10055"/>
    <cellStyle name="Entrada 7 2 4 3 3 2" xfId="20406"/>
    <cellStyle name="Entrada 7 2 4 3 3 2 2" xfId="49587"/>
    <cellStyle name="Entrada 7 2 4 3 3 3" xfId="39238"/>
    <cellStyle name="Entrada 7 2 4 3 4" xfId="14619"/>
    <cellStyle name="Entrada 7 2 4 3 4 2" xfId="43800"/>
    <cellStyle name="Entrada 7 2 4 3 5" xfId="31974"/>
    <cellStyle name="Entrada 7 2 4 4" xfId="4492"/>
    <cellStyle name="Entrada 7 2 4 4 2" xfId="13018"/>
    <cellStyle name="Entrada 7 2 4 4 2 2" xfId="42199"/>
    <cellStyle name="Entrada 7 2 4 4 3" xfId="33675"/>
    <cellStyle name="Entrada 7 2 4 5" xfId="7441"/>
    <cellStyle name="Entrada 7 2 4 5 2" xfId="18819"/>
    <cellStyle name="Entrada 7 2 4 5 2 2" xfId="48000"/>
    <cellStyle name="Entrada 7 2 4 5 3" xfId="36624"/>
    <cellStyle name="Entrada 7 2 4 6" xfId="17091"/>
    <cellStyle name="Entrada 7 2 4 6 2" xfId="46272"/>
    <cellStyle name="Entrada 7 2 4 7" xfId="30171"/>
    <cellStyle name="Entrada 7 2 5" xfId="1131"/>
    <cellStyle name="Entrada 7 2 5 2" xfId="2035"/>
    <cellStyle name="Entrada 7 2 5 2 2" xfId="3835"/>
    <cellStyle name="Entrada 7 2 5 2 2 2" xfId="6769"/>
    <cellStyle name="Entrada 7 2 5 2 2 2 2" xfId="18472"/>
    <cellStyle name="Entrada 7 2 5 2 2 2 2 2" xfId="47653"/>
    <cellStyle name="Entrada 7 2 5 2 2 2 3" xfId="35952"/>
    <cellStyle name="Entrada 7 2 5 2 2 3" xfId="8840"/>
    <cellStyle name="Entrada 7 2 5 2 2 3 2" xfId="19673"/>
    <cellStyle name="Entrada 7 2 5 2 2 3 2 2" xfId="48854"/>
    <cellStyle name="Entrada 7 2 5 2 2 3 3" xfId="38023"/>
    <cellStyle name="Entrada 7 2 5 2 2 4" xfId="17400"/>
    <cellStyle name="Entrada 7 2 5 2 2 4 2" xfId="46581"/>
    <cellStyle name="Entrada 7 2 5 2 2 5" xfId="33018"/>
    <cellStyle name="Entrada 7 2 5 2 3" xfId="5329"/>
    <cellStyle name="Entrada 7 2 5 2 3 2" xfId="15274"/>
    <cellStyle name="Entrada 7 2 5 2 3 2 2" xfId="44455"/>
    <cellStyle name="Entrada 7 2 5 2 3 3" xfId="34512"/>
    <cellStyle name="Entrada 7 2 5 2 4" xfId="9822"/>
    <cellStyle name="Entrada 7 2 5 2 4 2" xfId="20262"/>
    <cellStyle name="Entrada 7 2 5 2 4 2 2" xfId="49443"/>
    <cellStyle name="Entrada 7 2 5 2 4 3" xfId="39005"/>
    <cellStyle name="Entrada 7 2 5 2 5" xfId="10757"/>
    <cellStyle name="Entrada 7 2 5 2 5 2" xfId="39938"/>
    <cellStyle name="Entrada 7 2 5 2 6" xfId="31218"/>
    <cellStyle name="Entrada 7 2 5 3" xfId="2935"/>
    <cellStyle name="Entrada 7 2 5 3 2" xfId="6049"/>
    <cellStyle name="Entrada 7 2 5 3 2 2" xfId="10559"/>
    <cellStyle name="Entrada 7 2 5 3 2 2 2" xfId="39740"/>
    <cellStyle name="Entrada 7 2 5 3 2 3" xfId="35232"/>
    <cellStyle name="Entrada 7 2 5 3 3" xfId="9047"/>
    <cellStyle name="Entrada 7 2 5 3 3 2" xfId="19794"/>
    <cellStyle name="Entrada 7 2 5 3 3 2 2" xfId="48975"/>
    <cellStyle name="Entrada 7 2 5 3 3 3" xfId="38230"/>
    <cellStyle name="Entrada 7 2 5 3 4" xfId="17932"/>
    <cellStyle name="Entrada 7 2 5 3 4 2" xfId="47113"/>
    <cellStyle name="Entrada 7 2 5 3 5" xfId="32118"/>
    <cellStyle name="Entrada 7 2 5 4" xfId="4609"/>
    <cellStyle name="Entrada 7 2 5 4 2" xfId="17236"/>
    <cellStyle name="Entrada 7 2 5 4 2 2" xfId="46417"/>
    <cellStyle name="Entrada 7 2 5 4 3" xfId="33792"/>
    <cellStyle name="Entrada 7 2 5 5" xfId="8831"/>
    <cellStyle name="Entrada 7 2 5 5 2" xfId="19668"/>
    <cellStyle name="Entrada 7 2 5 5 2 2" xfId="48849"/>
    <cellStyle name="Entrada 7 2 5 5 3" xfId="38014"/>
    <cellStyle name="Entrada 7 2 5 6" xfId="17329"/>
    <cellStyle name="Entrada 7 2 5 6 2" xfId="46510"/>
    <cellStyle name="Entrada 7 2 5 7" xfId="30318"/>
    <cellStyle name="Entrada 7 2 6" xfId="1277"/>
    <cellStyle name="Entrada 7 2 6 2" xfId="2179"/>
    <cellStyle name="Entrada 7 2 6 2 2" xfId="3979"/>
    <cellStyle name="Entrada 7 2 6 2 2 2" xfId="6886"/>
    <cellStyle name="Entrada 7 2 6 2 2 2 2" xfId="18526"/>
    <cellStyle name="Entrada 7 2 6 2 2 2 2 2" xfId="47707"/>
    <cellStyle name="Entrada 7 2 6 2 2 2 3" xfId="36069"/>
    <cellStyle name="Entrada 7 2 6 2 2 3" xfId="7101"/>
    <cellStyle name="Entrada 7 2 6 2 2 3 2" xfId="18632"/>
    <cellStyle name="Entrada 7 2 6 2 2 3 2 2" xfId="47813"/>
    <cellStyle name="Entrada 7 2 6 2 2 3 3" xfId="36284"/>
    <cellStyle name="Entrada 7 2 6 2 2 4" xfId="12066"/>
    <cellStyle name="Entrada 7 2 6 2 2 4 2" xfId="41247"/>
    <cellStyle name="Entrada 7 2 6 2 2 5" xfId="33162"/>
    <cellStyle name="Entrada 7 2 6 2 3" xfId="5446"/>
    <cellStyle name="Entrada 7 2 6 2 3 2" xfId="16167"/>
    <cellStyle name="Entrada 7 2 6 2 3 2 2" xfId="45348"/>
    <cellStyle name="Entrada 7 2 6 2 3 3" xfId="34629"/>
    <cellStyle name="Entrada 7 2 6 2 4" xfId="8938"/>
    <cellStyle name="Entrada 7 2 6 2 4 2" xfId="19733"/>
    <cellStyle name="Entrada 7 2 6 2 4 2 2" xfId="48914"/>
    <cellStyle name="Entrada 7 2 6 2 4 3" xfId="38121"/>
    <cellStyle name="Entrada 7 2 6 2 5" xfId="17085"/>
    <cellStyle name="Entrada 7 2 6 2 5 2" xfId="46266"/>
    <cellStyle name="Entrada 7 2 6 2 6" xfId="31362"/>
    <cellStyle name="Entrada 7 2 6 3" xfId="3079"/>
    <cellStyle name="Entrada 7 2 6 3 2" xfId="6166"/>
    <cellStyle name="Entrada 7 2 6 3 2 2" xfId="18166"/>
    <cellStyle name="Entrada 7 2 6 3 2 2 2" xfId="47347"/>
    <cellStyle name="Entrada 7 2 6 3 2 3" xfId="35349"/>
    <cellStyle name="Entrada 7 2 6 3 3" xfId="10465"/>
    <cellStyle name="Entrada 7 2 6 3 3 2" xfId="20656"/>
    <cellStyle name="Entrada 7 2 6 3 3 2 2" xfId="49837"/>
    <cellStyle name="Entrada 7 2 6 3 3 3" xfId="39648"/>
    <cellStyle name="Entrada 7 2 6 3 4" xfId="17611"/>
    <cellStyle name="Entrada 7 2 6 3 4 2" xfId="46792"/>
    <cellStyle name="Entrada 7 2 6 3 5" xfId="32262"/>
    <cellStyle name="Entrada 7 2 6 4" xfId="4726"/>
    <cellStyle name="Entrada 7 2 6 4 2" xfId="12380"/>
    <cellStyle name="Entrada 7 2 6 4 2 2" xfId="41561"/>
    <cellStyle name="Entrada 7 2 6 4 3" xfId="33909"/>
    <cellStyle name="Entrada 7 2 6 5" xfId="7492"/>
    <cellStyle name="Entrada 7 2 6 5 2" xfId="18849"/>
    <cellStyle name="Entrada 7 2 6 5 2 2" xfId="48030"/>
    <cellStyle name="Entrada 7 2 6 5 3" xfId="36675"/>
    <cellStyle name="Entrada 7 2 6 6" xfId="16979"/>
    <cellStyle name="Entrada 7 2 6 6 2" xfId="46160"/>
    <cellStyle name="Entrada 7 2 6 7" xfId="30462"/>
    <cellStyle name="Entrada 7 2 7" xfId="1459"/>
    <cellStyle name="Entrada 7 2 7 2" xfId="3259"/>
    <cellStyle name="Entrada 7 2 7 2 2" xfId="6310"/>
    <cellStyle name="Entrada 7 2 7 2 2 2" xfId="18238"/>
    <cellStyle name="Entrada 7 2 7 2 2 2 2" xfId="47419"/>
    <cellStyle name="Entrada 7 2 7 2 2 3" xfId="35493"/>
    <cellStyle name="Entrada 7 2 7 2 3" xfId="10188"/>
    <cellStyle name="Entrada 7 2 7 2 3 2" xfId="20483"/>
    <cellStyle name="Entrada 7 2 7 2 3 2 2" xfId="49664"/>
    <cellStyle name="Entrada 7 2 7 2 3 3" xfId="39371"/>
    <cellStyle name="Entrada 7 2 7 2 4" xfId="16475"/>
    <cellStyle name="Entrada 7 2 7 2 4 2" xfId="45656"/>
    <cellStyle name="Entrada 7 2 7 2 5" xfId="32442"/>
    <cellStyle name="Entrada 7 2 7 3" xfId="4870"/>
    <cellStyle name="Entrada 7 2 7 3 2" xfId="12639"/>
    <cellStyle name="Entrada 7 2 7 3 2 2" xfId="41820"/>
    <cellStyle name="Entrada 7 2 7 3 3" xfId="34053"/>
    <cellStyle name="Entrada 7 2 7 4" xfId="8571"/>
    <cellStyle name="Entrada 7 2 7 4 2" xfId="19516"/>
    <cellStyle name="Entrada 7 2 7 4 2 2" xfId="48697"/>
    <cellStyle name="Entrada 7 2 7 4 3" xfId="37754"/>
    <cellStyle name="Entrada 7 2 7 5" xfId="12198"/>
    <cellStyle name="Entrada 7 2 7 5 2" xfId="41379"/>
    <cellStyle name="Entrada 7 2 7 6" xfId="30642"/>
    <cellStyle name="Entrada 7 2 8" xfId="2359"/>
    <cellStyle name="Entrada 7 2 8 2" xfId="5590"/>
    <cellStyle name="Entrada 7 2 8 2 2" xfId="15705"/>
    <cellStyle name="Entrada 7 2 8 2 2 2" xfId="44886"/>
    <cellStyle name="Entrada 7 2 8 2 3" xfId="34773"/>
    <cellStyle name="Entrada 7 2 8 3" xfId="7271"/>
    <cellStyle name="Entrada 7 2 8 3 2" xfId="18727"/>
    <cellStyle name="Entrada 7 2 8 3 2 2" xfId="47908"/>
    <cellStyle name="Entrada 7 2 8 3 3" xfId="36454"/>
    <cellStyle name="Entrada 7 2 8 4" xfId="17172"/>
    <cellStyle name="Entrada 7 2 8 4 2" xfId="46353"/>
    <cellStyle name="Entrada 7 2 8 5" xfId="31542"/>
    <cellStyle name="Entrada 7 2 9" xfId="4150"/>
    <cellStyle name="Entrada 7 2 9 2" xfId="13853"/>
    <cellStyle name="Entrada 7 2 9 2 2" xfId="43034"/>
    <cellStyle name="Entrada 7 2 9 3" xfId="33333"/>
    <cellStyle name="Entrada 7 3" xfId="481"/>
    <cellStyle name="Entrada 7 3 10" xfId="12550"/>
    <cellStyle name="Entrada 7 3 10 2" xfId="41731"/>
    <cellStyle name="Entrada 7 3 11" xfId="29687"/>
    <cellStyle name="Entrada 7 3 2" xfId="834"/>
    <cellStyle name="Entrada 7 3 2 2" xfId="1772"/>
    <cellStyle name="Entrada 7 3 2 2 2" xfId="3572"/>
    <cellStyle name="Entrada 7 3 2 2 2 2" xfId="6560"/>
    <cellStyle name="Entrada 7 3 2 2 2 2 2" xfId="18382"/>
    <cellStyle name="Entrada 7 3 2 2 2 2 2 2" xfId="47563"/>
    <cellStyle name="Entrada 7 3 2 2 2 2 3" xfId="35743"/>
    <cellStyle name="Entrada 7 3 2 2 2 3" xfId="8885"/>
    <cellStyle name="Entrada 7 3 2 2 2 3 2" xfId="19697"/>
    <cellStyle name="Entrada 7 3 2 2 2 3 2 2" xfId="48878"/>
    <cellStyle name="Entrada 7 3 2 2 2 3 3" xfId="38068"/>
    <cellStyle name="Entrada 7 3 2 2 2 4" xfId="15381"/>
    <cellStyle name="Entrada 7 3 2 2 2 4 2" xfId="44562"/>
    <cellStyle name="Entrada 7 3 2 2 2 5" xfId="32755"/>
    <cellStyle name="Entrada 7 3 2 2 3" xfId="5120"/>
    <cellStyle name="Entrada 7 3 2 2 3 2" xfId="14882"/>
    <cellStyle name="Entrada 7 3 2 2 3 2 2" xfId="44063"/>
    <cellStyle name="Entrada 7 3 2 2 3 3" xfId="34303"/>
    <cellStyle name="Entrada 7 3 2 2 4" xfId="8472"/>
    <cellStyle name="Entrada 7 3 2 2 4 2" xfId="19457"/>
    <cellStyle name="Entrada 7 3 2 2 4 2 2" xfId="48638"/>
    <cellStyle name="Entrada 7 3 2 2 4 3" xfId="37655"/>
    <cellStyle name="Entrada 7 3 2 2 5" xfId="16941"/>
    <cellStyle name="Entrada 7 3 2 2 5 2" xfId="46122"/>
    <cellStyle name="Entrada 7 3 2 2 6" xfId="30955"/>
    <cellStyle name="Entrada 7 3 2 3" xfId="2672"/>
    <cellStyle name="Entrada 7 3 2 3 2" xfId="5840"/>
    <cellStyle name="Entrada 7 3 2 3 2 2" xfId="14319"/>
    <cellStyle name="Entrada 7 3 2 3 2 2 2" xfId="43500"/>
    <cellStyle name="Entrada 7 3 2 3 2 3" xfId="35023"/>
    <cellStyle name="Entrada 7 3 2 3 3" xfId="9990"/>
    <cellStyle name="Entrada 7 3 2 3 3 2" xfId="20367"/>
    <cellStyle name="Entrada 7 3 2 3 3 2 2" xfId="49548"/>
    <cellStyle name="Entrada 7 3 2 3 3 3" xfId="39173"/>
    <cellStyle name="Entrada 7 3 2 3 4" xfId="17261"/>
    <cellStyle name="Entrada 7 3 2 3 4 2" xfId="46442"/>
    <cellStyle name="Entrada 7 3 2 3 5" xfId="31855"/>
    <cellStyle name="Entrada 7 3 2 4" xfId="4400"/>
    <cellStyle name="Entrada 7 3 2 4 2" xfId="17124"/>
    <cellStyle name="Entrada 7 3 2 4 2 2" xfId="46305"/>
    <cellStyle name="Entrada 7 3 2 4 3" xfId="33583"/>
    <cellStyle name="Entrada 7 3 2 5" xfId="10215"/>
    <cellStyle name="Entrada 7 3 2 5 2" xfId="20499"/>
    <cellStyle name="Entrada 7 3 2 5 2 2" xfId="49680"/>
    <cellStyle name="Entrada 7 3 2 5 3" xfId="39398"/>
    <cellStyle name="Entrada 7 3 2 6" xfId="12072"/>
    <cellStyle name="Entrada 7 3 2 6 2" xfId="41253"/>
    <cellStyle name="Entrada 7 3 2 7" xfId="30031"/>
    <cellStyle name="Entrada 7 3 3" xfId="1026"/>
    <cellStyle name="Entrada 7 3 3 2" xfId="1936"/>
    <cellStyle name="Entrada 7 3 3 2 2" xfId="3736"/>
    <cellStyle name="Entrada 7 3 3 2 2 2" xfId="6688"/>
    <cellStyle name="Entrada 7 3 3 2 2 2 2" xfId="18436"/>
    <cellStyle name="Entrada 7 3 3 2 2 2 2 2" xfId="47617"/>
    <cellStyle name="Entrada 7 3 3 2 2 2 3" xfId="35871"/>
    <cellStyle name="Entrada 7 3 3 2 2 3" xfId="8764"/>
    <cellStyle name="Entrada 7 3 3 2 2 3 2" xfId="19627"/>
    <cellStyle name="Entrada 7 3 3 2 2 3 2 2" xfId="48808"/>
    <cellStyle name="Entrada 7 3 3 2 2 3 3" xfId="37947"/>
    <cellStyle name="Entrada 7 3 3 2 2 4" xfId="10645"/>
    <cellStyle name="Entrada 7 3 3 2 2 4 2" xfId="39826"/>
    <cellStyle name="Entrada 7 3 3 2 2 5" xfId="32919"/>
    <cellStyle name="Entrada 7 3 3 2 3" xfId="5248"/>
    <cellStyle name="Entrada 7 3 3 2 3 2" xfId="11609"/>
    <cellStyle name="Entrada 7 3 3 2 3 2 2" xfId="40790"/>
    <cellStyle name="Entrada 7 3 3 2 3 3" xfId="34431"/>
    <cellStyle name="Entrada 7 3 3 2 4" xfId="8323"/>
    <cellStyle name="Entrada 7 3 3 2 4 2" xfId="19359"/>
    <cellStyle name="Entrada 7 3 3 2 4 2 2" xfId="48540"/>
    <cellStyle name="Entrada 7 3 3 2 4 3" xfId="37506"/>
    <cellStyle name="Entrada 7 3 3 2 5" xfId="12011"/>
    <cellStyle name="Entrada 7 3 3 2 5 2" xfId="41192"/>
    <cellStyle name="Entrada 7 3 3 2 6" xfId="31119"/>
    <cellStyle name="Entrada 7 3 3 3" xfId="2836"/>
    <cellStyle name="Entrada 7 3 3 3 2" xfId="5968"/>
    <cellStyle name="Entrada 7 3 3 3 2 2" xfId="10595"/>
    <cellStyle name="Entrada 7 3 3 3 2 2 2" xfId="39776"/>
    <cellStyle name="Entrada 7 3 3 3 2 3" xfId="35151"/>
    <cellStyle name="Entrada 7 3 3 3 3" xfId="9852"/>
    <cellStyle name="Entrada 7 3 3 3 3 2" xfId="20280"/>
    <cellStyle name="Entrada 7 3 3 3 3 2 2" xfId="49461"/>
    <cellStyle name="Entrada 7 3 3 3 3 3" xfId="39035"/>
    <cellStyle name="Entrada 7 3 3 3 4" xfId="13792"/>
    <cellStyle name="Entrada 7 3 3 3 4 2" xfId="42973"/>
    <cellStyle name="Entrada 7 3 3 3 5" xfId="32019"/>
    <cellStyle name="Entrada 7 3 3 4" xfId="4528"/>
    <cellStyle name="Entrada 7 3 3 4 2" xfId="16289"/>
    <cellStyle name="Entrada 7 3 3 4 2 2" xfId="45470"/>
    <cellStyle name="Entrada 7 3 3 4 3" xfId="33711"/>
    <cellStyle name="Entrada 7 3 3 5" xfId="9406"/>
    <cellStyle name="Entrada 7 3 3 5 2" xfId="20012"/>
    <cellStyle name="Entrada 7 3 3 5 2 2" xfId="49193"/>
    <cellStyle name="Entrada 7 3 3 5 3" xfId="38589"/>
    <cellStyle name="Entrada 7 3 3 6" xfId="12742"/>
    <cellStyle name="Entrada 7 3 3 6 2" xfId="41923"/>
    <cellStyle name="Entrada 7 3 3 7" xfId="30216"/>
    <cellStyle name="Entrada 7 3 4" xfId="1176"/>
    <cellStyle name="Entrada 7 3 4 2" xfId="2080"/>
    <cellStyle name="Entrada 7 3 4 2 2" xfId="3880"/>
    <cellStyle name="Entrada 7 3 4 2 2 2" xfId="6805"/>
    <cellStyle name="Entrada 7 3 4 2 2 2 2" xfId="18490"/>
    <cellStyle name="Entrada 7 3 4 2 2 2 2 2" xfId="47671"/>
    <cellStyle name="Entrada 7 3 4 2 2 2 3" xfId="35988"/>
    <cellStyle name="Entrada 7 3 4 2 2 3" xfId="8683"/>
    <cellStyle name="Entrada 7 3 4 2 2 3 2" xfId="19581"/>
    <cellStyle name="Entrada 7 3 4 2 2 3 2 2" xfId="48762"/>
    <cellStyle name="Entrada 7 3 4 2 2 3 3" xfId="37866"/>
    <cellStyle name="Entrada 7 3 4 2 2 4" xfId="15978"/>
    <cellStyle name="Entrada 7 3 4 2 2 4 2" xfId="45159"/>
    <cellStyle name="Entrada 7 3 4 2 2 5" xfId="33063"/>
    <cellStyle name="Entrada 7 3 4 2 3" xfId="5365"/>
    <cellStyle name="Entrada 7 3 4 2 3 2" xfId="13177"/>
    <cellStyle name="Entrada 7 3 4 2 3 2 2" xfId="42358"/>
    <cellStyle name="Entrada 7 3 4 2 3 3" xfId="34548"/>
    <cellStyle name="Entrada 7 3 4 2 4" xfId="8625"/>
    <cellStyle name="Entrada 7 3 4 2 4 2" xfId="19549"/>
    <cellStyle name="Entrada 7 3 4 2 4 2 2" xfId="48730"/>
    <cellStyle name="Entrada 7 3 4 2 4 3" xfId="37808"/>
    <cellStyle name="Entrada 7 3 4 2 5" xfId="12872"/>
    <cellStyle name="Entrada 7 3 4 2 5 2" xfId="42053"/>
    <cellStyle name="Entrada 7 3 4 2 6" xfId="31263"/>
    <cellStyle name="Entrada 7 3 4 3" xfId="2980"/>
    <cellStyle name="Entrada 7 3 4 3 2" xfId="6085"/>
    <cellStyle name="Entrada 7 3 4 3 2 2" xfId="10541"/>
    <cellStyle name="Entrada 7 3 4 3 2 2 2" xfId="39722"/>
    <cellStyle name="Entrada 7 3 4 3 2 3" xfId="35268"/>
    <cellStyle name="Entrada 7 3 4 3 3" xfId="9938"/>
    <cellStyle name="Entrada 7 3 4 3 3 2" xfId="20332"/>
    <cellStyle name="Entrada 7 3 4 3 3 2 2" xfId="49513"/>
    <cellStyle name="Entrada 7 3 4 3 3 3" xfId="39121"/>
    <cellStyle name="Entrada 7 3 4 3 4" xfId="14750"/>
    <cellStyle name="Entrada 7 3 4 3 4 2" xfId="43931"/>
    <cellStyle name="Entrada 7 3 4 3 5" xfId="32163"/>
    <cellStyle name="Entrada 7 3 4 4" xfId="4645"/>
    <cellStyle name="Entrada 7 3 4 4 2" xfId="14321"/>
    <cellStyle name="Entrada 7 3 4 4 2 2" xfId="43502"/>
    <cellStyle name="Entrada 7 3 4 4 3" xfId="33828"/>
    <cellStyle name="Entrada 7 3 4 5" xfId="9383"/>
    <cellStyle name="Entrada 7 3 4 5 2" xfId="20000"/>
    <cellStyle name="Entrada 7 3 4 5 2 2" xfId="49181"/>
    <cellStyle name="Entrada 7 3 4 5 3" xfId="38566"/>
    <cellStyle name="Entrada 7 3 4 6" xfId="11752"/>
    <cellStyle name="Entrada 7 3 4 6 2" xfId="40933"/>
    <cellStyle name="Entrada 7 3 4 7" xfId="30363"/>
    <cellStyle name="Entrada 7 3 5" xfId="1322"/>
    <cellStyle name="Entrada 7 3 5 2" xfId="2224"/>
    <cellStyle name="Entrada 7 3 5 2 2" xfId="4024"/>
    <cellStyle name="Entrada 7 3 5 2 2 2" xfId="6922"/>
    <cellStyle name="Entrada 7 3 5 2 2 2 2" xfId="18544"/>
    <cellStyle name="Entrada 7 3 5 2 2 2 2 2" xfId="47725"/>
    <cellStyle name="Entrada 7 3 5 2 2 2 3" xfId="36105"/>
    <cellStyle name="Entrada 7 3 5 2 2 3" xfId="7056"/>
    <cellStyle name="Entrada 7 3 5 2 2 3 2" xfId="18605"/>
    <cellStyle name="Entrada 7 3 5 2 2 3 2 2" xfId="47786"/>
    <cellStyle name="Entrada 7 3 5 2 2 3 3" xfId="36239"/>
    <cellStyle name="Entrada 7 3 5 2 2 4" xfId="12095"/>
    <cellStyle name="Entrada 7 3 5 2 2 4 2" xfId="41276"/>
    <cellStyle name="Entrada 7 3 5 2 2 5" xfId="33207"/>
    <cellStyle name="Entrada 7 3 5 2 3" xfId="5482"/>
    <cellStyle name="Entrada 7 3 5 2 3 2" xfId="18098"/>
    <cellStyle name="Entrada 7 3 5 2 3 2 2" xfId="47279"/>
    <cellStyle name="Entrada 7 3 5 2 3 3" xfId="34665"/>
    <cellStyle name="Entrada 7 3 5 2 4" xfId="9509"/>
    <cellStyle name="Entrada 7 3 5 2 4 2" xfId="20072"/>
    <cellStyle name="Entrada 7 3 5 2 4 2 2" xfId="49253"/>
    <cellStyle name="Entrada 7 3 5 2 4 3" xfId="38692"/>
    <cellStyle name="Entrada 7 3 5 2 5" xfId="17013"/>
    <cellStyle name="Entrada 7 3 5 2 5 2" xfId="46194"/>
    <cellStyle name="Entrada 7 3 5 2 6" xfId="31407"/>
    <cellStyle name="Entrada 7 3 5 3" xfId="3124"/>
    <cellStyle name="Entrada 7 3 5 3 2" xfId="6202"/>
    <cellStyle name="Entrada 7 3 5 3 2 2" xfId="18184"/>
    <cellStyle name="Entrada 7 3 5 3 2 2 2" xfId="47365"/>
    <cellStyle name="Entrada 7 3 5 3 2 3" xfId="35385"/>
    <cellStyle name="Entrada 7 3 5 3 3" xfId="8074"/>
    <cellStyle name="Entrada 7 3 5 3 3 2" xfId="19207"/>
    <cellStyle name="Entrada 7 3 5 3 3 2 2" xfId="48388"/>
    <cellStyle name="Entrada 7 3 5 3 3 3" xfId="37257"/>
    <cellStyle name="Entrada 7 3 5 3 4" xfId="14978"/>
    <cellStyle name="Entrada 7 3 5 3 4 2" xfId="44159"/>
    <cellStyle name="Entrada 7 3 5 3 5" xfId="32307"/>
    <cellStyle name="Entrada 7 3 5 4" xfId="4762"/>
    <cellStyle name="Entrada 7 3 5 4 2" xfId="16438"/>
    <cellStyle name="Entrada 7 3 5 4 2 2" xfId="45619"/>
    <cellStyle name="Entrada 7 3 5 4 3" xfId="33945"/>
    <cellStyle name="Entrada 7 3 5 5" xfId="9907"/>
    <cellStyle name="Entrada 7 3 5 5 2" xfId="20316"/>
    <cellStyle name="Entrada 7 3 5 5 2 2" xfId="49497"/>
    <cellStyle name="Entrada 7 3 5 5 3" xfId="39090"/>
    <cellStyle name="Entrada 7 3 5 6" xfId="17404"/>
    <cellStyle name="Entrada 7 3 5 6 2" xfId="46585"/>
    <cellStyle name="Entrada 7 3 5 7" xfId="30507"/>
    <cellStyle name="Entrada 7 3 6" xfId="1504"/>
    <cellStyle name="Entrada 7 3 6 2" xfId="3304"/>
    <cellStyle name="Entrada 7 3 6 2 2" xfId="6346"/>
    <cellStyle name="Entrada 7 3 6 2 2 2" xfId="18256"/>
    <cellStyle name="Entrada 7 3 6 2 2 2 2" xfId="47437"/>
    <cellStyle name="Entrada 7 3 6 2 2 3" xfId="35529"/>
    <cellStyle name="Entrada 7 3 6 2 3" xfId="9972"/>
    <cellStyle name="Entrada 7 3 6 2 3 2" xfId="20354"/>
    <cellStyle name="Entrada 7 3 6 2 3 2 2" xfId="49535"/>
    <cellStyle name="Entrada 7 3 6 2 3 3" xfId="39155"/>
    <cellStyle name="Entrada 7 3 6 2 4" xfId="15002"/>
    <cellStyle name="Entrada 7 3 6 2 4 2" xfId="44183"/>
    <cellStyle name="Entrada 7 3 6 2 5" xfId="32487"/>
    <cellStyle name="Entrada 7 3 6 3" xfId="4906"/>
    <cellStyle name="Entrada 7 3 6 3 2" xfId="12314"/>
    <cellStyle name="Entrada 7 3 6 3 2 2" xfId="41495"/>
    <cellStyle name="Entrada 7 3 6 3 3" xfId="34089"/>
    <cellStyle name="Entrada 7 3 6 4" xfId="7847"/>
    <cellStyle name="Entrada 7 3 6 4 2" xfId="19072"/>
    <cellStyle name="Entrada 7 3 6 4 2 2" xfId="48253"/>
    <cellStyle name="Entrada 7 3 6 4 3" xfId="37030"/>
    <cellStyle name="Entrada 7 3 6 5" xfId="10713"/>
    <cellStyle name="Entrada 7 3 6 5 2" xfId="39894"/>
    <cellStyle name="Entrada 7 3 6 6" xfId="30687"/>
    <cellStyle name="Entrada 7 3 7" xfId="2404"/>
    <cellStyle name="Entrada 7 3 7 2" xfId="5626"/>
    <cellStyle name="Entrada 7 3 7 2 2" xfId="17475"/>
    <cellStyle name="Entrada 7 3 7 2 2 2" xfId="46656"/>
    <cellStyle name="Entrada 7 3 7 2 3" xfId="34809"/>
    <cellStyle name="Entrada 7 3 7 3" xfId="7254"/>
    <cellStyle name="Entrada 7 3 7 3 2" xfId="18714"/>
    <cellStyle name="Entrada 7 3 7 3 2 2" xfId="47895"/>
    <cellStyle name="Entrada 7 3 7 3 3" xfId="36437"/>
    <cellStyle name="Entrada 7 3 7 4" xfId="16601"/>
    <cellStyle name="Entrada 7 3 7 4 2" xfId="45782"/>
    <cellStyle name="Entrada 7 3 7 5" xfId="31587"/>
    <cellStyle name="Entrada 7 3 8" xfId="4186"/>
    <cellStyle name="Entrada 7 3 8 2" xfId="13567"/>
    <cellStyle name="Entrada 7 3 8 2 2" xfId="42748"/>
    <cellStyle name="Entrada 7 3 8 3" xfId="33369"/>
    <cellStyle name="Entrada 7 3 9" xfId="9801"/>
    <cellStyle name="Entrada 7 3 9 2" xfId="20248"/>
    <cellStyle name="Entrada 7 3 9 2 2" xfId="49429"/>
    <cellStyle name="Entrada 7 3 9 3" xfId="38984"/>
    <cellStyle name="Entrada 7 4" xfId="663"/>
    <cellStyle name="Entrada 7 4 2" xfId="1655"/>
    <cellStyle name="Entrada 7 4 2 2" xfId="3455"/>
    <cellStyle name="Entrada 7 4 2 2 2" xfId="6470"/>
    <cellStyle name="Entrada 7 4 2 2 2 2" xfId="18337"/>
    <cellStyle name="Entrada 7 4 2 2 2 2 2" xfId="47518"/>
    <cellStyle name="Entrada 7 4 2 2 2 3" xfId="35653"/>
    <cellStyle name="Entrada 7 4 2 2 3" xfId="9210"/>
    <cellStyle name="Entrada 7 4 2 2 3 2" xfId="19895"/>
    <cellStyle name="Entrada 7 4 2 2 3 2 2" xfId="49076"/>
    <cellStyle name="Entrada 7 4 2 2 3 3" xfId="38393"/>
    <cellStyle name="Entrada 7 4 2 2 4" xfId="17328"/>
    <cellStyle name="Entrada 7 4 2 2 4 2" xfId="46509"/>
    <cellStyle name="Entrada 7 4 2 2 5" xfId="32638"/>
    <cellStyle name="Entrada 7 4 2 3" xfId="5030"/>
    <cellStyle name="Entrada 7 4 2 3 2" xfId="16458"/>
    <cellStyle name="Entrada 7 4 2 3 2 2" xfId="45639"/>
    <cellStyle name="Entrada 7 4 2 3 3" xfId="34213"/>
    <cellStyle name="Entrada 7 4 2 4" xfId="8366"/>
    <cellStyle name="Entrada 7 4 2 4 2" xfId="19388"/>
    <cellStyle name="Entrada 7 4 2 4 2 2" xfId="48569"/>
    <cellStyle name="Entrada 7 4 2 4 3" xfId="37549"/>
    <cellStyle name="Entrada 7 4 2 5" xfId="14827"/>
    <cellStyle name="Entrada 7 4 2 5 2" xfId="44008"/>
    <cellStyle name="Entrada 7 4 2 6" xfId="30838"/>
    <cellStyle name="Entrada 7 4 3" xfId="2555"/>
    <cellStyle name="Entrada 7 4 3 2" xfId="5750"/>
    <cellStyle name="Entrada 7 4 3 2 2" xfId="11615"/>
    <cellStyle name="Entrada 7 4 3 2 2 2" xfId="40796"/>
    <cellStyle name="Entrada 7 4 3 2 3" xfId="34933"/>
    <cellStyle name="Entrada 7 4 3 3" xfId="9894"/>
    <cellStyle name="Entrada 7 4 3 3 2" xfId="20307"/>
    <cellStyle name="Entrada 7 4 3 3 2 2" xfId="49488"/>
    <cellStyle name="Entrada 7 4 3 3 3" xfId="39077"/>
    <cellStyle name="Entrada 7 4 3 4" xfId="14051"/>
    <cellStyle name="Entrada 7 4 3 4 2" xfId="43232"/>
    <cellStyle name="Entrada 7 4 3 5" xfId="31738"/>
    <cellStyle name="Entrada 7 4 4" xfId="4310"/>
    <cellStyle name="Entrada 7 4 4 2" xfId="12258"/>
    <cellStyle name="Entrada 7 4 4 2 2" xfId="41439"/>
    <cellStyle name="Entrada 7 4 4 3" xfId="33493"/>
    <cellStyle name="Entrada 7 4 5" xfId="10492"/>
    <cellStyle name="Entrada 7 4 5 2" xfId="20673"/>
    <cellStyle name="Entrada 7 4 5 2 2" xfId="49854"/>
    <cellStyle name="Entrada 7 4 5 3" xfId="39675"/>
    <cellStyle name="Entrada 7 4 6" xfId="16527"/>
    <cellStyle name="Entrada 7 4 6 2" xfId="45708"/>
    <cellStyle name="Entrada 7 4 7" xfId="29866"/>
    <cellStyle name="Entrada 7 5" xfId="614"/>
    <cellStyle name="Entrada 7 5 2" xfId="1606"/>
    <cellStyle name="Entrada 7 5 2 2" xfId="3406"/>
    <cellStyle name="Entrada 7 5 2 2 2" xfId="6421"/>
    <cellStyle name="Entrada 7 5 2 2 2 2" xfId="18288"/>
    <cellStyle name="Entrada 7 5 2 2 2 2 2" xfId="47469"/>
    <cellStyle name="Entrada 7 5 2 2 2 3" xfId="35604"/>
    <cellStyle name="Entrada 7 5 2 2 3" xfId="7414"/>
    <cellStyle name="Entrada 7 5 2 2 3 2" xfId="18803"/>
    <cellStyle name="Entrada 7 5 2 2 3 2 2" xfId="47984"/>
    <cellStyle name="Entrada 7 5 2 2 3 3" xfId="36597"/>
    <cellStyle name="Entrada 7 5 2 2 4" xfId="11681"/>
    <cellStyle name="Entrada 7 5 2 2 4 2" xfId="40862"/>
    <cellStyle name="Entrada 7 5 2 2 5" xfId="32589"/>
    <cellStyle name="Entrada 7 5 2 3" xfId="4981"/>
    <cellStyle name="Entrada 7 5 2 3 2" xfId="17695"/>
    <cellStyle name="Entrada 7 5 2 3 2 2" xfId="46876"/>
    <cellStyle name="Entrada 7 5 2 3 3" xfId="34164"/>
    <cellStyle name="Entrada 7 5 2 4" xfId="9157"/>
    <cellStyle name="Entrada 7 5 2 4 2" xfId="19862"/>
    <cellStyle name="Entrada 7 5 2 4 2 2" xfId="49043"/>
    <cellStyle name="Entrada 7 5 2 4 3" xfId="38340"/>
    <cellStyle name="Entrada 7 5 2 5" xfId="13529"/>
    <cellStyle name="Entrada 7 5 2 5 2" xfId="42710"/>
    <cellStyle name="Entrada 7 5 2 6" xfId="30789"/>
    <cellStyle name="Entrada 7 5 3" xfId="2506"/>
    <cellStyle name="Entrada 7 5 3 2" xfId="5701"/>
    <cellStyle name="Entrada 7 5 3 2 2" xfId="15052"/>
    <cellStyle name="Entrada 7 5 3 2 2 2" xfId="44233"/>
    <cellStyle name="Entrada 7 5 3 2 3" xfId="34884"/>
    <cellStyle name="Entrada 7 5 3 3" xfId="7602"/>
    <cellStyle name="Entrada 7 5 3 3 2" xfId="18922"/>
    <cellStyle name="Entrada 7 5 3 3 2 2" xfId="48103"/>
    <cellStyle name="Entrada 7 5 3 3 3" xfId="36785"/>
    <cellStyle name="Entrada 7 5 3 4" xfId="17733"/>
    <cellStyle name="Entrada 7 5 3 4 2" xfId="46914"/>
    <cellStyle name="Entrada 7 5 3 5" xfId="31689"/>
    <cellStyle name="Entrada 7 5 4" xfId="4261"/>
    <cellStyle name="Entrada 7 5 4 2" xfId="16060"/>
    <cellStyle name="Entrada 7 5 4 2 2" xfId="45241"/>
    <cellStyle name="Entrada 7 5 4 3" xfId="33444"/>
    <cellStyle name="Entrada 7 5 5" xfId="9310"/>
    <cellStyle name="Entrada 7 5 5 2" xfId="19958"/>
    <cellStyle name="Entrada 7 5 5 2 2" xfId="49139"/>
    <cellStyle name="Entrada 7 5 5 3" xfId="38493"/>
    <cellStyle name="Entrada 7 5 6" xfId="17698"/>
    <cellStyle name="Entrada 7 5 6 2" xfId="46879"/>
    <cellStyle name="Entrada 7 5 7" xfId="29817"/>
    <cellStyle name="Entrada 7 6" xfId="672"/>
    <cellStyle name="Entrada 7 6 2" xfId="1664"/>
    <cellStyle name="Entrada 7 6 2 2" xfId="3464"/>
    <cellStyle name="Entrada 7 6 2 2 2" xfId="6479"/>
    <cellStyle name="Entrada 7 6 2 2 2 2" xfId="18346"/>
    <cellStyle name="Entrada 7 6 2 2 2 2 2" xfId="47527"/>
    <cellStyle name="Entrada 7 6 2 2 2 3" xfId="35662"/>
    <cellStyle name="Entrada 7 6 2 2 3" xfId="9970"/>
    <cellStyle name="Entrada 7 6 2 2 3 2" xfId="20353"/>
    <cellStyle name="Entrada 7 6 2 2 3 2 2" xfId="49534"/>
    <cellStyle name="Entrada 7 6 2 2 3 3" xfId="39153"/>
    <cellStyle name="Entrada 7 6 2 2 4" xfId="13021"/>
    <cellStyle name="Entrada 7 6 2 2 4 2" xfId="42202"/>
    <cellStyle name="Entrada 7 6 2 2 5" xfId="32647"/>
    <cellStyle name="Entrada 7 6 2 3" xfId="5039"/>
    <cellStyle name="Entrada 7 6 2 3 2" xfId="12158"/>
    <cellStyle name="Entrada 7 6 2 3 2 2" xfId="41339"/>
    <cellStyle name="Entrada 7 6 2 3 3" xfId="34222"/>
    <cellStyle name="Entrada 7 6 2 4" xfId="9516"/>
    <cellStyle name="Entrada 7 6 2 4 2" xfId="20075"/>
    <cellStyle name="Entrada 7 6 2 4 2 2" xfId="49256"/>
    <cellStyle name="Entrada 7 6 2 4 3" xfId="38699"/>
    <cellStyle name="Entrada 7 6 2 5" xfId="16249"/>
    <cellStyle name="Entrada 7 6 2 5 2" xfId="45430"/>
    <cellStyle name="Entrada 7 6 2 6" xfId="30847"/>
    <cellStyle name="Entrada 7 6 3" xfId="2564"/>
    <cellStyle name="Entrada 7 6 3 2" xfId="5759"/>
    <cellStyle name="Entrada 7 6 3 2 2" xfId="17601"/>
    <cellStyle name="Entrada 7 6 3 2 2 2" xfId="46782"/>
    <cellStyle name="Entrada 7 6 3 2 3" xfId="34942"/>
    <cellStyle name="Entrada 7 6 3 3" xfId="8081"/>
    <cellStyle name="Entrada 7 6 3 3 2" xfId="19210"/>
    <cellStyle name="Entrada 7 6 3 3 2 2" xfId="48391"/>
    <cellStyle name="Entrada 7 6 3 3 3" xfId="37264"/>
    <cellStyle name="Entrada 7 6 3 4" xfId="14647"/>
    <cellStyle name="Entrada 7 6 3 4 2" xfId="43828"/>
    <cellStyle name="Entrada 7 6 3 5" xfId="31747"/>
    <cellStyle name="Entrada 7 6 4" xfId="4319"/>
    <cellStyle name="Entrada 7 6 4 2" xfId="13430"/>
    <cellStyle name="Entrada 7 6 4 2 2" xfId="42611"/>
    <cellStyle name="Entrada 7 6 4 3" xfId="33502"/>
    <cellStyle name="Entrada 7 6 5" xfId="8719"/>
    <cellStyle name="Entrada 7 6 5 2" xfId="19598"/>
    <cellStyle name="Entrada 7 6 5 2 2" xfId="48779"/>
    <cellStyle name="Entrada 7 6 5 3" xfId="37902"/>
    <cellStyle name="Entrada 7 6 6" xfId="16090"/>
    <cellStyle name="Entrada 7 6 6 2" xfId="45271"/>
    <cellStyle name="Entrada 7 6 7" xfId="29875"/>
    <cellStyle name="Entrada 7 7" xfId="605"/>
    <cellStyle name="Entrada 7 7 2" xfId="1597"/>
    <cellStyle name="Entrada 7 7 2 2" xfId="3397"/>
    <cellStyle name="Entrada 7 7 2 2 2" xfId="6412"/>
    <cellStyle name="Entrada 7 7 2 2 2 2" xfId="18279"/>
    <cellStyle name="Entrada 7 7 2 2 2 2 2" xfId="47460"/>
    <cellStyle name="Entrada 7 7 2 2 2 3" xfId="35595"/>
    <cellStyle name="Entrada 7 7 2 2 3" xfId="8032"/>
    <cellStyle name="Entrada 7 7 2 2 3 2" xfId="19183"/>
    <cellStyle name="Entrada 7 7 2 2 3 2 2" xfId="48364"/>
    <cellStyle name="Entrada 7 7 2 2 3 3" xfId="37215"/>
    <cellStyle name="Entrada 7 7 2 2 4" xfId="13568"/>
    <cellStyle name="Entrada 7 7 2 2 4 2" xfId="42749"/>
    <cellStyle name="Entrada 7 7 2 2 5" xfId="32580"/>
    <cellStyle name="Entrada 7 7 2 3" xfId="4972"/>
    <cellStyle name="Entrada 7 7 2 3 2" xfId="11081"/>
    <cellStyle name="Entrada 7 7 2 3 2 2" xfId="40262"/>
    <cellStyle name="Entrada 7 7 2 3 3" xfId="34155"/>
    <cellStyle name="Entrada 7 7 2 4" xfId="8251"/>
    <cellStyle name="Entrada 7 7 2 4 2" xfId="19312"/>
    <cellStyle name="Entrada 7 7 2 4 2 2" xfId="48493"/>
    <cellStyle name="Entrada 7 7 2 4 3" xfId="37434"/>
    <cellStyle name="Entrada 7 7 2 5" xfId="12234"/>
    <cellStyle name="Entrada 7 7 2 5 2" xfId="41415"/>
    <cellStyle name="Entrada 7 7 2 6" xfId="30780"/>
    <cellStyle name="Entrada 7 7 3" xfId="2497"/>
    <cellStyle name="Entrada 7 7 3 2" xfId="5692"/>
    <cellStyle name="Entrada 7 7 3 2 2" xfId="10747"/>
    <cellStyle name="Entrada 7 7 3 2 2 2" xfId="39928"/>
    <cellStyle name="Entrada 7 7 3 2 3" xfId="34875"/>
    <cellStyle name="Entrada 7 7 3 3" xfId="9781"/>
    <cellStyle name="Entrada 7 7 3 3 2" xfId="20238"/>
    <cellStyle name="Entrada 7 7 3 3 2 2" xfId="49419"/>
    <cellStyle name="Entrada 7 7 3 3 3" xfId="38964"/>
    <cellStyle name="Entrada 7 7 3 4" xfId="11868"/>
    <cellStyle name="Entrada 7 7 3 4 2" xfId="41049"/>
    <cellStyle name="Entrada 7 7 3 5" xfId="31680"/>
    <cellStyle name="Entrada 7 7 4" xfId="4252"/>
    <cellStyle name="Entrada 7 7 4 2" xfId="15302"/>
    <cellStyle name="Entrada 7 7 4 2 2" xfId="44483"/>
    <cellStyle name="Entrada 7 7 4 3" xfId="33435"/>
    <cellStyle name="Entrada 7 7 5" xfId="8143"/>
    <cellStyle name="Entrada 7 7 5 2" xfId="19250"/>
    <cellStyle name="Entrada 7 7 5 2 2" xfId="48431"/>
    <cellStyle name="Entrada 7 7 5 3" xfId="37326"/>
    <cellStyle name="Entrada 7 7 6" xfId="11313"/>
    <cellStyle name="Entrada 7 7 6 2" xfId="40494"/>
    <cellStyle name="Entrada 7 7 7" xfId="29808"/>
    <cellStyle name="Entrada 7 8" xfId="1414"/>
    <cellStyle name="Entrada 7 8 2" xfId="3214"/>
    <cellStyle name="Entrada 7 8 2 2" xfId="6274"/>
    <cellStyle name="Entrada 7 8 2 2 2" xfId="18220"/>
    <cellStyle name="Entrada 7 8 2 2 2 2" xfId="47401"/>
    <cellStyle name="Entrada 7 8 2 2 3" xfId="35457"/>
    <cellStyle name="Entrada 7 8 2 3" xfId="7550"/>
    <cellStyle name="Entrada 7 8 2 3 2" xfId="18885"/>
    <cellStyle name="Entrada 7 8 2 3 2 2" xfId="48066"/>
    <cellStyle name="Entrada 7 8 2 3 3" xfId="36733"/>
    <cellStyle name="Entrada 7 8 2 4" xfId="11866"/>
    <cellStyle name="Entrada 7 8 2 4 2" xfId="41047"/>
    <cellStyle name="Entrada 7 8 2 5" xfId="32397"/>
    <cellStyle name="Entrada 7 8 3" xfId="4834"/>
    <cellStyle name="Entrada 7 8 3 2" xfId="14819"/>
    <cellStyle name="Entrada 7 8 3 2 2" xfId="44000"/>
    <cellStyle name="Entrada 7 8 3 3" xfId="34017"/>
    <cellStyle name="Entrada 7 8 4" xfId="8750"/>
    <cellStyle name="Entrada 7 8 4 2" xfId="19620"/>
    <cellStyle name="Entrada 7 8 4 2 2" xfId="48801"/>
    <cellStyle name="Entrada 7 8 4 3" xfId="37933"/>
    <cellStyle name="Entrada 7 8 5" xfId="12992"/>
    <cellStyle name="Entrada 7 8 5 2" xfId="42173"/>
    <cellStyle name="Entrada 7 8 6" xfId="30597"/>
    <cellStyle name="Entrada 7 9" xfId="2314"/>
    <cellStyle name="Entrada 7 9 2" xfId="5554"/>
    <cellStyle name="Entrada 7 9 2 2" xfId="14253"/>
    <cellStyle name="Entrada 7 9 2 2 2" xfId="43434"/>
    <cellStyle name="Entrada 7 9 2 3" xfId="34737"/>
    <cellStyle name="Entrada 7 9 3" xfId="7813"/>
    <cellStyle name="Entrada 7 9 3 2" xfId="19050"/>
    <cellStyle name="Entrada 7 9 3 2 2" xfId="48231"/>
    <cellStyle name="Entrada 7 9 3 3" xfId="36996"/>
    <cellStyle name="Entrada 7 9 4" xfId="12236"/>
    <cellStyle name="Entrada 7 9 4 2" xfId="41417"/>
    <cellStyle name="Entrada 7 9 5" xfId="31497"/>
    <cellStyle name="Entrada 8" xfId="262"/>
    <cellStyle name="Entrada 8 10" xfId="4115"/>
    <cellStyle name="Entrada 8 10 2" xfId="13699"/>
    <cellStyle name="Entrada 8 10 2 2" xfId="42880"/>
    <cellStyle name="Entrada 8 10 3" xfId="33298"/>
    <cellStyle name="Entrada 8 11" xfId="12919"/>
    <cellStyle name="Entrada 8 11 2" xfId="42100"/>
    <cellStyle name="Entrada 8 12" xfId="29575"/>
    <cellStyle name="Entrada 8 2" xfId="437"/>
    <cellStyle name="Entrada 8 2 10" xfId="7772"/>
    <cellStyle name="Entrada 8 2 10 2" xfId="19025"/>
    <cellStyle name="Entrada 8 2 10 2 2" xfId="48206"/>
    <cellStyle name="Entrada 8 2 10 3" xfId="36955"/>
    <cellStyle name="Entrada 8 2 11" xfId="12044"/>
    <cellStyle name="Entrada 8 2 11 2" xfId="41225"/>
    <cellStyle name="Entrada 8 2 12" xfId="58780"/>
    <cellStyle name="Entrada 8 2 13" xfId="29643"/>
    <cellStyle name="Entrada 8 2 2" xfId="527"/>
    <cellStyle name="Entrada 8 2 2 10" xfId="17845"/>
    <cellStyle name="Entrada 8 2 2 10 2" xfId="47026"/>
    <cellStyle name="Entrada 8 2 2 11" xfId="29733"/>
    <cellStyle name="Entrada 8 2 2 2" xfId="880"/>
    <cellStyle name="Entrada 8 2 2 2 2" xfId="1818"/>
    <cellStyle name="Entrada 8 2 2 2 2 2" xfId="3618"/>
    <cellStyle name="Entrada 8 2 2 2 2 2 2" xfId="6597"/>
    <cellStyle name="Entrada 8 2 2 2 2 2 2 2" xfId="18401"/>
    <cellStyle name="Entrada 8 2 2 2 2 2 2 2 2" xfId="47582"/>
    <cellStyle name="Entrada 8 2 2 2 2 2 2 3" xfId="35780"/>
    <cellStyle name="Entrada 8 2 2 2 2 2 3" xfId="7557"/>
    <cellStyle name="Entrada 8 2 2 2 2 2 3 2" xfId="18890"/>
    <cellStyle name="Entrada 8 2 2 2 2 2 3 2 2" xfId="48071"/>
    <cellStyle name="Entrada 8 2 2 2 2 2 3 3" xfId="36740"/>
    <cellStyle name="Entrada 8 2 2 2 2 2 4" xfId="17567"/>
    <cellStyle name="Entrada 8 2 2 2 2 2 4 2" xfId="46748"/>
    <cellStyle name="Entrada 8 2 2 2 2 2 5" xfId="32801"/>
    <cellStyle name="Entrada 8 2 2 2 2 3" xfId="5157"/>
    <cellStyle name="Entrada 8 2 2 2 2 3 2" xfId="12189"/>
    <cellStyle name="Entrada 8 2 2 2 2 3 2 2" xfId="41370"/>
    <cellStyle name="Entrada 8 2 2 2 2 3 3" xfId="34340"/>
    <cellStyle name="Entrada 8 2 2 2 2 4" xfId="8982"/>
    <cellStyle name="Entrada 8 2 2 2 2 4 2" xfId="19759"/>
    <cellStyle name="Entrada 8 2 2 2 2 4 2 2" xfId="48940"/>
    <cellStyle name="Entrada 8 2 2 2 2 4 3" xfId="38165"/>
    <cellStyle name="Entrada 8 2 2 2 2 5" xfId="11595"/>
    <cellStyle name="Entrada 8 2 2 2 2 5 2" xfId="40776"/>
    <cellStyle name="Entrada 8 2 2 2 2 6" xfId="31001"/>
    <cellStyle name="Entrada 8 2 2 2 3" xfId="2718"/>
    <cellStyle name="Entrada 8 2 2 2 3 2" xfId="5877"/>
    <cellStyle name="Entrada 8 2 2 2 3 2 2" xfId="17430"/>
    <cellStyle name="Entrada 8 2 2 2 3 2 2 2" xfId="46611"/>
    <cellStyle name="Entrada 8 2 2 2 3 2 3" xfId="35060"/>
    <cellStyle name="Entrada 8 2 2 2 3 3" xfId="10509"/>
    <cellStyle name="Entrada 8 2 2 2 3 3 2" xfId="20683"/>
    <cellStyle name="Entrada 8 2 2 2 3 3 2 2" xfId="49864"/>
    <cellStyle name="Entrada 8 2 2 2 3 3 3" xfId="39692"/>
    <cellStyle name="Entrada 8 2 2 2 3 4" xfId="12604"/>
    <cellStyle name="Entrada 8 2 2 2 3 4 2" xfId="41785"/>
    <cellStyle name="Entrada 8 2 2 2 3 5" xfId="31901"/>
    <cellStyle name="Entrada 8 2 2 2 4" xfId="4437"/>
    <cellStyle name="Entrada 8 2 2 2 4 2" xfId="13460"/>
    <cellStyle name="Entrada 8 2 2 2 4 2 2" xfId="42641"/>
    <cellStyle name="Entrada 8 2 2 2 4 3" xfId="33620"/>
    <cellStyle name="Entrada 8 2 2 2 5" xfId="8483"/>
    <cellStyle name="Entrada 8 2 2 2 5 2" xfId="19463"/>
    <cellStyle name="Entrada 8 2 2 2 5 2 2" xfId="48644"/>
    <cellStyle name="Entrada 8 2 2 2 5 3" xfId="37666"/>
    <cellStyle name="Entrada 8 2 2 2 6" xfId="16605"/>
    <cellStyle name="Entrada 8 2 2 2 6 2" xfId="45786"/>
    <cellStyle name="Entrada 8 2 2 2 7" xfId="30077"/>
    <cellStyle name="Entrada 8 2 2 3" xfId="1072"/>
    <cellStyle name="Entrada 8 2 2 3 2" xfId="1982"/>
    <cellStyle name="Entrada 8 2 2 3 2 2" xfId="3782"/>
    <cellStyle name="Entrada 8 2 2 3 2 2 2" xfId="6725"/>
    <cellStyle name="Entrada 8 2 2 3 2 2 2 2" xfId="18455"/>
    <cellStyle name="Entrada 8 2 2 3 2 2 2 2 2" xfId="47636"/>
    <cellStyle name="Entrada 8 2 2 3 2 2 2 3" xfId="35908"/>
    <cellStyle name="Entrada 8 2 2 3 2 2 3" xfId="7575"/>
    <cellStyle name="Entrada 8 2 2 3 2 2 3 2" xfId="18903"/>
    <cellStyle name="Entrada 8 2 2 3 2 2 3 2 2" xfId="48084"/>
    <cellStyle name="Entrada 8 2 2 3 2 2 3 3" xfId="36758"/>
    <cellStyle name="Entrada 8 2 2 3 2 2 4" xfId="10617"/>
    <cellStyle name="Entrada 8 2 2 3 2 2 4 2" xfId="39798"/>
    <cellStyle name="Entrada 8 2 2 3 2 2 5" xfId="32965"/>
    <cellStyle name="Entrada 8 2 2 3 2 3" xfId="5285"/>
    <cellStyle name="Entrada 8 2 2 3 2 3 2" xfId="17444"/>
    <cellStyle name="Entrada 8 2 2 3 2 3 2 2" xfId="46625"/>
    <cellStyle name="Entrada 8 2 2 3 2 3 3" xfId="34468"/>
    <cellStyle name="Entrada 8 2 2 3 2 4" xfId="8860"/>
    <cellStyle name="Entrada 8 2 2 3 2 4 2" xfId="19682"/>
    <cellStyle name="Entrada 8 2 2 3 2 4 2 2" xfId="48863"/>
    <cellStyle name="Entrada 8 2 2 3 2 4 3" xfId="38043"/>
    <cellStyle name="Entrada 8 2 2 3 2 5" xfId="15139"/>
    <cellStyle name="Entrada 8 2 2 3 2 5 2" xfId="44320"/>
    <cellStyle name="Entrada 8 2 2 3 2 6" xfId="31165"/>
    <cellStyle name="Entrada 8 2 2 3 3" xfId="2882"/>
    <cellStyle name="Entrada 8 2 2 3 3 2" xfId="6005"/>
    <cellStyle name="Entrada 8 2 2 3 3 2 2" xfId="10576"/>
    <cellStyle name="Entrada 8 2 2 3 3 2 2 2" xfId="39757"/>
    <cellStyle name="Entrada 8 2 2 3 3 2 3" xfId="35188"/>
    <cellStyle name="Entrada 8 2 2 3 3 3" xfId="10387"/>
    <cellStyle name="Entrada 8 2 2 3 3 3 2" xfId="20606"/>
    <cellStyle name="Entrada 8 2 2 3 3 3 2 2" xfId="49787"/>
    <cellStyle name="Entrada 8 2 2 3 3 3 3" xfId="39570"/>
    <cellStyle name="Entrada 8 2 2 3 3 4" xfId="17156"/>
    <cellStyle name="Entrada 8 2 2 3 3 4 2" xfId="46337"/>
    <cellStyle name="Entrada 8 2 2 3 3 5" xfId="32065"/>
    <cellStyle name="Entrada 8 2 2 3 4" xfId="4565"/>
    <cellStyle name="Entrada 8 2 2 3 4 2" xfId="15107"/>
    <cellStyle name="Entrada 8 2 2 3 4 2 2" xfId="44288"/>
    <cellStyle name="Entrada 8 2 2 3 4 3" xfId="33748"/>
    <cellStyle name="Entrada 8 2 2 3 5" xfId="8020"/>
    <cellStyle name="Entrada 8 2 2 3 5 2" xfId="19176"/>
    <cellStyle name="Entrada 8 2 2 3 5 2 2" xfId="48357"/>
    <cellStyle name="Entrada 8 2 2 3 5 3" xfId="37203"/>
    <cellStyle name="Entrada 8 2 2 3 6" xfId="13320"/>
    <cellStyle name="Entrada 8 2 2 3 6 2" xfId="42501"/>
    <cellStyle name="Entrada 8 2 2 3 7" xfId="30262"/>
    <cellStyle name="Entrada 8 2 2 4" xfId="1222"/>
    <cellStyle name="Entrada 8 2 2 4 2" xfId="2126"/>
    <cellStyle name="Entrada 8 2 2 4 2 2" xfId="3926"/>
    <cellStyle name="Entrada 8 2 2 4 2 2 2" xfId="6842"/>
    <cellStyle name="Entrada 8 2 2 4 2 2 2 2" xfId="18509"/>
    <cellStyle name="Entrada 8 2 2 4 2 2 2 2 2" xfId="47690"/>
    <cellStyle name="Entrada 8 2 2 4 2 2 2 3" xfId="36025"/>
    <cellStyle name="Entrada 8 2 2 4 2 2 3" xfId="7369"/>
    <cellStyle name="Entrada 8 2 2 4 2 2 3 2" xfId="18777"/>
    <cellStyle name="Entrada 8 2 2 4 2 2 3 2 2" xfId="47958"/>
    <cellStyle name="Entrada 8 2 2 4 2 2 3 3" xfId="36552"/>
    <cellStyle name="Entrada 8 2 2 4 2 2 4" xfId="12541"/>
    <cellStyle name="Entrada 8 2 2 4 2 2 4 2" xfId="41722"/>
    <cellStyle name="Entrada 8 2 2 4 2 2 5" xfId="33109"/>
    <cellStyle name="Entrada 8 2 2 4 2 3" xfId="5402"/>
    <cellStyle name="Entrada 8 2 2 4 2 3 2" xfId="11553"/>
    <cellStyle name="Entrada 8 2 2 4 2 3 2 2" xfId="40734"/>
    <cellStyle name="Entrada 8 2 2 4 2 3 3" xfId="34585"/>
    <cellStyle name="Entrada 8 2 2 4 2 4" xfId="10199"/>
    <cellStyle name="Entrada 8 2 2 4 2 4 2" xfId="20490"/>
    <cellStyle name="Entrada 8 2 2 4 2 4 2 2" xfId="49671"/>
    <cellStyle name="Entrada 8 2 2 4 2 4 3" xfId="39382"/>
    <cellStyle name="Entrada 8 2 2 4 2 5" xfId="15475"/>
    <cellStyle name="Entrada 8 2 2 4 2 5 2" xfId="44656"/>
    <cellStyle name="Entrada 8 2 2 4 2 6" xfId="31309"/>
    <cellStyle name="Entrada 8 2 2 4 3" xfId="3026"/>
    <cellStyle name="Entrada 8 2 2 4 3 2" xfId="6122"/>
    <cellStyle name="Entrada 8 2 2 4 3 2 2" xfId="18149"/>
    <cellStyle name="Entrada 8 2 2 4 3 2 2 2" xfId="47330"/>
    <cellStyle name="Entrada 8 2 2 4 3 2 3" xfId="35305"/>
    <cellStyle name="Entrada 8 2 2 4 3 3" xfId="9423"/>
    <cellStyle name="Entrada 8 2 2 4 3 3 2" xfId="20023"/>
    <cellStyle name="Entrada 8 2 2 4 3 3 2 2" xfId="49204"/>
    <cellStyle name="Entrada 8 2 2 4 3 3 3" xfId="38606"/>
    <cellStyle name="Entrada 8 2 2 4 3 4" xfId="10927"/>
    <cellStyle name="Entrada 8 2 2 4 3 4 2" xfId="40108"/>
    <cellStyle name="Entrada 8 2 2 4 3 5" xfId="32209"/>
    <cellStyle name="Entrada 8 2 2 4 4" xfId="4682"/>
    <cellStyle name="Entrada 8 2 2 4 4 2" xfId="17893"/>
    <cellStyle name="Entrada 8 2 2 4 4 2 2" xfId="47074"/>
    <cellStyle name="Entrada 8 2 2 4 4 3" xfId="33865"/>
    <cellStyle name="Entrada 8 2 2 4 5" xfId="9066"/>
    <cellStyle name="Entrada 8 2 2 4 5 2" xfId="19804"/>
    <cellStyle name="Entrada 8 2 2 4 5 2 2" xfId="48985"/>
    <cellStyle name="Entrada 8 2 2 4 5 3" xfId="38249"/>
    <cellStyle name="Entrada 8 2 2 4 6" xfId="15852"/>
    <cellStyle name="Entrada 8 2 2 4 6 2" xfId="45033"/>
    <cellStyle name="Entrada 8 2 2 4 7" xfId="30409"/>
    <cellStyle name="Entrada 8 2 2 5" xfId="1368"/>
    <cellStyle name="Entrada 8 2 2 5 2" xfId="2270"/>
    <cellStyle name="Entrada 8 2 2 5 2 2" xfId="4070"/>
    <cellStyle name="Entrada 8 2 2 5 2 2 2" xfId="6959"/>
    <cellStyle name="Entrada 8 2 2 5 2 2 2 2" xfId="18563"/>
    <cellStyle name="Entrada 8 2 2 5 2 2 2 2 2" xfId="47744"/>
    <cellStyle name="Entrada 8 2 2 5 2 2 2 3" xfId="36142"/>
    <cellStyle name="Entrada 8 2 2 5 2 2 3" xfId="7010"/>
    <cellStyle name="Entrada 8 2 2 5 2 2 3 2" xfId="18577"/>
    <cellStyle name="Entrada 8 2 2 5 2 2 3 2 2" xfId="47758"/>
    <cellStyle name="Entrada 8 2 2 5 2 2 3 3" xfId="36193"/>
    <cellStyle name="Entrada 8 2 2 5 2 2 4" xfId="14637"/>
    <cellStyle name="Entrada 8 2 2 5 2 2 4 2" xfId="43818"/>
    <cellStyle name="Entrada 8 2 2 5 2 2 5" xfId="33253"/>
    <cellStyle name="Entrada 8 2 2 5 2 3" xfId="5519"/>
    <cellStyle name="Entrada 8 2 2 5 2 3 2" xfId="13982"/>
    <cellStyle name="Entrada 8 2 2 5 2 3 2 2" xfId="43163"/>
    <cellStyle name="Entrada 8 2 2 5 2 3 3" xfId="34702"/>
    <cellStyle name="Entrada 8 2 2 5 2 4" xfId="7294"/>
    <cellStyle name="Entrada 8 2 2 5 2 4 2" xfId="18736"/>
    <cellStyle name="Entrada 8 2 2 5 2 4 2 2" xfId="47917"/>
    <cellStyle name="Entrada 8 2 2 5 2 4 3" xfId="36477"/>
    <cellStyle name="Entrada 8 2 2 5 2 5" xfId="11749"/>
    <cellStyle name="Entrada 8 2 2 5 2 5 2" xfId="40930"/>
    <cellStyle name="Entrada 8 2 2 5 2 6" xfId="31453"/>
    <cellStyle name="Entrada 8 2 2 5 3" xfId="3170"/>
    <cellStyle name="Entrada 8 2 2 5 3 2" xfId="6239"/>
    <cellStyle name="Entrada 8 2 2 5 3 2 2" xfId="18203"/>
    <cellStyle name="Entrada 8 2 2 5 3 2 2 2" xfId="47384"/>
    <cellStyle name="Entrada 8 2 2 5 3 2 3" xfId="35422"/>
    <cellStyle name="Entrada 8 2 2 5 3 3" xfId="7199"/>
    <cellStyle name="Entrada 8 2 2 5 3 3 2" xfId="18682"/>
    <cellStyle name="Entrada 8 2 2 5 3 3 2 2" xfId="47863"/>
    <cellStyle name="Entrada 8 2 2 5 3 3 3" xfId="36382"/>
    <cellStyle name="Entrada 8 2 2 5 3 4" xfId="13462"/>
    <cellStyle name="Entrada 8 2 2 5 3 4 2" xfId="42643"/>
    <cellStyle name="Entrada 8 2 2 5 3 5" xfId="32353"/>
    <cellStyle name="Entrada 8 2 2 5 4" xfId="4799"/>
    <cellStyle name="Entrada 8 2 2 5 4 2" xfId="14550"/>
    <cellStyle name="Entrada 8 2 2 5 4 2 2" xfId="43731"/>
    <cellStyle name="Entrada 8 2 2 5 4 3" xfId="33982"/>
    <cellStyle name="Entrada 8 2 2 5 5" xfId="8174"/>
    <cellStyle name="Entrada 8 2 2 5 5 2" xfId="19270"/>
    <cellStyle name="Entrada 8 2 2 5 5 2 2" xfId="48451"/>
    <cellStyle name="Entrada 8 2 2 5 5 3" xfId="37357"/>
    <cellStyle name="Entrada 8 2 2 5 6" xfId="11594"/>
    <cellStyle name="Entrada 8 2 2 5 6 2" xfId="40775"/>
    <cellStyle name="Entrada 8 2 2 5 7" xfId="30553"/>
    <cellStyle name="Entrada 8 2 2 6" xfId="1550"/>
    <cellStyle name="Entrada 8 2 2 6 2" xfId="3350"/>
    <cellStyle name="Entrada 8 2 2 6 2 2" xfId="6383"/>
    <cellStyle name="Entrada 8 2 2 6 2 2 2" xfId="18275"/>
    <cellStyle name="Entrada 8 2 2 6 2 2 2 2" xfId="47456"/>
    <cellStyle name="Entrada 8 2 2 6 2 2 3" xfId="35566"/>
    <cellStyle name="Entrada 8 2 2 6 2 3" xfId="10502"/>
    <cellStyle name="Entrada 8 2 2 6 2 3 2" xfId="20678"/>
    <cellStyle name="Entrada 8 2 2 6 2 3 2 2" xfId="49859"/>
    <cellStyle name="Entrada 8 2 2 6 2 3 3" xfId="39685"/>
    <cellStyle name="Entrada 8 2 2 6 2 4" xfId="13401"/>
    <cellStyle name="Entrada 8 2 2 6 2 4 2" xfId="42582"/>
    <cellStyle name="Entrada 8 2 2 6 2 5" xfId="32533"/>
    <cellStyle name="Entrada 8 2 2 6 3" xfId="4943"/>
    <cellStyle name="Entrada 8 2 2 6 3 2" xfId="14375"/>
    <cellStyle name="Entrada 8 2 2 6 3 2 2" xfId="43556"/>
    <cellStyle name="Entrada 8 2 2 6 3 3" xfId="34126"/>
    <cellStyle name="Entrada 8 2 2 6 4" xfId="10105"/>
    <cellStyle name="Entrada 8 2 2 6 4 2" xfId="20434"/>
    <cellStyle name="Entrada 8 2 2 6 4 2 2" xfId="49615"/>
    <cellStyle name="Entrada 8 2 2 6 4 3" xfId="39288"/>
    <cellStyle name="Entrada 8 2 2 6 5" xfId="10675"/>
    <cellStyle name="Entrada 8 2 2 6 5 2" xfId="39856"/>
    <cellStyle name="Entrada 8 2 2 6 6" xfId="30733"/>
    <cellStyle name="Entrada 8 2 2 7" xfId="2450"/>
    <cellStyle name="Entrada 8 2 2 7 2" xfId="5663"/>
    <cellStyle name="Entrada 8 2 2 7 2 2" xfId="13238"/>
    <cellStyle name="Entrada 8 2 2 7 2 2 2" xfId="42419"/>
    <cellStyle name="Entrada 8 2 2 7 2 3" xfId="34846"/>
    <cellStyle name="Entrada 8 2 2 7 3" xfId="9330"/>
    <cellStyle name="Entrada 8 2 2 7 3 2" xfId="19968"/>
    <cellStyle name="Entrada 8 2 2 7 3 2 2" xfId="49149"/>
    <cellStyle name="Entrada 8 2 2 7 3 3" xfId="38513"/>
    <cellStyle name="Entrada 8 2 2 7 4" xfId="11684"/>
    <cellStyle name="Entrada 8 2 2 7 4 2" xfId="40865"/>
    <cellStyle name="Entrada 8 2 2 7 5" xfId="31633"/>
    <cellStyle name="Entrada 8 2 2 8" xfId="4223"/>
    <cellStyle name="Entrada 8 2 2 8 2" xfId="14937"/>
    <cellStyle name="Entrada 8 2 2 8 2 2" xfId="44118"/>
    <cellStyle name="Entrada 8 2 2 8 3" xfId="33406"/>
    <cellStyle name="Entrada 8 2 2 9" xfId="10334"/>
    <cellStyle name="Entrada 8 2 2 9 2" xfId="20574"/>
    <cellStyle name="Entrada 8 2 2 9 2 2" xfId="49755"/>
    <cellStyle name="Entrada 8 2 2 9 3" xfId="39517"/>
    <cellStyle name="Entrada 8 2 3" xfId="790"/>
    <cellStyle name="Entrada 8 2 3 2" xfId="1728"/>
    <cellStyle name="Entrada 8 2 3 2 2" xfId="3528"/>
    <cellStyle name="Entrada 8 2 3 2 2 2" xfId="6525"/>
    <cellStyle name="Entrada 8 2 3 2 2 2 2" xfId="18365"/>
    <cellStyle name="Entrada 8 2 3 2 2 2 2 2" xfId="47546"/>
    <cellStyle name="Entrada 8 2 3 2 2 2 3" xfId="35708"/>
    <cellStyle name="Entrada 8 2 3 2 2 3" xfId="9002"/>
    <cellStyle name="Entrada 8 2 3 2 2 3 2" xfId="19770"/>
    <cellStyle name="Entrada 8 2 3 2 2 3 2 2" xfId="48951"/>
    <cellStyle name="Entrada 8 2 3 2 2 3 3" xfId="38185"/>
    <cellStyle name="Entrada 8 2 3 2 2 4" xfId="10921"/>
    <cellStyle name="Entrada 8 2 3 2 2 4 2" xfId="40102"/>
    <cellStyle name="Entrada 8 2 3 2 2 5" xfId="32711"/>
    <cellStyle name="Entrada 8 2 3 2 3" xfId="5085"/>
    <cellStyle name="Entrada 8 2 3 2 3 2" xfId="14717"/>
    <cellStyle name="Entrada 8 2 3 2 3 2 2" xfId="43898"/>
    <cellStyle name="Entrada 8 2 3 2 3 3" xfId="34268"/>
    <cellStyle name="Entrada 8 2 3 2 4" xfId="7887"/>
    <cellStyle name="Entrada 8 2 3 2 4 2" xfId="19097"/>
    <cellStyle name="Entrada 8 2 3 2 4 2 2" xfId="48278"/>
    <cellStyle name="Entrada 8 2 3 2 4 3" xfId="37070"/>
    <cellStyle name="Entrada 8 2 3 2 5" xfId="17262"/>
    <cellStyle name="Entrada 8 2 3 2 5 2" xfId="46443"/>
    <cellStyle name="Entrada 8 2 3 2 6" xfId="30911"/>
    <cellStyle name="Entrada 8 2 3 3" xfId="2628"/>
    <cellStyle name="Entrada 8 2 3 3 2" xfId="5805"/>
    <cellStyle name="Entrada 8 2 3 3 2 2" xfId="14150"/>
    <cellStyle name="Entrada 8 2 3 3 2 2 2" xfId="43331"/>
    <cellStyle name="Entrada 8 2 3 3 2 3" xfId="34988"/>
    <cellStyle name="Entrada 8 2 3 3 3" xfId="8660"/>
    <cellStyle name="Entrada 8 2 3 3 3 2" xfId="19568"/>
    <cellStyle name="Entrada 8 2 3 3 3 2 2" xfId="48749"/>
    <cellStyle name="Entrada 8 2 3 3 3 3" xfId="37843"/>
    <cellStyle name="Entrada 8 2 3 3 4" xfId="15277"/>
    <cellStyle name="Entrada 8 2 3 3 4 2" xfId="44458"/>
    <cellStyle name="Entrada 8 2 3 3 5" xfId="31811"/>
    <cellStyle name="Entrada 8 2 3 4" xfId="4365"/>
    <cellStyle name="Entrada 8 2 3 4 2" xfId="17533"/>
    <cellStyle name="Entrada 8 2 3 4 2 2" xfId="46714"/>
    <cellStyle name="Entrada 8 2 3 4 3" xfId="33548"/>
    <cellStyle name="Entrada 8 2 3 5" xfId="9272"/>
    <cellStyle name="Entrada 8 2 3 5 2" xfId="19932"/>
    <cellStyle name="Entrada 8 2 3 5 2 2" xfId="49113"/>
    <cellStyle name="Entrada 8 2 3 5 3" xfId="38455"/>
    <cellStyle name="Entrada 8 2 3 6" xfId="17374"/>
    <cellStyle name="Entrada 8 2 3 6 2" xfId="46555"/>
    <cellStyle name="Entrada 8 2 3 7" xfId="29987"/>
    <cellStyle name="Entrada 8 2 4" xfId="982"/>
    <cellStyle name="Entrada 8 2 4 2" xfId="1892"/>
    <cellStyle name="Entrada 8 2 4 2 2" xfId="3692"/>
    <cellStyle name="Entrada 8 2 4 2 2 2" xfId="6653"/>
    <cellStyle name="Entrada 8 2 4 2 2 2 2" xfId="18419"/>
    <cellStyle name="Entrada 8 2 4 2 2 2 2 2" xfId="47600"/>
    <cellStyle name="Entrada 8 2 4 2 2 2 3" xfId="35836"/>
    <cellStyle name="Entrada 8 2 4 2 2 3" xfId="9982"/>
    <cellStyle name="Entrada 8 2 4 2 2 3 2" xfId="20362"/>
    <cellStyle name="Entrada 8 2 4 2 2 3 2 2" xfId="49543"/>
    <cellStyle name="Entrada 8 2 4 2 2 3 3" xfId="39165"/>
    <cellStyle name="Entrada 8 2 4 2 2 4" xfId="11864"/>
    <cellStyle name="Entrada 8 2 4 2 2 4 2" xfId="41045"/>
    <cellStyle name="Entrada 8 2 4 2 2 5" xfId="32875"/>
    <cellStyle name="Entrada 8 2 4 2 3" xfId="5213"/>
    <cellStyle name="Entrada 8 2 4 2 3 2" xfId="17019"/>
    <cellStyle name="Entrada 8 2 4 2 3 2 2" xfId="46200"/>
    <cellStyle name="Entrada 8 2 4 2 3 3" xfId="34396"/>
    <cellStyle name="Entrada 8 2 4 2 4" xfId="7719"/>
    <cellStyle name="Entrada 8 2 4 2 4 2" xfId="18992"/>
    <cellStyle name="Entrada 8 2 4 2 4 2 2" xfId="48173"/>
    <cellStyle name="Entrada 8 2 4 2 4 3" xfId="36902"/>
    <cellStyle name="Entrada 8 2 4 2 5" xfId="13705"/>
    <cellStyle name="Entrada 8 2 4 2 5 2" xfId="42886"/>
    <cellStyle name="Entrada 8 2 4 2 6" xfId="31075"/>
    <cellStyle name="Entrada 8 2 4 3" xfId="2792"/>
    <cellStyle name="Entrada 8 2 4 3 2" xfId="5933"/>
    <cellStyle name="Entrada 8 2 4 3 2 2" xfId="10612"/>
    <cellStyle name="Entrada 8 2 4 3 2 2 2" xfId="39793"/>
    <cellStyle name="Entrada 8 2 4 3 2 3" xfId="35116"/>
    <cellStyle name="Entrada 8 2 4 3 3" xfId="8519"/>
    <cellStyle name="Entrada 8 2 4 3 3 2" xfId="19485"/>
    <cellStyle name="Entrada 8 2 4 3 3 2 2" xfId="48666"/>
    <cellStyle name="Entrada 8 2 4 3 3 3" xfId="37702"/>
    <cellStyle name="Entrada 8 2 4 3 4" xfId="12238"/>
    <cellStyle name="Entrada 8 2 4 3 4 2" xfId="41419"/>
    <cellStyle name="Entrada 8 2 4 3 5" xfId="31975"/>
    <cellStyle name="Entrada 8 2 4 4" xfId="4493"/>
    <cellStyle name="Entrada 8 2 4 4 2" xfId="11743"/>
    <cellStyle name="Entrada 8 2 4 4 2 2" xfId="40924"/>
    <cellStyle name="Entrada 8 2 4 4 3" xfId="33676"/>
    <cellStyle name="Entrada 8 2 4 5" xfId="9069"/>
    <cellStyle name="Entrada 8 2 4 5 2" xfId="19807"/>
    <cellStyle name="Entrada 8 2 4 5 2 2" xfId="48988"/>
    <cellStyle name="Entrada 8 2 4 5 3" xfId="38252"/>
    <cellStyle name="Entrada 8 2 4 6" xfId="12200"/>
    <cellStyle name="Entrada 8 2 4 6 2" xfId="41381"/>
    <cellStyle name="Entrada 8 2 4 7" xfId="30172"/>
    <cellStyle name="Entrada 8 2 5" xfId="1132"/>
    <cellStyle name="Entrada 8 2 5 2" xfId="2036"/>
    <cellStyle name="Entrada 8 2 5 2 2" xfId="3836"/>
    <cellStyle name="Entrada 8 2 5 2 2 2" xfId="6770"/>
    <cellStyle name="Entrada 8 2 5 2 2 2 2" xfId="18473"/>
    <cellStyle name="Entrada 8 2 5 2 2 2 2 2" xfId="47654"/>
    <cellStyle name="Entrada 8 2 5 2 2 2 3" xfId="35953"/>
    <cellStyle name="Entrada 8 2 5 2 2 3" xfId="8066"/>
    <cellStyle name="Entrada 8 2 5 2 2 3 2" xfId="19202"/>
    <cellStyle name="Entrada 8 2 5 2 2 3 2 2" xfId="48383"/>
    <cellStyle name="Entrada 8 2 5 2 2 3 3" xfId="37249"/>
    <cellStyle name="Entrada 8 2 5 2 2 4" xfId="15194"/>
    <cellStyle name="Entrada 8 2 5 2 2 4 2" xfId="44375"/>
    <cellStyle name="Entrada 8 2 5 2 2 5" xfId="33019"/>
    <cellStyle name="Entrada 8 2 5 2 3" xfId="5330"/>
    <cellStyle name="Entrada 8 2 5 2 3 2" xfId="12985"/>
    <cellStyle name="Entrada 8 2 5 2 3 2 2" xfId="42166"/>
    <cellStyle name="Entrada 8 2 5 2 3 3" xfId="34513"/>
    <cellStyle name="Entrada 8 2 5 2 4" xfId="8284"/>
    <cellStyle name="Entrada 8 2 5 2 4 2" xfId="19335"/>
    <cellStyle name="Entrada 8 2 5 2 4 2 2" xfId="48516"/>
    <cellStyle name="Entrada 8 2 5 2 4 3" xfId="37467"/>
    <cellStyle name="Entrada 8 2 5 2 5" xfId="13380"/>
    <cellStyle name="Entrada 8 2 5 2 5 2" xfId="42561"/>
    <cellStyle name="Entrada 8 2 5 2 6" xfId="31219"/>
    <cellStyle name="Entrada 8 2 5 3" xfId="2936"/>
    <cellStyle name="Entrada 8 2 5 3 2" xfId="6050"/>
    <cellStyle name="Entrada 8 2 5 3 2 2" xfId="10558"/>
    <cellStyle name="Entrada 8 2 5 3 2 2 2" xfId="39739"/>
    <cellStyle name="Entrada 8 2 5 3 2 3" xfId="35233"/>
    <cellStyle name="Entrada 8 2 5 3 3" xfId="9813"/>
    <cellStyle name="Entrada 8 2 5 3 3 2" xfId="20256"/>
    <cellStyle name="Entrada 8 2 5 3 3 2 2" xfId="49437"/>
    <cellStyle name="Entrada 8 2 5 3 3 3" xfId="38996"/>
    <cellStyle name="Entrada 8 2 5 3 4" xfId="14015"/>
    <cellStyle name="Entrada 8 2 5 3 4 2" xfId="43196"/>
    <cellStyle name="Entrada 8 2 5 3 5" xfId="32119"/>
    <cellStyle name="Entrada 8 2 5 4" xfId="4610"/>
    <cellStyle name="Entrada 8 2 5 4 2" xfId="14152"/>
    <cellStyle name="Entrada 8 2 5 4 2 2" xfId="43333"/>
    <cellStyle name="Entrada 8 2 5 4 3" xfId="33793"/>
    <cellStyle name="Entrada 8 2 5 5" xfId="8057"/>
    <cellStyle name="Entrada 8 2 5 5 2" xfId="19197"/>
    <cellStyle name="Entrada 8 2 5 5 2 2" xfId="48378"/>
    <cellStyle name="Entrada 8 2 5 5 3" xfId="37240"/>
    <cellStyle name="Entrada 8 2 5 6" xfId="16695"/>
    <cellStyle name="Entrada 8 2 5 6 2" xfId="45876"/>
    <cellStyle name="Entrada 8 2 5 7" xfId="30319"/>
    <cellStyle name="Entrada 8 2 6" xfId="1278"/>
    <cellStyle name="Entrada 8 2 6 2" xfId="2180"/>
    <cellStyle name="Entrada 8 2 6 2 2" xfId="3980"/>
    <cellStyle name="Entrada 8 2 6 2 2 2" xfId="6887"/>
    <cellStyle name="Entrada 8 2 6 2 2 2 2" xfId="18527"/>
    <cellStyle name="Entrada 8 2 6 2 2 2 2 2" xfId="47708"/>
    <cellStyle name="Entrada 8 2 6 2 2 2 3" xfId="36070"/>
    <cellStyle name="Entrada 8 2 6 2 2 3" xfId="7100"/>
    <cellStyle name="Entrada 8 2 6 2 2 3 2" xfId="18631"/>
    <cellStyle name="Entrada 8 2 6 2 2 3 2 2" xfId="47812"/>
    <cellStyle name="Entrada 8 2 6 2 2 3 3" xfId="36283"/>
    <cellStyle name="Entrada 8 2 6 2 2 4" xfId="11435"/>
    <cellStyle name="Entrada 8 2 6 2 2 4 2" xfId="40616"/>
    <cellStyle name="Entrada 8 2 6 2 2 5" xfId="33163"/>
    <cellStyle name="Entrada 8 2 6 2 3" xfId="5447"/>
    <cellStyle name="Entrada 8 2 6 2 3 2" xfId="15299"/>
    <cellStyle name="Entrada 8 2 6 2 3 2 2" xfId="44480"/>
    <cellStyle name="Entrada 8 2 6 2 3 3" xfId="34630"/>
    <cellStyle name="Entrada 8 2 6 2 4" xfId="8164"/>
    <cellStyle name="Entrada 8 2 6 2 4 2" xfId="19263"/>
    <cellStyle name="Entrada 8 2 6 2 4 2 2" xfId="48444"/>
    <cellStyle name="Entrada 8 2 6 2 4 3" xfId="37347"/>
    <cellStyle name="Entrada 8 2 6 2 5" xfId="14887"/>
    <cellStyle name="Entrada 8 2 6 2 5 2" xfId="44068"/>
    <cellStyle name="Entrada 8 2 6 2 6" xfId="31363"/>
    <cellStyle name="Entrada 8 2 6 3" xfId="3080"/>
    <cellStyle name="Entrada 8 2 6 3 2" xfId="6167"/>
    <cellStyle name="Entrada 8 2 6 3 2 2" xfId="18167"/>
    <cellStyle name="Entrada 8 2 6 3 2 2 2" xfId="47348"/>
    <cellStyle name="Entrada 8 2 6 3 2 3" xfId="35350"/>
    <cellStyle name="Entrada 8 2 6 3 3" xfId="8929"/>
    <cellStyle name="Entrada 8 2 6 3 3 2" xfId="19727"/>
    <cellStyle name="Entrada 8 2 6 3 3 2 2" xfId="48908"/>
    <cellStyle name="Entrada 8 2 6 3 3 3" xfId="38112"/>
    <cellStyle name="Entrada 8 2 6 3 4" xfId="14350"/>
    <cellStyle name="Entrada 8 2 6 3 4 2" xfId="43531"/>
    <cellStyle name="Entrada 8 2 6 3 5" xfId="32263"/>
    <cellStyle name="Entrada 8 2 6 4" xfId="4727"/>
    <cellStyle name="Entrada 8 2 6 4 2" xfId="16801"/>
    <cellStyle name="Entrada 8 2 6 4 2 2" xfId="45982"/>
    <cellStyle name="Entrada 8 2 6 4 3" xfId="33910"/>
    <cellStyle name="Entrada 8 2 6 5" xfId="9248"/>
    <cellStyle name="Entrada 8 2 6 5 2" xfId="19921"/>
    <cellStyle name="Entrada 8 2 6 5 2 2" xfId="49102"/>
    <cellStyle name="Entrada 8 2 6 5 3" xfId="38431"/>
    <cellStyle name="Entrada 8 2 6 6" xfId="16843"/>
    <cellStyle name="Entrada 8 2 6 6 2" xfId="46024"/>
    <cellStyle name="Entrada 8 2 6 7" xfId="30463"/>
    <cellStyle name="Entrada 8 2 7" xfId="1460"/>
    <cellStyle name="Entrada 8 2 7 2" xfId="3260"/>
    <cellStyle name="Entrada 8 2 7 2 2" xfId="6311"/>
    <cellStyle name="Entrada 8 2 7 2 2 2" xfId="18239"/>
    <cellStyle name="Entrada 8 2 7 2 2 2 2" xfId="47420"/>
    <cellStyle name="Entrada 8 2 7 2 2 3" xfId="35494"/>
    <cellStyle name="Entrada 8 2 7 2 3" xfId="8653"/>
    <cellStyle name="Entrada 8 2 7 2 3 2" xfId="19563"/>
    <cellStyle name="Entrada 8 2 7 2 3 2 2" xfId="48744"/>
    <cellStyle name="Entrada 8 2 7 2 3 3" xfId="37836"/>
    <cellStyle name="Entrada 8 2 7 2 4" xfId="14084"/>
    <cellStyle name="Entrada 8 2 7 2 4 2" xfId="43265"/>
    <cellStyle name="Entrada 8 2 7 2 5" xfId="32443"/>
    <cellStyle name="Entrada 8 2 7 3" xfId="4871"/>
    <cellStyle name="Entrada 8 2 7 3 2" xfId="16608"/>
    <cellStyle name="Entrada 8 2 7 3 2 2" xfId="45789"/>
    <cellStyle name="Entrada 8 2 7 3 3" xfId="34054"/>
    <cellStyle name="Entrada 8 2 7 4" xfId="7762"/>
    <cellStyle name="Entrada 8 2 7 4 2" xfId="19018"/>
    <cellStyle name="Entrada 8 2 7 4 2 2" xfId="48199"/>
    <cellStyle name="Entrada 8 2 7 4 3" xfId="36945"/>
    <cellStyle name="Entrada 8 2 7 5" xfId="16158"/>
    <cellStyle name="Entrada 8 2 7 5 2" xfId="45339"/>
    <cellStyle name="Entrada 8 2 7 6" xfId="30643"/>
    <cellStyle name="Entrada 8 2 8" xfId="2360"/>
    <cellStyle name="Entrada 8 2 8 2" xfId="5591"/>
    <cellStyle name="Entrada 8 2 8 2 2" xfId="15531"/>
    <cellStyle name="Entrada 8 2 8 2 2 2" xfId="44712"/>
    <cellStyle name="Entrada 8 2 8 2 3" xfId="34774"/>
    <cellStyle name="Entrada 8 2 8 3" xfId="7818"/>
    <cellStyle name="Entrada 8 2 8 3 2" xfId="19055"/>
    <cellStyle name="Entrada 8 2 8 3 2 2" xfId="48236"/>
    <cellStyle name="Entrada 8 2 8 3 3" xfId="37001"/>
    <cellStyle name="Entrada 8 2 8 4" xfId="14913"/>
    <cellStyle name="Entrada 8 2 8 4 2" xfId="44094"/>
    <cellStyle name="Entrada 8 2 8 5" xfId="31543"/>
    <cellStyle name="Entrada 8 2 9" xfId="4151"/>
    <cellStyle name="Entrada 8 2 9 2" xfId="17208"/>
    <cellStyle name="Entrada 8 2 9 2 2" xfId="46389"/>
    <cellStyle name="Entrada 8 2 9 3" xfId="33334"/>
    <cellStyle name="Entrada 8 3" xfId="482"/>
    <cellStyle name="Entrada 8 3 10" xfId="16331"/>
    <cellStyle name="Entrada 8 3 10 2" xfId="45512"/>
    <cellStyle name="Entrada 8 3 11" xfId="29688"/>
    <cellStyle name="Entrada 8 3 2" xfId="835"/>
    <cellStyle name="Entrada 8 3 2 2" xfId="1773"/>
    <cellStyle name="Entrada 8 3 2 2 2" xfId="3573"/>
    <cellStyle name="Entrada 8 3 2 2 2 2" xfId="6561"/>
    <cellStyle name="Entrada 8 3 2 2 2 2 2" xfId="18383"/>
    <cellStyle name="Entrada 8 3 2 2 2 2 2 2" xfId="47564"/>
    <cellStyle name="Entrada 8 3 2 2 2 2 3" xfId="35744"/>
    <cellStyle name="Entrada 8 3 2 2 2 3" xfId="8111"/>
    <cellStyle name="Entrada 8 3 2 2 2 3 2" xfId="19229"/>
    <cellStyle name="Entrada 8 3 2 2 2 3 2 2" xfId="48410"/>
    <cellStyle name="Entrada 8 3 2 2 2 3 3" xfId="37294"/>
    <cellStyle name="Entrada 8 3 2 2 2 4" xfId="13111"/>
    <cellStyle name="Entrada 8 3 2 2 2 4 2" xfId="42292"/>
    <cellStyle name="Entrada 8 3 2 2 2 5" xfId="32756"/>
    <cellStyle name="Entrada 8 3 2 2 3" xfId="5121"/>
    <cellStyle name="Entrada 8 3 2 2 3 2" xfId="12539"/>
    <cellStyle name="Entrada 8 3 2 2 3 2 2" xfId="41720"/>
    <cellStyle name="Entrada 8 3 2 2 3 3" xfId="34304"/>
    <cellStyle name="Entrada 8 3 2 2 4" xfId="7634"/>
    <cellStyle name="Entrada 8 3 2 2 4 2" xfId="18939"/>
    <cellStyle name="Entrada 8 3 2 2 4 2 2" xfId="48120"/>
    <cellStyle name="Entrada 8 3 2 2 4 3" xfId="36817"/>
    <cellStyle name="Entrada 8 3 2 2 5" xfId="14852"/>
    <cellStyle name="Entrada 8 3 2 2 5 2" xfId="44033"/>
    <cellStyle name="Entrada 8 3 2 2 6" xfId="30956"/>
    <cellStyle name="Entrada 8 3 2 3" xfId="2673"/>
    <cellStyle name="Entrada 8 3 2 3 2" xfId="5841"/>
    <cellStyle name="Entrada 8 3 2 3 2 2" xfId="16787"/>
    <cellStyle name="Entrada 8 3 2 3 2 2 2" xfId="45968"/>
    <cellStyle name="Entrada 8 3 2 3 2 3" xfId="35024"/>
    <cellStyle name="Entrada 8 3 2 3 3" xfId="8454"/>
    <cellStyle name="Entrada 8 3 2 3 3 2" xfId="19445"/>
    <cellStyle name="Entrada 8 3 2 3 3 2 2" xfId="48626"/>
    <cellStyle name="Entrada 8 3 2 3 3 3" xfId="37637"/>
    <cellStyle name="Entrada 8 3 2 3 4" xfId="14231"/>
    <cellStyle name="Entrada 8 3 2 3 4 2" xfId="43412"/>
    <cellStyle name="Entrada 8 3 2 3 5" xfId="31856"/>
    <cellStyle name="Entrada 8 3 2 4" xfId="4401"/>
    <cellStyle name="Entrada 8 3 2 4 2" xfId="13764"/>
    <cellStyle name="Entrada 8 3 2 4 2 2" xfId="42945"/>
    <cellStyle name="Entrada 8 3 2 4 3" xfId="33584"/>
    <cellStyle name="Entrada 8 3 2 5" xfId="8679"/>
    <cellStyle name="Entrada 8 3 2 5 2" xfId="19578"/>
    <cellStyle name="Entrada 8 3 2 5 2 2" xfId="48759"/>
    <cellStyle name="Entrada 8 3 2 5 3" xfId="37862"/>
    <cellStyle name="Entrada 8 3 2 6" xfId="11441"/>
    <cellStyle name="Entrada 8 3 2 6 2" xfId="40622"/>
    <cellStyle name="Entrada 8 3 2 7" xfId="30032"/>
    <cellStyle name="Entrada 8 3 3" xfId="1027"/>
    <cellStyle name="Entrada 8 3 3 2" xfId="1937"/>
    <cellStyle name="Entrada 8 3 3 2 2" xfId="3737"/>
    <cellStyle name="Entrada 8 3 3 2 2 2" xfId="6689"/>
    <cellStyle name="Entrada 8 3 3 2 2 2 2" xfId="18437"/>
    <cellStyle name="Entrada 8 3 3 2 2 2 2 2" xfId="47618"/>
    <cellStyle name="Entrada 8 3 3 2 2 2 3" xfId="35872"/>
    <cellStyle name="Entrada 8 3 3 2 2 3" xfId="7990"/>
    <cellStyle name="Entrada 8 3 3 2 2 3 2" xfId="19156"/>
    <cellStyle name="Entrada 8 3 3 2 2 3 2 2" xfId="48337"/>
    <cellStyle name="Entrada 8 3 3 2 2 3 3" xfId="37173"/>
    <cellStyle name="Entrada 8 3 3 2 2 4" xfId="10644"/>
    <cellStyle name="Entrada 8 3 3 2 2 4 2" xfId="39825"/>
    <cellStyle name="Entrada 8 3 3 2 2 5" xfId="32920"/>
    <cellStyle name="Entrada 8 3 3 2 3" xfId="5249"/>
    <cellStyle name="Entrada 8 3 3 2 3 2" xfId="10897"/>
    <cellStyle name="Entrada 8 3 3 2 3 2 2" xfId="40078"/>
    <cellStyle name="Entrada 8 3 3 2 3 3" xfId="34432"/>
    <cellStyle name="Entrada 8 3 3 2 4" xfId="9708"/>
    <cellStyle name="Entrada 8 3 3 2 4 2" xfId="20194"/>
    <cellStyle name="Entrada 8 3 3 2 4 2 2" xfId="49375"/>
    <cellStyle name="Entrada 8 3 3 2 4 3" xfId="38891"/>
    <cellStyle name="Entrada 8 3 3 2 5" xfId="11381"/>
    <cellStyle name="Entrada 8 3 3 2 5 2" xfId="40562"/>
    <cellStyle name="Entrada 8 3 3 2 6" xfId="31120"/>
    <cellStyle name="Entrada 8 3 3 3" xfId="2837"/>
    <cellStyle name="Entrada 8 3 3 3 2" xfId="5969"/>
    <cellStyle name="Entrada 8 3 3 3 2 2" xfId="10594"/>
    <cellStyle name="Entrada 8 3 3 3 2 2 2" xfId="39775"/>
    <cellStyle name="Entrada 8 3 3 3 2 3" xfId="35152"/>
    <cellStyle name="Entrada 8 3 3 3 3" xfId="8314"/>
    <cellStyle name="Entrada 8 3 3 3 3 2" xfId="19353"/>
    <cellStyle name="Entrada 8 3 3 3 3 2 2" xfId="48534"/>
    <cellStyle name="Entrada 8 3 3 3 3 3" xfId="37497"/>
    <cellStyle name="Entrada 8 3 3 3 4" xfId="17603"/>
    <cellStyle name="Entrada 8 3 3 3 4 2" xfId="46784"/>
    <cellStyle name="Entrada 8 3 3 3 5" xfId="32020"/>
    <cellStyle name="Entrada 8 3 3 4" xfId="4529"/>
    <cellStyle name="Entrada 8 3 3 4 2" xfId="15196"/>
    <cellStyle name="Entrada 8 3 3 4 2 2" xfId="44377"/>
    <cellStyle name="Entrada 8 3 3 4 3" xfId="33712"/>
    <cellStyle name="Entrada 8 3 3 5" xfId="10173"/>
    <cellStyle name="Entrada 8 3 3 5 2" xfId="20473"/>
    <cellStyle name="Entrada 8 3 3 5 2 2" xfId="49654"/>
    <cellStyle name="Entrada 8 3 3 5 3" xfId="39356"/>
    <cellStyle name="Entrada 8 3 3 6" xfId="11472"/>
    <cellStyle name="Entrada 8 3 3 6 2" xfId="40653"/>
    <cellStyle name="Entrada 8 3 3 7" xfId="30217"/>
    <cellStyle name="Entrada 8 3 4" xfId="1177"/>
    <cellStyle name="Entrada 8 3 4 2" xfId="2081"/>
    <cellStyle name="Entrada 8 3 4 2 2" xfId="3881"/>
    <cellStyle name="Entrada 8 3 4 2 2 2" xfId="6806"/>
    <cellStyle name="Entrada 8 3 4 2 2 2 2" xfId="18491"/>
    <cellStyle name="Entrada 8 3 4 2 2 2 2 2" xfId="47672"/>
    <cellStyle name="Entrada 8 3 4 2 2 2 3" xfId="35989"/>
    <cellStyle name="Entrada 8 3 4 2 2 3" xfId="7901"/>
    <cellStyle name="Entrada 8 3 4 2 2 3 2" xfId="19104"/>
    <cellStyle name="Entrada 8 3 4 2 2 3 2 2" xfId="48285"/>
    <cellStyle name="Entrada 8 3 4 2 2 3 3" xfId="37084"/>
    <cellStyle name="Entrada 8 3 4 2 2 4" xfId="14258"/>
    <cellStyle name="Entrada 8 3 4 2 2 4 2" xfId="43439"/>
    <cellStyle name="Entrada 8 3 4 2 2 5" xfId="33064"/>
    <cellStyle name="Entrada 8 3 4 2 3" xfId="5366"/>
    <cellStyle name="Entrada 8 3 4 2 3 2" xfId="11901"/>
    <cellStyle name="Entrada 8 3 4 2 3 2 2" xfId="41082"/>
    <cellStyle name="Entrada 8 3 4 2 3 3" xfId="34549"/>
    <cellStyle name="Entrada 8 3 4 2 4" xfId="7839"/>
    <cellStyle name="Entrada 8 3 4 2 4 2" xfId="19068"/>
    <cellStyle name="Entrada 8 3 4 2 4 2 2" xfId="48249"/>
    <cellStyle name="Entrada 8 3 4 2 4 3" xfId="37022"/>
    <cellStyle name="Entrada 8 3 4 2 5" xfId="11601"/>
    <cellStyle name="Entrada 8 3 4 2 5 2" xfId="40782"/>
    <cellStyle name="Entrada 8 3 4 2 6" xfId="31264"/>
    <cellStyle name="Entrada 8 3 4 3" xfId="2981"/>
    <cellStyle name="Entrada 8 3 4 3 2" xfId="6086"/>
    <cellStyle name="Entrada 8 3 4 3 2 2" xfId="10540"/>
    <cellStyle name="Entrada 8 3 4 3 2 2 2" xfId="39721"/>
    <cellStyle name="Entrada 8 3 4 3 2 3" xfId="35269"/>
    <cellStyle name="Entrada 8 3 4 3 3" xfId="8402"/>
    <cellStyle name="Entrada 8 3 4 3 3 2" xfId="19408"/>
    <cellStyle name="Entrada 8 3 4 3 3 2 2" xfId="48589"/>
    <cellStyle name="Entrada 8 3 4 3 3 3" xfId="37585"/>
    <cellStyle name="Entrada 8 3 4 3 4" xfId="12386"/>
    <cellStyle name="Entrada 8 3 4 3 4 2" xfId="41567"/>
    <cellStyle name="Entrada 8 3 4 3 5" xfId="32164"/>
    <cellStyle name="Entrada 8 3 4 4" xfId="4646"/>
    <cellStyle name="Entrada 8 3 4 4 2" xfId="16116"/>
    <cellStyle name="Entrada 8 3 4 4 2 2" xfId="45297"/>
    <cellStyle name="Entrada 8 3 4 4 3" xfId="33829"/>
    <cellStyle name="Entrada 8 3 4 5" xfId="10148"/>
    <cellStyle name="Entrada 8 3 4 5 2" xfId="20461"/>
    <cellStyle name="Entrada 8 3 4 5 2 2" xfId="49642"/>
    <cellStyle name="Entrada 8 3 4 5 3" xfId="39331"/>
    <cellStyle name="Entrada 8 3 4 6" xfId="11092"/>
    <cellStyle name="Entrada 8 3 4 6 2" xfId="40273"/>
    <cellStyle name="Entrada 8 3 4 7" xfId="30364"/>
    <cellStyle name="Entrada 8 3 5" xfId="1323"/>
    <cellStyle name="Entrada 8 3 5 2" xfId="2225"/>
    <cellStyle name="Entrada 8 3 5 2 2" xfId="4025"/>
    <cellStyle name="Entrada 8 3 5 2 2 2" xfId="6923"/>
    <cellStyle name="Entrada 8 3 5 2 2 2 2" xfId="18545"/>
    <cellStyle name="Entrada 8 3 5 2 2 2 2 2" xfId="47726"/>
    <cellStyle name="Entrada 8 3 5 2 2 2 3" xfId="36106"/>
    <cellStyle name="Entrada 8 3 5 2 2 3" xfId="7055"/>
    <cellStyle name="Entrada 8 3 5 2 2 3 2" xfId="18604"/>
    <cellStyle name="Entrada 8 3 5 2 2 3 2 2" xfId="47785"/>
    <cellStyle name="Entrada 8 3 5 2 2 3 3" xfId="36238"/>
    <cellStyle name="Entrada 8 3 5 2 2 4" xfId="17042"/>
    <cellStyle name="Entrada 8 3 5 2 2 4 2" xfId="46223"/>
    <cellStyle name="Entrada 8 3 5 2 2 5" xfId="33208"/>
    <cellStyle name="Entrada 8 3 5 2 3" xfId="5483"/>
    <cellStyle name="Entrada 8 3 5 2 3 2" xfId="14057"/>
    <cellStyle name="Entrada 8 3 5 2 3 2 2" xfId="43238"/>
    <cellStyle name="Entrada 8 3 5 2 3 3" xfId="34666"/>
    <cellStyle name="Entrada 8 3 5 2 4" xfId="10276"/>
    <cellStyle name="Entrada 8 3 5 2 4 2" xfId="20535"/>
    <cellStyle name="Entrada 8 3 5 2 4 2 2" xfId="49716"/>
    <cellStyle name="Entrada 8 3 5 2 4 3" xfId="39459"/>
    <cellStyle name="Entrada 8 3 5 2 5" xfId="13908"/>
    <cellStyle name="Entrada 8 3 5 2 5 2" xfId="43089"/>
    <cellStyle name="Entrada 8 3 5 2 6" xfId="31408"/>
    <cellStyle name="Entrada 8 3 5 3" xfId="3125"/>
    <cellStyle name="Entrada 8 3 5 3 2" xfId="6203"/>
    <cellStyle name="Entrada 8 3 5 3 2 2" xfId="18185"/>
    <cellStyle name="Entrada 8 3 5 3 2 2 2" xfId="47366"/>
    <cellStyle name="Entrada 8 3 5 3 2 3" xfId="35386"/>
    <cellStyle name="Entrada 8 3 5 3 3" xfId="9500"/>
    <cellStyle name="Entrada 8 3 5 3 3 2" xfId="20067"/>
    <cellStyle name="Entrada 8 3 5 3 3 2 2" xfId="49248"/>
    <cellStyle name="Entrada 8 3 5 3 3 3" xfId="38683"/>
    <cellStyle name="Entrada 8 3 5 3 4" xfId="12644"/>
    <cellStyle name="Entrada 8 3 5 3 4 2" xfId="41825"/>
    <cellStyle name="Entrada 8 3 5 3 5" xfId="32308"/>
    <cellStyle name="Entrada 8 3 5 4" xfId="4763"/>
    <cellStyle name="Entrada 8 3 5 4 2" xfId="14628"/>
    <cellStyle name="Entrada 8 3 5 4 2 2" xfId="43809"/>
    <cellStyle name="Entrada 8 3 5 4 3" xfId="33946"/>
    <cellStyle name="Entrada 8 3 5 5" xfId="8370"/>
    <cellStyle name="Entrada 8 3 5 5 2" xfId="19390"/>
    <cellStyle name="Entrada 8 3 5 5 2 2" xfId="48571"/>
    <cellStyle name="Entrada 8 3 5 5 3" xfId="37553"/>
    <cellStyle name="Entrada 8 3 5 6" xfId="12507"/>
    <cellStyle name="Entrada 8 3 5 6 2" xfId="41688"/>
    <cellStyle name="Entrada 8 3 5 7" xfId="30508"/>
    <cellStyle name="Entrada 8 3 6" xfId="1505"/>
    <cellStyle name="Entrada 8 3 6 2" xfId="3305"/>
    <cellStyle name="Entrada 8 3 6 2 2" xfId="6347"/>
    <cellStyle name="Entrada 8 3 6 2 2 2" xfId="18257"/>
    <cellStyle name="Entrada 8 3 6 2 2 2 2" xfId="47438"/>
    <cellStyle name="Entrada 8 3 6 2 2 3" xfId="35530"/>
    <cellStyle name="Entrada 8 3 6 2 3" xfId="8436"/>
    <cellStyle name="Entrada 8 3 6 2 3 2" xfId="19432"/>
    <cellStyle name="Entrada 8 3 6 2 3 2 2" xfId="48613"/>
    <cellStyle name="Entrada 8 3 6 2 3 3" xfId="37619"/>
    <cellStyle name="Entrada 8 3 6 2 4" xfId="12672"/>
    <cellStyle name="Entrada 8 3 6 2 4 2" xfId="41853"/>
    <cellStyle name="Entrada 8 3 6 2 5" xfId="32488"/>
    <cellStyle name="Entrada 8 3 6 3" xfId="4907"/>
    <cellStyle name="Entrada 8 3 6 3 2" xfId="16532"/>
    <cellStyle name="Entrada 8 3 6 3 2 2" xfId="45713"/>
    <cellStyle name="Entrada 8 3 6 3 3" xfId="34090"/>
    <cellStyle name="Entrada 8 3 6 4" xfId="7681"/>
    <cellStyle name="Entrada 8 3 6 4 2" xfId="18968"/>
    <cellStyle name="Entrada 8 3 6 4 2 2" xfId="48149"/>
    <cellStyle name="Entrada 8 3 6 4 3" xfId="36864"/>
    <cellStyle name="Entrada 8 3 6 5" xfId="10707"/>
    <cellStyle name="Entrada 8 3 6 5 2" xfId="39888"/>
    <cellStyle name="Entrada 8 3 6 6" xfId="30688"/>
    <cellStyle name="Entrada 8 3 7" xfId="2405"/>
    <cellStyle name="Entrada 8 3 7 2" xfId="5627"/>
    <cellStyle name="Entrada 8 3 7 2 2" xfId="15244"/>
    <cellStyle name="Entrada 8 3 7 2 2 2" xfId="44425"/>
    <cellStyle name="Entrada 8 3 7 2 3" xfId="34810"/>
    <cellStyle name="Entrada 8 3 7 3" xfId="7253"/>
    <cellStyle name="Entrada 8 3 7 3 2" xfId="18713"/>
    <cellStyle name="Entrada 8 3 7 3 2 2" xfId="47894"/>
    <cellStyle name="Entrada 8 3 7 3 3" xfId="36436"/>
    <cellStyle name="Entrada 8 3 7 4" xfId="13857"/>
    <cellStyle name="Entrada 8 3 7 4 2" xfId="43038"/>
    <cellStyle name="Entrada 8 3 7 5" xfId="31588"/>
    <cellStyle name="Entrada 8 3 8" xfId="4187"/>
    <cellStyle name="Entrada 8 3 8 2" xfId="18060"/>
    <cellStyle name="Entrada 8 3 8 2 2" xfId="47241"/>
    <cellStyle name="Entrada 8 3 8 3" xfId="33370"/>
    <cellStyle name="Entrada 8 3 9" xfId="8263"/>
    <cellStyle name="Entrada 8 3 9 2" xfId="19320"/>
    <cellStyle name="Entrada 8 3 9 2 2" xfId="48501"/>
    <cellStyle name="Entrada 8 3 9 3" xfId="37446"/>
    <cellStyle name="Entrada 8 4" xfId="664"/>
    <cellStyle name="Entrada 8 4 2" xfId="1656"/>
    <cellStyle name="Entrada 8 4 2 2" xfId="3456"/>
    <cellStyle name="Entrada 8 4 2 2 2" xfId="6471"/>
    <cellStyle name="Entrada 8 4 2 2 2 2" xfId="18338"/>
    <cellStyle name="Entrada 8 4 2 2 2 2 2" xfId="47519"/>
    <cellStyle name="Entrada 8 4 2 2 2 3" xfId="35654"/>
    <cellStyle name="Entrada 8 4 2 2 3" xfId="9976"/>
    <cellStyle name="Entrada 8 4 2 2 3 2" xfId="20357"/>
    <cellStyle name="Entrada 8 4 2 2 3 2 2" xfId="49538"/>
    <cellStyle name="Entrada 8 4 2 2 3 3" xfId="39159"/>
    <cellStyle name="Entrada 8 4 2 2 4" xfId="13625"/>
    <cellStyle name="Entrada 8 4 2 2 4 2" xfId="42806"/>
    <cellStyle name="Entrada 8 4 2 2 5" xfId="32639"/>
    <cellStyle name="Entrada 8 4 2 3" xfId="5031"/>
    <cellStyle name="Entrada 8 4 2 3 2" xfId="15189"/>
    <cellStyle name="Entrada 8 4 2 3 2 2" xfId="44370"/>
    <cellStyle name="Entrada 8 4 2 3 3" xfId="34214"/>
    <cellStyle name="Entrada 8 4 2 4" xfId="9751"/>
    <cellStyle name="Entrada 8 4 2 4 2" xfId="20222"/>
    <cellStyle name="Entrada 8 4 2 4 2 2" xfId="49403"/>
    <cellStyle name="Entrada 8 4 2 4 3" xfId="38934"/>
    <cellStyle name="Entrada 8 4 2 5" xfId="12478"/>
    <cellStyle name="Entrada 8 4 2 5 2" xfId="41659"/>
    <cellStyle name="Entrada 8 4 2 6" xfId="30839"/>
    <cellStyle name="Entrada 8 4 3" xfId="2556"/>
    <cellStyle name="Entrada 8 4 3 2" xfId="5751"/>
    <cellStyle name="Entrada 8 4 3 2 2" xfId="10904"/>
    <cellStyle name="Entrada 8 4 3 2 2 2" xfId="40085"/>
    <cellStyle name="Entrada 8 4 3 2 3" xfId="34934"/>
    <cellStyle name="Entrada 8 4 3 3" xfId="8357"/>
    <cellStyle name="Entrada 8 4 3 3 2" xfId="19381"/>
    <cellStyle name="Entrada 8 4 3 3 2 2" xfId="48562"/>
    <cellStyle name="Entrada 8 4 3 3 3" xfId="37540"/>
    <cellStyle name="Entrada 8 4 3 4" xfId="17627"/>
    <cellStyle name="Entrada 8 4 3 4 2" xfId="46808"/>
    <cellStyle name="Entrada 8 4 3 5" xfId="31739"/>
    <cellStyle name="Entrada 8 4 4" xfId="4311"/>
    <cellStyle name="Entrada 8 4 4 2" xfId="17643"/>
    <cellStyle name="Entrada 8 4 4 2 2" xfId="46824"/>
    <cellStyle name="Entrada 8 4 4 3" xfId="33494"/>
    <cellStyle name="Entrada 8 4 5" xfId="8956"/>
    <cellStyle name="Entrada 8 4 5 2" xfId="19745"/>
    <cellStyle name="Entrada 8 4 5 2 2" xfId="48926"/>
    <cellStyle name="Entrada 8 4 5 3" xfId="38139"/>
    <cellStyle name="Entrada 8 4 6" xfId="12202"/>
    <cellStyle name="Entrada 8 4 6 2" xfId="41383"/>
    <cellStyle name="Entrada 8 4 7" xfId="29867"/>
    <cellStyle name="Entrada 8 5" xfId="613"/>
    <cellStyle name="Entrada 8 5 2" xfId="1605"/>
    <cellStyle name="Entrada 8 5 2 2" xfId="3405"/>
    <cellStyle name="Entrada 8 5 2 2 2" xfId="6420"/>
    <cellStyle name="Entrada 8 5 2 2 2 2" xfId="18287"/>
    <cellStyle name="Entrada 8 5 2 2 2 2 2" xfId="47468"/>
    <cellStyle name="Entrada 8 5 2 2 2 3" xfId="35603"/>
    <cellStyle name="Entrada 8 5 2 2 3" xfId="7741"/>
    <cellStyle name="Entrada 8 5 2 2 3 2" xfId="19006"/>
    <cellStyle name="Entrada 8 5 2 2 3 2 2" xfId="48187"/>
    <cellStyle name="Entrada 8 5 2 2 3 3" xfId="36924"/>
    <cellStyle name="Entrada 8 5 2 2 4" xfId="12955"/>
    <cellStyle name="Entrada 8 5 2 2 4 2" xfId="42136"/>
    <cellStyle name="Entrada 8 5 2 2 5" xfId="32588"/>
    <cellStyle name="Entrada 8 5 2 3" xfId="4980"/>
    <cellStyle name="Entrada 8 5 2 3 2" xfId="12093"/>
    <cellStyle name="Entrada 8 5 2 3 2 2" xfId="41274"/>
    <cellStyle name="Entrada 8 5 2 3 3" xfId="34163"/>
    <cellStyle name="Entrada 8 5 2 4" xfId="7679"/>
    <cellStyle name="Entrada 8 5 2 4 2" xfId="18967"/>
    <cellStyle name="Entrada 8 5 2 4 2 2" xfId="48148"/>
    <cellStyle name="Entrada 8 5 2 4 3" xfId="36862"/>
    <cellStyle name="Entrada 8 5 2 5" xfId="16451"/>
    <cellStyle name="Entrada 8 5 2 5 2" xfId="45632"/>
    <cellStyle name="Entrada 8 5 2 6" xfId="30788"/>
    <cellStyle name="Entrada 8 5 3" xfId="2505"/>
    <cellStyle name="Entrada 8 5 3 2" xfId="5700"/>
    <cellStyle name="Entrada 8 5 3 2 2" xfId="15746"/>
    <cellStyle name="Entrada 8 5 3 2 2 2" xfId="44927"/>
    <cellStyle name="Entrada 8 5 3 2 3" xfId="34883"/>
    <cellStyle name="Entrada 8 5 3 3" xfId="8465"/>
    <cellStyle name="Entrada 8 5 3 3 2" xfId="19453"/>
    <cellStyle name="Entrada 8 5 3 3 2 2" xfId="48634"/>
    <cellStyle name="Entrada 8 5 3 3 3" xfId="37648"/>
    <cellStyle name="Entrada 8 5 3 4" xfId="14186"/>
    <cellStyle name="Entrada 8 5 3 4 2" xfId="43367"/>
    <cellStyle name="Entrada 8 5 3 5" xfId="31688"/>
    <cellStyle name="Entrada 8 5 4" xfId="4260"/>
    <cellStyle name="Entrada 8 5 4 2" xfId="10615"/>
    <cellStyle name="Entrada 8 5 4 2 2" xfId="39796"/>
    <cellStyle name="Entrada 8 5 4 3" xfId="33443"/>
    <cellStyle name="Entrada 8 5 5" xfId="7898"/>
    <cellStyle name="Entrada 8 5 5 2" xfId="19102"/>
    <cellStyle name="Entrada 8 5 5 2 2" xfId="48283"/>
    <cellStyle name="Entrada 8 5 5 3" xfId="37081"/>
    <cellStyle name="Entrada 8 5 6" xfId="11204"/>
    <cellStyle name="Entrada 8 5 6 2" xfId="40385"/>
    <cellStyle name="Entrada 8 5 7" xfId="29816"/>
    <cellStyle name="Entrada 8 6" xfId="673"/>
    <cellStyle name="Entrada 8 6 2" xfId="1665"/>
    <cellStyle name="Entrada 8 6 2 2" xfId="3465"/>
    <cellStyle name="Entrada 8 6 2 2 2" xfId="6480"/>
    <cellStyle name="Entrada 8 6 2 2 2 2" xfId="18347"/>
    <cellStyle name="Entrada 8 6 2 2 2 2 2" xfId="47528"/>
    <cellStyle name="Entrada 8 6 2 2 2 3" xfId="35663"/>
    <cellStyle name="Entrada 8 6 2 2 3" xfId="8434"/>
    <cellStyle name="Entrada 8 6 2 2 3 2" xfId="19431"/>
    <cellStyle name="Entrada 8 6 2 2 3 2 2" xfId="48612"/>
    <cellStyle name="Entrada 8 6 2 2 3 3" xfId="37617"/>
    <cellStyle name="Entrada 8 6 2 2 4" xfId="11746"/>
    <cellStyle name="Entrada 8 6 2 2 4 2" xfId="40927"/>
    <cellStyle name="Entrada 8 6 2 2 5" xfId="32648"/>
    <cellStyle name="Entrada 8 6 2 3" xfId="5040"/>
    <cellStyle name="Entrada 8 6 2 3 2" xfId="17415"/>
    <cellStyle name="Entrada 8 6 2 3 2 2" xfId="46596"/>
    <cellStyle name="Entrada 8 6 2 3 3" xfId="34223"/>
    <cellStyle name="Entrada 8 6 2 4" xfId="10283"/>
    <cellStyle name="Entrada 8 6 2 4 2" xfId="20539"/>
    <cellStyle name="Entrada 8 6 2 4 2 2" xfId="49720"/>
    <cellStyle name="Entrada 8 6 2 4 3" xfId="39466"/>
    <cellStyle name="Entrada 8 6 2 5" xfId="13600"/>
    <cellStyle name="Entrada 8 6 2 5 2" xfId="42781"/>
    <cellStyle name="Entrada 8 6 2 6" xfId="30848"/>
    <cellStyle name="Entrada 8 6 3" xfId="2565"/>
    <cellStyle name="Entrada 8 6 3 2" xfId="5760"/>
    <cellStyle name="Entrada 8 6 3 2 2" xfId="15105"/>
    <cellStyle name="Entrada 8 6 3 2 2 2" xfId="44286"/>
    <cellStyle name="Entrada 8 6 3 2 3" xfId="34943"/>
    <cellStyle name="Entrada 8 6 3 3" xfId="9507"/>
    <cellStyle name="Entrada 8 6 3 3 2" xfId="20071"/>
    <cellStyle name="Entrada 8 6 3 3 2 2" xfId="49252"/>
    <cellStyle name="Entrada 8 6 3 3 3" xfId="38690"/>
    <cellStyle name="Entrada 8 6 3 4" xfId="12269"/>
    <cellStyle name="Entrada 8 6 3 4 2" xfId="41450"/>
    <cellStyle name="Entrada 8 6 3 5" xfId="31748"/>
    <cellStyle name="Entrada 8 6 4" xfId="4320"/>
    <cellStyle name="Entrada 8 6 4 2" xfId="15811"/>
    <cellStyle name="Entrada 8 6 4 2 2" xfId="44992"/>
    <cellStyle name="Entrada 8 6 4 3" xfId="33503"/>
    <cellStyle name="Entrada 8 6 5" xfId="7937"/>
    <cellStyle name="Entrada 8 6 5 2" xfId="19122"/>
    <cellStyle name="Entrada 8 6 5 2 2" xfId="48303"/>
    <cellStyle name="Entrada 8 6 5 3" xfId="37120"/>
    <cellStyle name="Entrada 8 6 6" xfId="15631"/>
    <cellStyle name="Entrada 8 6 6 2" xfId="44812"/>
    <cellStyle name="Entrada 8 6 7" xfId="29876"/>
    <cellStyle name="Entrada 8 7" xfId="604"/>
    <cellStyle name="Entrada 8 7 2" xfId="1596"/>
    <cellStyle name="Entrada 8 7 2 2" xfId="3396"/>
    <cellStyle name="Entrada 8 7 2 2 2" xfId="6411"/>
    <cellStyle name="Entrada 8 7 2 2 2 2" xfId="18278"/>
    <cellStyle name="Entrada 8 7 2 2 2 2 2" xfId="47459"/>
    <cellStyle name="Entrada 8 7 2 2 2 3" xfId="35594"/>
    <cellStyle name="Entrada 8 7 2 2 3" xfId="8806"/>
    <cellStyle name="Entrada 8 7 2 2 3 2" xfId="19653"/>
    <cellStyle name="Entrada 8 7 2 2 3 2 2" xfId="48834"/>
    <cellStyle name="Entrada 8 7 2 2 3 3" xfId="37989"/>
    <cellStyle name="Entrada 8 7 2 2 4" xfId="17621"/>
    <cellStyle name="Entrada 8 7 2 2 4 2" xfId="46802"/>
    <cellStyle name="Entrada 8 7 2 2 5" xfId="32579"/>
    <cellStyle name="Entrada 8 7 2 3" xfId="4971"/>
    <cellStyle name="Entrada 8 7 2 3 2" xfId="11742"/>
    <cellStyle name="Entrada 8 7 2 3 2 2" xfId="40923"/>
    <cellStyle name="Entrada 8 7 2 3 3" xfId="34154"/>
    <cellStyle name="Entrada 8 7 2 4" xfId="9790"/>
    <cellStyle name="Entrada 8 7 2 4 2" xfId="20240"/>
    <cellStyle name="Entrada 8 7 2 4 2 2" xfId="49421"/>
    <cellStyle name="Entrada 8 7 2 4 3" xfId="38973"/>
    <cellStyle name="Entrada 8 7 2 5" xfId="14615"/>
    <cellStyle name="Entrada 8 7 2 5 2" xfId="43796"/>
    <cellStyle name="Entrada 8 7 2 6" xfId="30779"/>
    <cellStyle name="Entrada 8 7 3" xfId="2496"/>
    <cellStyle name="Entrada 8 7 3 2" xfId="5691"/>
    <cellStyle name="Entrada 8 7 3 2 2" xfId="17565"/>
    <cellStyle name="Entrada 8 7 3 2 2 2" xfId="46746"/>
    <cellStyle name="Entrada 8 7 3 2 3" xfId="34874"/>
    <cellStyle name="Entrada 8 7 3 3" xfId="9014"/>
    <cellStyle name="Entrada 8 7 3 3 2" xfId="19774"/>
    <cellStyle name="Entrada 8 7 3 3 2 2" xfId="48955"/>
    <cellStyle name="Entrada 8 7 3 3 3" xfId="38197"/>
    <cellStyle name="Entrada 8 7 3 4" xfId="13144"/>
    <cellStyle name="Entrada 8 7 3 4 2" xfId="42325"/>
    <cellStyle name="Entrada 8 7 3 5" xfId="31679"/>
    <cellStyle name="Entrada 8 7 4" xfId="4251"/>
    <cellStyle name="Entrada 8 7 4 2" xfId="17597"/>
    <cellStyle name="Entrada 8 7 4 2 2" xfId="46778"/>
    <cellStyle name="Entrada 8 7 4 3" xfId="33434"/>
    <cellStyle name="Entrada 8 7 5" xfId="8917"/>
    <cellStyle name="Entrada 8 7 5 2" xfId="19719"/>
    <cellStyle name="Entrada 8 7 5 2 2" xfId="48900"/>
    <cellStyle name="Entrada 8 7 5 3" xfId="38100"/>
    <cellStyle name="Entrada 8 7 6" xfId="11944"/>
    <cellStyle name="Entrada 8 7 6 2" xfId="41125"/>
    <cellStyle name="Entrada 8 7 7" xfId="29807"/>
    <cellStyle name="Entrada 8 8" xfId="1415"/>
    <cellStyle name="Entrada 8 8 2" xfId="3215"/>
    <cellStyle name="Entrada 8 8 2 2" xfId="6275"/>
    <cellStyle name="Entrada 8 8 2 2 2" xfId="18221"/>
    <cellStyle name="Entrada 8 8 2 2 2 2" xfId="47402"/>
    <cellStyle name="Entrada 8 8 2 2 3" xfId="35458"/>
    <cellStyle name="Entrada 8 8 2 3" xfId="9213"/>
    <cellStyle name="Entrada 8 8 2 3 2" xfId="19897"/>
    <cellStyle name="Entrada 8 8 2 3 2 2" xfId="49078"/>
    <cellStyle name="Entrada 8 8 2 3 3" xfId="38396"/>
    <cellStyle name="Entrada 8 8 2 4" xfId="11229"/>
    <cellStyle name="Entrada 8 8 2 4 2" xfId="40410"/>
    <cellStyle name="Entrada 8 8 2 5" xfId="32398"/>
    <cellStyle name="Entrada 8 8 3" xfId="4835"/>
    <cellStyle name="Entrada 8 8 3 2" xfId="12469"/>
    <cellStyle name="Entrada 8 8 3 2 2" xfId="41650"/>
    <cellStyle name="Entrada 8 8 3 3" xfId="34018"/>
    <cellStyle name="Entrada 8 8 4" xfId="7968"/>
    <cellStyle name="Entrada 8 8 4 2" xfId="19144"/>
    <cellStyle name="Entrada 8 8 4 2 2" xfId="48325"/>
    <cellStyle name="Entrada 8 8 4 3" xfId="37151"/>
    <cellStyle name="Entrada 8 8 5" xfId="11718"/>
    <cellStyle name="Entrada 8 8 5 2" xfId="40899"/>
    <cellStyle name="Entrada 8 8 6" xfId="30598"/>
    <cellStyle name="Entrada 8 9" xfId="2315"/>
    <cellStyle name="Entrada 8 9 2" xfId="5555"/>
    <cellStyle name="Entrada 8 9 2 2" xfId="17276"/>
    <cellStyle name="Entrada 8 9 2 2 2" xfId="46457"/>
    <cellStyle name="Entrada 8 9 2 3" xfId="34738"/>
    <cellStyle name="Entrada 8 9 3" xfId="7486"/>
    <cellStyle name="Entrada 8 9 3 2" xfId="18846"/>
    <cellStyle name="Entrada 8 9 3 2 2" xfId="48027"/>
    <cellStyle name="Entrada 8 9 3 3" xfId="36669"/>
    <cellStyle name="Entrada 8 9 4" xfId="17707"/>
    <cellStyle name="Entrada 8 9 4 2" xfId="46888"/>
    <cellStyle name="Entrada 8 9 5" xfId="31498"/>
    <cellStyle name="Entrada 9" xfId="263"/>
    <cellStyle name="Entrada 9 10" xfId="4116"/>
    <cellStyle name="Entrada 9 10 2" xfId="17725"/>
    <cellStyle name="Entrada 9 10 2 2" xfId="46906"/>
    <cellStyle name="Entrada 9 10 3" xfId="33299"/>
    <cellStyle name="Entrada 9 11" xfId="11646"/>
    <cellStyle name="Entrada 9 11 2" xfId="40827"/>
    <cellStyle name="Entrada 9 12" xfId="29576"/>
    <cellStyle name="Entrada 9 2" xfId="438"/>
    <cellStyle name="Entrada 9 2 10" xfId="7445"/>
    <cellStyle name="Entrada 9 2 10 2" xfId="18822"/>
    <cellStyle name="Entrada 9 2 10 2 2" xfId="48003"/>
    <cellStyle name="Entrada 9 2 10 3" xfId="36628"/>
    <cellStyle name="Entrada 9 2 11" xfId="11413"/>
    <cellStyle name="Entrada 9 2 11 2" xfId="40594"/>
    <cellStyle name="Entrada 9 2 12" xfId="58781"/>
    <cellStyle name="Entrada 9 2 13" xfId="29644"/>
    <cellStyle name="Entrada 9 2 2" xfId="528"/>
    <cellStyle name="Entrada 9 2 2 10" xfId="12509"/>
    <cellStyle name="Entrada 9 2 2 10 2" xfId="41690"/>
    <cellStyle name="Entrada 9 2 2 11" xfId="29734"/>
    <cellStyle name="Entrada 9 2 2 2" xfId="881"/>
    <cellStyle name="Entrada 9 2 2 2 2" xfId="1819"/>
    <cellStyle name="Entrada 9 2 2 2 2 2" xfId="3619"/>
    <cellStyle name="Entrada 9 2 2 2 2 2 2" xfId="6598"/>
    <cellStyle name="Entrada 9 2 2 2 2 2 2 2" xfId="18402"/>
    <cellStyle name="Entrada 9 2 2 2 2 2 2 2 2" xfId="47583"/>
    <cellStyle name="Entrada 9 2 2 2 2 2 2 3" xfId="35781"/>
    <cellStyle name="Entrada 9 2 2 2 2 2 3" xfId="9197"/>
    <cellStyle name="Entrada 9 2 2 2 2 2 3 2" xfId="19887"/>
    <cellStyle name="Entrada 9 2 2 2 2 2 3 2 2" xfId="49068"/>
    <cellStyle name="Entrada 9 2 2 2 2 2 3 3" xfId="38380"/>
    <cellStyle name="Entrada 9 2 2 2 2 2 4" xfId="15444"/>
    <cellStyle name="Entrada 9 2 2 2 2 2 4 2" xfId="44625"/>
    <cellStyle name="Entrada 9 2 2 2 2 2 5" xfId="32802"/>
    <cellStyle name="Entrada 9 2 2 2 2 3" xfId="5158"/>
    <cellStyle name="Entrada 9 2 2 2 2 3 2" xfId="17553"/>
    <cellStyle name="Entrada 9 2 2 2 2 3 2 2" xfId="46734"/>
    <cellStyle name="Entrada 9 2 2 2 2 3 3" xfId="34341"/>
    <cellStyle name="Entrada 9 2 2 2 2 4" xfId="8208"/>
    <cellStyle name="Entrada 9 2 2 2 2 4 2" xfId="19291"/>
    <cellStyle name="Entrada 9 2 2 2 2 4 2 2" xfId="48472"/>
    <cellStyle name="Entrada 9 2 2 2 2 4 3" xfId="37391"/>
    <cellStyle name="Entrada 9 2 2 2 2 5" xfId="10883"/>
    <cellStyle name="Entrada 9 2 2 2 2 5 2" xfId="40064"/>
    <cellStyle name="Entrada 9 2 2 2 2 6" xfId="31002"/>
    <cellStyle name="Entrada 9 2 2 2 3" xfId="2719"/>
    <cellStyle name="Entrada 9 2 2 2 3 2" xfId="5878"/>
    <cellStyle name="Entrada 9 2 2 2 3 2 2" xfId="15129"/>
    <cellStyle name="Entrada 9 2 2 2 3 2 2 2" xfId="44310"/>
    <cellStyle name="Entrada 9 2 2 2 3 2 3" xfId="35061"/>
    <cellStyle name="Entrada 9 2 2 2 3 3" xfId="8973"/>
    <cellStyle name="Entrada 9 2 2 2 3 3 2" xfId="19754"/>
    <cellStyle name="Entrada 9 2 2 2 3 3 2 2" xfId="48935"/>
    <cellStyle name="Entrada 9 2 2 2 3 3 3" xfId="38156"/>
    <cellStyle name="Entrada 9 2 2 2 3 4" xfId="16886"/>
    <cellStyle name="Entrada 9 2 2 2 3 4 2" xfId="46067"/>
    <cellStyle name="Entrada 9 2 2 2 3 5" xfId="31902"/>
    <cellStyle name="Entrada 9 2 2 2 4" xfId="4438"/>
    <cellStyle name="Entrada 9 2 2 2 4 2" xfId="17003"/>
    <cellStyle name="Entrada 9 2 2 2 4 2 2" xfId="46184"/>
    <cellStyle name="Entrada 9 2 2 2 4 3" xfId="33621"/>
    <cellStyle name="Entrada 9 2 2 2 5" xfId="7650"/>
    <cellStyle name="Entrada 9 2 2 2 5 2" xfId="18948"/>
    <cellStyle name="Entrada 9 2 2 2 5 2 2" xfId="48129"/>
    <cellStyle name="Entrada 9 2 2 2 5 3" xfId="36833"/>
    <cellStyle name="Entrada 9 2 2 2 6" xfId="17626"/>
    <cellStyle name="Entrada 9 2 2 2 6 2" xfId="46807"/>
    <cellStyle name="Entrada 9 2 2 2 7" xfId="30078"/>
    <cellStyle name="Entrada 9 2 2 3" xfId="1073"/>
    <cellStyle name="Entrada 9 2 2 3 2" xfId="1983"/>
    <cellStyle name="Entrada 9 2 2 3 2 2" xfId="3783"/>
    <cellStyle name="Entrada 9 2 2 3 2 2 2" xfId="6726"/>
    <cellStyle name="Entrada 9 2 2 3 2 2 2 2" xfId="18456"/>
    <cellStyle name="Entrada 9 2 2 3 2 2 2 2 2" xfId="47637"/>
    <cellStyle name="Entrada 9 2 2 3 2 2 2 3" xfId="35909"/>
    <cellStyle name="Entrada 9 2 2 3 2 2 3" xfId="9200"/>
    <cellStyle name="Entrada 9 2 2 3 2 2 3 2" xfId="19889"/>
    <cellStyle name="Entrada 9 2 2 3 2 2 3 2 2" xfId="49070"/>
    <cellStyle name="Entrada 9 2 2 3 2 2 3 3" xfId="38383"/>
    <cellStyle name="Entrada 9 2 2 3 2 2 4" xfId="15825"/>
    <cellStyle name="Entrada 9 2 2 3 2 2 4 2" xfId="45006"/>
    <cellStyle name="Entrada 9 2 2 3 2 2 5" xfId="32966"/>
    <cellStyle name="Entrada 9 2 2 3 2 3" xfId="5286"/>
    <cellStyle name="Entrada 9 2 2 3 2 3 2" xfId="13879"/>
    <cellStyle name="Entrada 9 2 2 3 2 3 2 2" xfId="43060"/>
    <cellStyle name="Entrada 9 2 2 3 2 3 3" xfId="34469"/>
    <cellStyle name="Entrada 9 2 2 3 2 4" xfId="8086"/>
    <cellStyle name="Entrada 9 2 2 3 2 4 2" xfId="19212"/>
    <cellStyle name="Entrada 9 2 2 3 2 4 2 2" xfId="48393"/>
    <cellStyle name="Entrada 9 2 2 3 2 4 3" xfId="37269"/>
    <cellStyle name="Entrada 9 2 2 3 2 5" xfId="12832"/>
    <cellStyle name="Entrada 9 2 2 3 2 5 2" xfId="42013"/>
    <cellStyle name="Entrada 9 2 2 3 2 6" xfId="31166"/>
    <cellStyle name="Entrada 9 2 2 3 3" xfId="2883"/>
    <cellStyle name="Entrada 9 2 2 3 3 2" xfId="6006"/>
    <cellStyle name="Entrada 9 2 2 3 3 2 2" xfId="10575"/>
    <cellStyle name="Entrada 9 2 2 3 3 2 2 2" xfId="39756"/>
    <cellStyle name="Entrada 9 2 2 3 3 2 3" xfId="35189"/>
    <cellStyle name="Entrada 9 2 2 3 3 3" xfId="8851"/>
    <cellStyle name="Entrada 9 2 2 3 3 3 2" xfId="19678"/>
    <cellStyle name="Entrada 9 2 2 3 3 3 2 2" xfId="48859"/>
    <cellStyle name="Entrada 9 2 2 3 3 3 3" xfId="38034"/>
    <cellStyle name="Entrada 9 2 2 3 3 4" xfId="13856"/>
    <cellStyle name="Entrada 9 2 2 3 3 4 2" xfId="43037"/>
    <cellStyle name="Entrada 9 2 2 3 3 5" xfId="32066"/>
    <cellStyle name="Entrada 9 2 2 3 4" xfId="4566"/>
    <cellStyle name="Entrada 9 2 2 3 4 2" xfId="12798"/>
    <cellStyle name="Entrada 9 2 2 3 4 2 2" xfId="41979"/>
    <cellStyle name="Entrada 9 2 2 3 4 3" xfId="33749"/>
    <cellStyle name="Entrada 9 2 2 3 5" xfId="9445"/>
    <cellStyle name="Entrada 9 2 2 3 5 2" xfId="20037"/>
    <cellStyle name="Entrada 9 2 2 3 5 2 2" xfId="49218"/>
    <cellStyle name="Entrada 9 2 2 3 5 3" xfId="38628"/>
    <cellStyle name="Entrada 9 2 2 3 6" xfId="12043"/>
    <cellStyle name="Entrada 9 2 2 3 6 2" xfId="41224"/>
    <cellStyle name="Entrada 9 2 2 3 7" xfId="30263"/>
    <cellStyle name="Entrada 9 2 2 4" xfId="1223"/>
    <cellStyle name="Entrada 9 2 2 4 2" xfId="2127"/>
    <cellStyle name="Entrada 9 2 2 4 2 2" xfId="3927"/>
    <cellStyle name="Entrada 9 2 2 4 2 2 2" xfId="6843"/>
    <cellStyle name="Entrada 9 2 2 4 2 2 2 2" xfId="18510"/>
    <cellStyle name="Entrada 9 2 2 4 2 2 2 2 2" xfId="47691"/>
    <cellStyle name="Entrada 9 2 2 4 2 2 2 3" xfId="36026"/>
    <cellStyle name="Entrada 9 2 2 4 2 2 3" xfId="7153"/>
    <cellStyle name="Entrada 9 2 2 4 2 2 3 2" xfId="18657"/>
    <cellStyle name="Entrada 9 2 2 4 2 2 3 2 2" xfId="47838"/>
    <cellStyle name="Entrada 9 2 2 4 2 2 3 3" xfId="36336"/>
    <cellStyle name="Entrada 9 2 2 4 2 2 4" xfId="16270"/>
    <cellStyle name="Entrada 9 2 2 4 2 2 4 2" xfId="45451"/>
    <cellStyle name="Entrada 9 2 2 4 2 2 5" xfId="33110"/>
    <cellStyle name="Entrada 9 2 2 4 2 3" xfId="5403"/>
    <cellStyle name="Entrada 9 2 2 4 2 3 2" xfId="17157"/>
    <cellStyle name="Entrada 9 2 2 4 2 3 2 2" xfId="46338"/>
    <cellStyle name="Entrada 9 2 2 4 2 3 3" xfId="34586"/>
    <cellStyle name="Entrada 9 2 2 4 2 4" xfId="8664"/>
    <cellStyle name="Entrada 9 2 2 4 2 4 2" xfId="19570"/>
    <cellStyle name="Entrada 9 2 2 4 2 4 2 2" xfId="48751"/>
    <cellStyle name="Entrada 9 2 2 4 2 4 3" xfId="37847"/>
    <cellStyle name="Entrada 9 2 2 4 2 5" xfId="13214"/>
    <cellStyle name="Entrada 9 2 2 4 2 5 2" xfId="42395"/>
    <cellStyle name="Entrada 9 2 2 4 2 6" xfId="31310"/>
    <cellStyle name="Entrada 9 2 2 4 3" xfId="3027"/>
    <cellStyle name="Entrada 9 2 2 4 3 2" xfId="6123"/>
    <cellStyle name="Entrada 9 2 2 4 3 2 2" xfId="18150"/>
    <cellStyle name="Entrada 9 2 2 4 3 2 2 2" xfId="47331"/>
    <cellStyle name="Entrada 9 2 2 4 3 2 3" xfId="35306"/>
    <cellStyle name="Entrada 9 2 2 4 3 3" xfId="10190"/>
    <cellStyle name="Entrada 9 2 2 4 3 3 2" xfId="20484"/>
    <cellStyle name="Entrada 9 2 2 4 3 3 2 2" xfId="49665"/>
    <cellStyle name="Entrada 9 2 2 4 3 3 3" xfId="39373"/>
    <cellStyle name="Entrada 9 2 2 4 3 4" xfId="17150"/>
    <cellStyle name="Entrada 9 2 2 4 3 4 2" xfId="46331"/>
    <cellStyle name="Entrada 9 2 2 4 3 5" xfId="32210"/>
    <cellStyle name="Entrada 9 2 2 4 4" xfId="4683"/>
    <cellStyle name="Entrada 9 2 2 4 4 2" xfId="15131"/>
    <cellStyle name="Entrada 9 2 2 4 4 2 2" xfId="44312"/>
    <cellStyle name="Entrada 9 2 2 4 4 3" xfId="33866"/>
    <cellStyle name="Entrada 9 2 2 4 5" xfId="9832"/>
    <cellStyle name="Entrada 9 2 2 4 5 2" xfId="20267"/>
    <cellStyle name="Entrada 9 2 2 4 5 2 2" xfId="49448"/>
    <cellStyle name="Entrada 9 2 2 4 5 3" xfId="39015"/>
    <cellStyle name="Entrada 9 2 2 4 6" xfId="17654"/>
    <cellStyle name="Entrada 9 2 2 4 6 2" xfId="46835"/>
    <cellStyle name="Entrada 9 2 2 4 7" xfId="30410"/>
    <cellStyle name="Entrada 9 2 2 5" xfId="1369"/>
    <cellStyle name="Entrada 9 2 2 5 2" xfId="2271"/>
    <cellStyle name="Entrada 9 2 2 5 2 2" xfId="4071"/>
    <cellStyle name="Entrada 9 2 2 5 2 2 2" xfId="6960"/>
    <cellStyle name="Entrada 9 2 2 5 2 2 2 2" xfId="18564"/>
    <cellStyle name="Entrada 9 2 2 5 2 2 2 2 2" xfId="47745"/>
    <cellStyle name="Entrada 9 2 2 5 2 2 2 3" xfId="36143"/>
    <cellStyle name="Entrada 9 2 2 5 2 2 3" xfId="7009"/>
    <cellStyle name="Entrada 9 2 2 5 2 2 3 2" xfId="18576"/>
    <cellStyle name="Entrada 9 2 2 5 2 2 3 2 2" xfId="47757"/>
    <cellStyle name="Entrada 9 2 2 5 2 2 3 3" xfId="36192"/>
    <cellStyle name="Entrada 9 2 2 5 2 2 4" xfId="12259"/>
    <cellStyle name="Entrada 9 2 2 5 2 2 4 2" xfId="41440"/>
    <cellStyle name="Entrada 9 2 2 5 2 2 5" xfId="33254"/>
    <cellStyle name="Entrada 9 2 2 5 2 3" xfId="5520"/>
    <cellStyle name="Entrada 9 2 2 5 2 3 2" xfId="16493"/>
    <cellStyle name="Entrada 9 2 2 5 2 3 2 2" xfId="45674"/>
    <cellStyle name="Entrada 9 2 2 5 2 3 3" xfId="34703"/>
    <cellStyle name="Entrada 9 2 2 5 2 4" xfId="7832"/>
    <cellStyle name="Entrada 9 2 2 5 2 4 2" xfId="19064"/>
    <cellStyle name="Entrada 9 2 2 5 2 4 2 2" xfId="48245"/>
    <cellStyle name="Entrada 9 2 2 5 2 4 3" xfId="37015"/>
    <cellStyle name="Entrada 9 2 2 5 2 5" xfId="11089"/>
    <cellStyle name="Entrada 9 2 2 5 2 5 2" xfId="40270"/>
    <cellStyle name="Entrada 9 2 2 5 2 6" xfId="31454"/>
    <cellStyle name="Entrada 9 2 2 5 3" xfId="3171"/>
    <cellStyle name="Entrada 9 2 2 5 3 2" xfId="6240"/>
    <cellStyle name="Entrada 9 2 2 5 3 2 2" xfId="18204"/>
    <cellStyle name="Entrada 9 2 2 5 3 2 2 2" xfId="47385"/>
    <cellStyle name="Entrada 9 2 2 5 3 2 3" xfId="35423"/>
    <cellStyle name="Entrada 9 2 2 5 3 3" xfId="7198"/>
    <cellStyle name="Entrada 9 2 2 5 3 3 2" xfId="18681"/>
    <cellStyle name="Entrada 9 2 2 5 3 3 2 2" xfId="47862"/>
    <cellStyle name="Entrada 9 2 2 5 3 3 3" xfId="36381"/>
    <cellStyle name="Entrada 9 2 2 5 3 4" xfId="16356"/>
    <cellStyle name="Entrada 9 2 2 5 3 4 2" xfId="45537"/>
    <cellStyle name="Entrada 9 2 2 5 3 5" xfId="32354"/>
    <cellStyle name="Entrada 9 2 2 5 4" xfId="4800"/>
    <cellStyle name="Entrada 9 2 2 5 4 2" xfId="12159"/>
    <cellStyle name="Entrada 9 2 2 5 4 2 2" xfId="41340"/>
    <cellStyle name="Entrada 9 2 2 5 4 3" xfId="33983"/>
    <cellStyle name="Entrada 9 2 2 5 5" xfId="9596"/>
    <cellStyle name="Entrada 9 2 2 5 5 2" xfId="20128"/>
    <cellStyle name="Entrada 9 2 2 5 5 2 2" xfId="49309"/>
    <cellStyle name="Entrada 9 2 2 5 5 3" xfId="38779"/>
    <cellStyle name="Entrada 9 2 2 5 6" xfId="10859"/>
    <cellStyle name="Entrada 9 2 2 5 6 2" xfId="40040"/>
    <cellStyle name="Entrada 9 2 2 5 7" xfId="30554"/>
    <cellStyle name="Entrada 9 2 2 6" xfId="1551"/>
    <cellStyle name="Entrada 9 2 2 6 2" xfId="3351"/>
    <cellStyle name="Entrada 9 2 2 6 2 2" xfId="6384"/>
    <cellStyle name="Entrada 9 2 2 6 2 2 2" xfId="18276"/>
    <cellStyle name="Entrada 9 2 2 6 2 2 2 2" xfId="47457"/>
    <cellStyle name="Entrada 9 2 2 6 2 2 3" xfId="35567"/>
    <cellStyle name="Entrada 9 2 2 6 2 3" xfId="8966"/>
    <cellStyle name="Entrada 9 2 2 6 2 3 2" xfId="19750"/>
    <cellStyle name="Entrada 9 2 2 6 2 3 2 2" xfId="48931"/>
    <cellStyle name="Entrada 9 2 2 6 2 3 3" xfId="38149"/>
    <cellStyle name="Entrada 9 2 2 6 2 4" xfId="15818"/>
    <cellStyle name="Entrada 9 2 2 6 2 4 2" xfId="44999"/>
    <cellStyle name="Entrada 9 2 2 6 2 5" xfId="32534"/>
    <cellStyle name="Entrada 9 2 2 6 3" xfId="4944"/>
    <cellStyle name="Entrada 9 2 2 6 3 2" xfId="18018"/>
    <cellStyle name="Entrada 9 2 2 6 3 2 2" xfId="47199"/>
    <cellStyle name="Entrada 9 2 2 6 3 3" xfId="34127"/>
    <cellStyle name="Entrada 9 2 2 6 4" xfId="8570"/>
    <cellStyle name="Entrada 9 2 2 6 4 2" xfId="19515"/>
    <cellStyle name="Entrada 9 2 2 6 4 2 2" xfId="48696"/>
    <cellStyle name="Entrada 9 2 2 6 4 3" xfId="37753"/>
    <cellStyle name="Entrada 9 2 2 6 5" xfId="10674"/>
    <cellStyle name="Entrada 9 2 2 6 5 2" xfId="39855"/>
    <cellStyle name="Entrada 9 2 2 6 6" xfId="30734"/>
    <cellStyle name="Entrada 9 2 2 7" xfId="2451"/>
    <cellStyle name="Entrada 9 2 2 7 2" xfId="5664"/>
    <cellStyle name="Entrada 9 2 2 7 2 2" xfId="11964"/>
    <cellStyle name="Entrada 9 2 2 7 2 2 2" xfId="41145"/>
    <cellStyle name="Entrada 9 2 2 7 2 3" xfId="34847"/>
    <cellStyle name="Entrada 9 2 2 7 3" xfId="10096"/>
    <cellStyle name="Entrada 9 2 2 7 3 2" xfId="20429"/>
    <cellStyle name="Entrada 9 2 2 7 3 2 2" xfId="49610"/>
    <cellStyle name="Entrada 9 2 2 7 3 3" xfId="39279"/>
    <cellStyle name="Entrada 9 2 2 7 4" xfId="11023"/>
    <cellStyle name="Entrada 9 2 2 7 4 2" xfId="40204"/>
    <cellStyle name="Entrada 9 2 2 7 5" xfId="31634"/>
    <cellStyle name="Entrada 9 2 2 8" xfId="4224"/>
    <cellStyle name="Entrada 9 2 2 8 2" xfId="12601"/>
    <cellStyle name="Entrada 9 2 2 8 2 2" xfId="41782"/>
    <cellStyle name="Entrada 9 2 2 8 3" xfId="33407"/>
    <cellStyle name="Entrada 9 2 2 9" xfId="8798"/>
    <cellStyle name="Entrada 9 2 2 9 2" xfId="19651"/>
    <cellStyle name="Entrada 9 2 2 9 2 2" xfId="48832"/>
    <cellStyle name="Entrada 9 2 2 9 3" xfId="37981"/>
    <cellStyle name="Entrada 9 2 3" xfId="791"/>
    <cellStyle name="Entrada 9 2 3 2" xfId="1729"/>
    <cellStyle name="Entrada 9 2 3 2 2" xfId="3529"/>
    <cellStyle name="Entrada 9 2 3 2 2 2" xfId="6526"/>
    <cellStyle name="Entrada 9 2 3 2 2 2 2" xfId="18366"/>
    <cellStyle name="Entrada 9 2 3 2 2 2 2 2" xfId="47547"/>
    <cellStyle name="Entrada 9 2 3 2 2 2 3" xfId="35709"/>
    <cellStyle name="Entrada 9 2 3 2 2 3" xfId="9769"/>
    <cellStyle name="Entrada 9 2 3 2 2 3 2" xfId="20232"/>
    <cellStyle name="Entrada 9 2 3 2 2 3 2 2" xfId="49413"/>
    <cellStyle name="Entrada 9 2 3 2 2 3 3" xfId="38952"/>
    <cellStyle name="Entrada 9 2 3 2 2 4" xfId="16767"/>
    <cellStyle name="Entrada 9 2 3 2 2 4 2" xfId="45948"/>
    <cellStyle name="Entrada 9 2 3 2 2 5" xfId="32712"/>
    <cellStyle name="Entrada 9 2 3 2 3" xfId="5086"/>
    <cellStyle name="Entrada 9 2 3 2 3 2" xfId="12349"/>
    <cellStyle name="Entrada 9 2 3 2 3 2 2" xfId="41530"/>
    <cellStyle name="Entrada 9 2 3 2 3 3" xfId="34269"/>
    <cellStyle name="Entrada 9 2 3 2 4" xfId="9300"/>
    <cellStyle name="Entrada 9 2 3 2 4 2" xfId="19953"/>
    <cellStyle name="Entrada 9 2 3 2 4 2 2" xfId="49134"/>
    <cellStyle name="Entrada 9 2 3 2 4 3" xfId="38483"/>
    <cellStyle name="Entrada 9 2 3 2 5" xfId="14131"/>
    <cellStyle name="Entrada 9 2 3 2 5 2" xfId="43312"/>
    <cellStyle name="Entrada 9 2 3 2 6" xfId="30912"/>
    <cellStyle name="Entrada 9 2 3 3" xfId="2629"/>
    <cellStyle name="Entrada 9 2 3 3 2" xfId="5806"/>
    <cellStyle name="Entrada 9 2 3 3 2 2" xfId="16347"/>
    <cellStyle name="Entrada 9 2 3 3 2 2 2" xfId="45528"/>
    <cellStyle name="Entrada 9 2 3 3 2 3" xfId="34989"/>
    <cellStyle name="Entrada 9 2 3 3 3" xfId="7878"/>
    <cellStyle name="Entrada 9 2 3 3 3 2" xfId="19091"/>
    <cellStyle name="Entrada 9 2 3 3 3 2 2" xfId="48272"/>
    <cellStyle name="Entrada 9 2 3 3 3 3" xfId="37061"/>
    <cellStyle name="Entrada 9 2 3 3 4" xfId="12989"/>
    <cellStyle name="Entrada 9 2 3 3 4 2" xfId="42170"/>
    <cellStyle name="Entrada 9 2 3 3 5" xfId="31812"/>
    <cellStyle name="Entrada 9 2 3 4" xfId="4366"/>
    <cellStyle name="Entrada 9 2 3 4 2" xfId="13595"/>
    <cellStyle name="Entrada 9 2 3 4 2 2" xfId="42776"/>
    <cellStyle name="Entrada 9 2 3 4 3" xfId="33549"/>
    <cellStyle name="Entrada 9 2 3 5" xfId="10038"/>
    <cellStyle name="Entrada 9 2 3 5 2" xfId="20394"/>
    <cellStyle name="Entrada 9 2 3 5 2 2" xfId="49575"/>
    <cellStyle name="Entrada 9 2 3 5 3" xfId="39221"/>
    <cellStyle name="Entrada 9 2 3 6" xfId="12651"/>
    <cellStyle name="Entrada 9 2 3 6 2" xfId="41832"/>
    <cellStyle name="Entrada 9 2 3 7" xfId="29988"/>
    <cellStyle name="Entrada 9 2 4" xfId="983"/>
    <cellStyle name="Entrada 9 2 4 2" xfId="1893"/>
    <cellStyle name="Entrada 9 2 4 2 2" xfId="3693"/>
    <cellStyle name="Entrada 9 2 4 2 2 2" xfId="6654"/>
    <cellStyle name="Entrada 9 2 4 2 2 2 2" xfId="18420"/>
    <cellStyle name="Entrada 9 2 4 2 2 2 2 2" xfId="47601"/>
    <cellStyle name="Entrada 9 2 4 2 2 2 3" xfId="35837"/>
    <cellStyle name="Entrada 9 2 4 2 2 3" xfId="8446"/>
    <cellStyle name="Entrada 9 2 4 2 2 3 2" xfId="19440"/>
    <cellStyle name="Entrada 9 2 4 2 2 3 2 2" xfId="48621"/>
    <cellStyle name="Entrada 9 2 4 2 2 3 3" xfId="37629"/>
    <cellStyle name="Entrada 9 2 4 2 2 4" xfId="11227"/>
    <cellStyle name="Entrada 9 2 4 2 2 4 2" xfId="40408"/>
    <cellStyle name="Entrada 9 2 4 2 2 5" xfId="32876"/>
    <cellStyle name="Entrada 9 2 4 2 3" xfId="5214"/>
    <cellStyle name="Entrada 9 2 4 2 3 2" xfId="10748"/>
    <cellStyle name="Entrada 9 2 4 2 3 2 2" xfId="39929"/>
    <cellStyle name="Entrada 9 2 4 2 3 3" xfId="34397"/>
    <cellStyle name="Entrada 9 2 4 2 4" xfId="9134"/>
    <cellStyle name="Entrada 9 2 4 2 4 2" xfId="19849"/>
    <cellStyle name="Entrada 9 2 4 2 4 2 2" xfId="49030"/>
    <cellStyle name="Entrada 9 2 4 2 4 3" xfId="38317"/>
    <cellStyle name="Entrada 9 2 4 2 5" xfId="16551"/>
    <cellStyle name="Entrada 9 2 4 2 5 2" xfId="45732"/>
    <cellStyle name="Entrada 9 2 4 2 6" xfId="31076"/>
    <cellStyle name="Entrada 9 2 4 3" xfId="2793"/>
    <cellStyle name="Entrada 9 2 4 3 2" xfId="5934"/>
    <cellStyle name="Entrada 9 2 4 3 2 2" xfId="10611"/>
    <cellStyle name="Entrada 9 2 4 3 2 2 2" xfId="39792"/>
    <cellStyle name="Entrada 9 2 4 3 2 3" xfId="35117"/>
    <cellStyle name="Entrada 9 2 4 3 3" xfId="7710"/>
    <cellStyle name="Entrada 9 2 4 3 3 2" xfId="18985"/>
    <cellStyle name="Entrada 9 2 4 3 3 2 2" xfId="48166"/>
    <cellStyle name="Entrada 9 2 4 3 3 3" xfId="36893"/>
    <cellStyle name="Entrada 9 2 4 3 4" xfId="15977"/>
    <cellStyle name="Entrada 9 2 4 3 4 2" xfId="45158"/>
    <cellStyle name="Entrada 9 2 4 3 5" xfId="31976"/>
    <cellStyle name="Entrada 9 2 4 4" xfId="4494"/>
    <cellStyle name="Entrada 9 2 4 4 2" xfId="11082"/>
    <cellStyle name="Entrada 9 2 4 4 2 2" xfId="40263"/>
    <cellStyle name="Entrada 9 2 4 4 3" xfId="33677"/>
    <cellStyle name="Entrada 9 2 4 5" xfId="9835"/>
    <cellStyle name="Entrada 9 2 4 5 2" xfId="20269"/>
    <cellStyle name="Entrada 9 2 4 5 2 2" xfId="49450"/>
    <cellStyle name="Entrada 9 2 4 5 3" xfId="39018"/>
    <cellStyle name="Entrada 9 2 4 6" xfId="17644"/>
    <cellStyle name="Entrada 9 2 4 6 2" xfId="46825"/>
    <cellStyle name="Entrada 9 2 4 7" xfId="30173"/>
    <cellStyle name="Entrada 9 2 5" xfId="1133"/>
    <cellStyle name="Entrada 9 2 5 2" xfId="2037"/>
    <cellStyle name="Entrada 9 2 5 2 2" xfId="3837"/>
    <cellStyle name="Entrada 9 2 5 2 2 2" xfId="6771"/>
    <cellStyle name="Entrada 9 2 5 2 2 2 2" xfId="18474"/>
    <cellStyle name="Entrada 9 2 5 2 2 2 2 2" xfId="47655"/>
    <cellStyle name="Entrada 9 2 5 2 2 2 3" xfId="35954"/>
    <cellStyle name="Entrada 9 2 5 2 2 3" xfId="9492"/>
    <cellStyle name="Entrada 9 2 5 2 2 3 2" xfId="20062"/>
    <cellStyle name="Entrada 9 2 5 2 2 3 2 2" xfId="49243"/>
    <cellStyle name="Entrada 9 2 5 2 2 3 3" xfId="38675"/>
    <cellStyle name="Entrada 9 2 5 2 2 4" xfId="12895"/>
    <cellStyle name="Entrada 9 2 5 2 2 4 2" xfId="42076"/>
    <cellStyle name="Entrada 9 2 5 2 2 5" xfId="33020"/>
    <cellStyle name="Entrada 9 2 5 2 3" xfId="5331"/>
    <cellStyle name="Entrada 9 2 5 2 3 2" xfId="11711"/>
    <cellStyle name="Entrada 9 2 5 2 3 2 2" xfId="40892"/>
    <cellStyle name="Entrada 9 2 5 2 3 3" xfId="34514"/>
    <cellStyle name="Entrada 9 2 5 2 4" xfId="9669"/>
    <cellStyle name="Entrada 9 2 5 2 4 2" xfId="20171"/>
    <cellStyle name="Entrada 9 2 5 2 4 2 2" xfId="49352"/>
    <cellStyle name="Entrada 9 2 5 2 4 3" xfId="38852"/>
    <cellStyle name="Entrada 9 2 5 2 5" xfId="10665"/>
    <cellStyle name="Entrada 9 2 5 2 5 2" xfId="39846"/>
    <cellStyle name="Entrada 9 2 5 2 6" xfId="31220"/>
    <cellStyle name="Entrada 9 2 5 3" xfId="2937"/>
    <cellStyle name="Entrada 9 2 5 3 2" xfId="6051"/>
    <cellStyle name="Entrada 9 2 5 3 2 2" xfId="10557"/>
    <cellStyle name="Entrada 9 2 5 3 2 2 2" xfId="39738"/>
    <cellStyle name="Entrada 9 2 5 3 2 3" xfId="35234"/>
    <cellStyle name="Entrada 9 2 5 3 3" xfId="8275"/>
    <cellStyle name="Entrada 9 2 5 3 3 2" xfId="19329"/>
    <cellStyle name="Entrada 9 2 5 3 3 2 2" xfId="48510"/>
    <cellStyle name="Entrada 9 2 5 3 3 3" xfId="37458"/>
    <cellStyle name="Entrada 9 2 5 3 4" xfId="17133"/>
    <cellStyle name="Entrada 9 2 5 3 4 2" xfId="46314"/>
    <cellStyle name="Entrada 9 2 5 3 5" xfId="32120"/>
    <cellStyle name="Entrada 9 2 5 4" xfId="4611"/>
    <cellStyle name="Entrada 9 2 5 4 2" xfId="17278"/>
    <cellStyle name="Entrada 9 2 5 4 2 2" xfId="46459"/>
    <cellStyle name="Entrada 9 2 5 4 3" xfId="33794"/>
    <cellStyle name="Entrada 9 2 5 5" xfId="9483"/>
    <cellStyle name="Entrada 9 2 5 5 2" xfId="20057"/>
    <cellStyle name="Entrada 9 2 5 5 2 2" xfId="49238"/>
    <cellStyle name="Entrada 9 2 5 5 3" xfId="38666"/>
    <cellStyle name="Entrada 9 2 5 6" xfId="12325"/>
    <cellStyle name="Entrada 9 2 5 6 2" xfId="41506"/>
    <cellStyle name="Entrada 9 2 5 7" xfId="30320"/>
    <cellStyle name="Entrada 9 2 6" xfId="1279"/>
    <cellStyle name="Entrada 9 2 6 2" xfId="2181"/>
    <cellStyle name="Entrada 9 2 6 2 2" xfId="3981"/>
    <cellStyle name="Entrada 9 2 6 2 2 2" xfId="6888"/>
    <cellStyle name="Entrada 9 2 6 2 2 2 2" xfId="18528"/>
    <cellStyle name="Entrada 9 2 6 2 2 2 2 2" xfId="47709"/>
    <cellStyle name="Entrada 9 2 6 2 2 2 3" xfId="36071"/>
    <cellStyle name="Entrada 9 2 6 2 2 3" xfId="7099"/>
    <cellStyle name="Entrada 9 2 6 2 2 3 2" xfId="18630"/>
    <cellStyle name="Entrada 9 2 6 2 2 3 2 2" xfId="47811"/>
    <cellStyle name="Entrada 9 2 6 2 2 3 3" xfId="36282"/>
    <cellStyle name="Entrada 9 2 6 2 2 4" xfId="17936"/>
    <cellStyle name="Entrada 9 2 6 2 2 4 2" xfId="47117"/>
    <cellStyle name="Entrada 9 2 6 2 2 5" xfId="33164"/>
    <cellStyle name="Entrada 9 2 6 2 3" xfId="5448"/>
    <cellStyle name="Entrada 9 2 6 2 3 2" xfId="13015"/>
    <cellStyle name="Entrada 9 2 6 2 3 2 2" xfId="42196"/>
    <cellStyle name="Entrada 9 2 6 2 3 3" xfId="34631"/>
    <cellStyle name="Entrada 9 2 6 2 4" xfId="9586"/>
    <cellStyle name="Entrada 9 2 6 2 4 2" xfId="20121"/>
    <cellStyle name="Entrada 9 2 6 2 4 2 2" xfId="49302"/>
    <cellStyle name="Entrada 9 2 6 2 4 3" xfId="38769"/>
    <cellStyle name="Entrada 9 2 6 2 5" xfId="12544"/>
    <cellStyle name="Entrada 9 2 6 2 5 2" xfId="41725"/>
    <cellStyle name="Entrada 9 2 6 2 6" xfId="31364"/>
    <cellStyle name="Entrada 9 2 6 3" xfId="3081"/>
    <cellStyle name="Entrada 9 2 6 3 2" xfId="6168"/>
    <cellStyle name="Entrada 9 2 6 3 2 2" xfId="18168"/>
    <cellStyle name="Entrada 9 2 6 3 2 2 2" xfId="47349"/>
    <cellStyle name="Entrada 9 2 6 3 2 3" xfId="35351"/>
    <cellStyle name="Entrada 9 2 6 3 3" xfId="8155"/>
    <cellStyle name="Entrada 9 2 6 3 3 2" xfId="19257"/>
    <cellStyle name="Entrada 9 2 6 3 3 2 2" xfId="48438"/>
    <cellStyle name="Entrada 9 2 6 3 3 3" xfId="37338"/>
    <cellStyle name="Entrada 9 2 6 3 4" xfId="16898"/>
    <cellStyle name="Entrada 9 2 6 3 4 2" xfId="46079"/>
    <cellStyle name="Entrada 9 2 6 3 5" xfId="32264"/>
    <cellStyle name="Entrada 9 2 6 4" xfId="4728"/>
    <cellStyle name="Entrada 9 2 6 4 2" xfId="14178"/>
    <cellStyle name="Entrada 9 2 6 4 2 2" xfId="43359"/>
    <cellStyle name="Entrada 9 2 6 4 3" xfId="33911"/>
    <cellStyle name="Entrada 9 2 6 5" xfId="10014"/>
    <cellStyle name="Entrada 9 2 6 5 2" xfId="20383"/>
    <cellStyle name="Entrada 9 2 6 5 2 2" xfId="49564"/>
    <cellStyle name="Entrada 9 2 6 5 3" xfId="39197"/>
    <cellStyle name="Entrada 9 2 6 6" xfId="13183"/>
    <cellStyle name="Entrada 9 2 6 6 2" xfId="42364"/>
    <cellStyle name="Entrada 9 2 6 7" xfId="30464"/>
    <cellStyle name="Entrada 9 2 7" xfId="1461"/>
    <cellStyle name="Entrada 9 2 7 2" xfId="3261"/>
    <cellStyle name="Entrada 9 2 7 2 2" xfId="6312"/>
    <cellStyle name="Entrada 9 2 7 2 2 2" xfId="18240"/>
    <cellStyle name="Entrada 9 2 7 2 2 2 2" xfId="47421"/>
    <cellStyle name="Entrada 9 2 7 2 2 3" xfId="35495"/>
    <cellStyle name="Entrada 9 2 7 2 3" xfId="7871"/>
    <cellStyle name="Entrada 9 2 7 2 3 2" xfId="19085"/>
    <cellStyle name="Entrada 9 2 7 2 3 2 2" xfId="48266"/>
    <cellStyle name="Entrada 9 2 7 2 3 3" xfId="37054"/>
    <cellStyle name="Entrada 9 2 7 2 4" xfId="17191"/>
    <cellStyle name="Entrada 9 2 7 2 4 2" xfId="46372"/>
    <cellStyle name="Entrada 9 2 7 2 5" xfId="32444"/>
    <cellStyle name="Entrada 9 2 7 3" xfId="4872"/>
    <cellStyle name="Entrada 9 2 7 3 2" xfId="14412"/>
    <cellStyle name="Entrada 9 2 7 3 2 2" xfId="43593"/>
    <cellStyle name="Entrada 9 2 7 3 3" xfId="34055"/>
    <cellStyle name="Entrada 9 2 7 4" xfId="7435"/>
    <cellStyle name="Entrada 9 2 7 4 2" xfId="18815"/>
    <cellStyle name="Entrada 9 2 7 4 2 2" xfId="47996"/>
    <cellStyle name="Entrada 9 2 7 4 3" xfId="36618"/>
    <cellStyle name="Entrada 9 2 7 5" xfId="16459"/>
    <cellStyle name="Entrada 9 2 7 5 2" xfId="45640"/>
    <cellStyle name="Entrada 9 2 7 6" xfId="30644"/>
    <cellStyle name="Entrada 9 2 8" xfId="2361"/>
    <cellStyle name="Entrada 9 2 8 2" xfId="5592"/>
    <cellStyle name="Entrada 9 2 8 2 2" xfId="13276"/>
    <cellStyle name="Entrada 9 2 8 2 2 2" xfId="42457"/>
    <cellStyle name="Entrada 9 2 8 2 3" xfId="34775"/>
    <cellStyle name="Entrada 9 2 8 3" xfId="7652"/>
    <cellStyle name="Entrada 9 2 8 3 2" xfId="18949"/>
    <cellStyle name="Entrada 9 2 8 3 2 2" xfId="48130"/>
    <cellStyle name="Entrada 9 2 8 3 3" xfId="36835"/>
    <cellStyle name="Entrada 9 2 8 4" xfId="12575"/>
    <cellStyle name="Entrada 9 2 8 4 2" xfId="41756"/>
    <cellStyle name="Entrada 9 2 8 5" xfId="31544"/>
    <cellStyle name="Entrada 9 2 9" xfId="4152"/>
    <cellStyle name="Entrada 9 2 9 2" xfId="14975"/>
    <cellStyle name="Entrada 9 2 9 2 2" xfId="44156"/>
    <cellStyle name="Entrada 9 2 9 3" xfId="33335"/>
    <cellStyle name="Entrada 9 3" xfId="483"/>
    <cellStyle name="Entrada 9 3 10" xfId="16165"/>
    <cellStyle name="Entrada 9 3 10 2" xfId="45346"/>
    <cellStyle name="Entrada 9 3 11" xfId="29689"/>
    <cellStyle name="Entrada 9 3 2" xfId="836"/>
    <cellStyle name="Entrada 9 3 2 2" xfId="1774"/>
    <cellStyle name="Entrada 9 3 2 2 2" xfId="3574"/>
    <cellStyle name="Entrada 9 3 2 2 2 2" xfId="6562"/>
    <cellStyle name="Entrada 9 3 2 2 2 2 2" xfId="18384"/>
    <cellStyle name="Entrada 9 3 2 2 2 2 2 2" xfId="47565"/>
    <cellStyle name="Entrada 9 3 2 2 2 2 3" xfId="35745"/>
    <cellStyle name="Entrada 9 3 2 2 2 3" xfId="9534"/>
    <cellStyle name="Entrada 9 3 2 2 2 3 2" xfId="20087"/>
    <cellStyle name="Entrada 9 3 2 2 2 3 2 2" xfId="49268"/>
    <cellStyle name="Entrada 9 3 2 2 2 3 3" xfId="38717"/>
    <cellStyle name="Entrada 9 3 2 2 2 4" xfId="11835"/>
    <cellStyle name="Entrada 9 3 2 2 2 4 2" xfId="41016"/>
    <cellStyle name="Entrada 9 3 2 2 2 5" xfId="32757"/>
    <cellStyle name="Entrada 9 3 2 2 3" xfId="5122"/>
    <cellStyle name="Entrada 9 3 2 2 3 2" xfId="16916"/>
    <cellStyle name="Entrada 9 3 2 2 3 2 2" xfId="46097"/>
    <cellStyle name="Entrada 9 3 2 2 3 3" xfId="34305"/>
    <cellStyle name="Entrada 9 3 2 2 4" xfId="9097"/>
    <cellStyle name="Entrada 9 3 2 2 4 2" xfId="19826"/>
    <cellStyle name="Entrada 9 3 2 2 4 2 2" xfId="49007"/>
    <cellStyle name="Entrada 9 3 2 2 4 3" xfId="38280"/>
    <cellStyle name="Entrada 9 3 2 2 5" xfId="12506"/>
    <cellStyle name="Entrada 9 3 2 2 5 2" xfId="41687"/>
    <cellStyle name="Entrada 9 3 2 2 6" xfId="30957"/>
    <cellStyle name="Entrada 9 3 2 3" xfId="2674"/>
    <cellStyle name="Entrada 9 3 2 3 2" xfId="5842"/>
    <cellStyle name="Entrada 9 3 2 3 2 2" xfId="15440"/>
    <cellStyle name="Entrada 9 3 2 3 2 2 2" xfId="44621"/>
    <cellStyle name="Entrada 9 3 2 3 2 3" xfId="35025"/>
    <cellStyle name="Entrada 9 3 2 3 3" xfId="7591"/>
    <cellStyle name="Entrada 9 3 2 3 3 2" xfId="18914"/>
    <cellStyle name="Entrada 9 3 2 3 3 2 2" xfId="48095"/>
    <cellStyle name="Entrada 9 3 2 3 3 3" xfId="36774"/>
    <cellStyle name="Entrada 9 3 2 3 4" xfId="17596"/>
    <cellStyle name="Entrada 9 3 2 3 4 2" xfId="46777"/>
    <cellStyle name="Entrada 9 3 2 3 5" xfId="31857"/>
    <cellStyle name="Entrada 9 3 2 4" xfId="4402"/>
    <cellStyle name="Entrada 9 3 2 4 2" xfId="17376"/>
    <cellStyle name="Entrada 9 3 2 4 2 2" xfId="46557"/>
    <cellStyle name="Entrada 9 3 2 4 3" xfId="33585"/>
    <cellStyle name="Entrada 9 3 2 5" xfId="7897"/>
    <cellStyle name="Entrada 9 3 2 5 2" xfId="19101"/>
    <cellStyle name="Entrada 9 3 2 5 2 2" xfId="48282"/>
    <cellStyle name="Entrada 9 3 2 5 3" xfId="37080"/>
    <cellStyle name="Entrada 9 3 2 6" xfId="16420"/>
    <cellStyle name="Entrada 9 3 2 6 2" xfId="45601"/>
    <cellStyle name="Entrada 9 3 2 7" xfId="30033"/>
    <cellStyle name="Entrada 9 3 3" xfId="1028"/>
    <cellStyle name="Entrada 9 3 3 2" xfId="1938"/>
    <cellStyle name="Entrada 9 3 3 2 2" xfId="3738"/>
    <cellStyle name="Entrada 9 3 3 2 2 2" xfId="6690"/>
    <cellStyle name="Entrada 9 3 3 2 2 2 2" xfId="18438"/>
    <cellStyle name="Entrada 9 3 3 2 2 2 2 2" xfId="47619"/>
    <cellStyle name="Entrada 9 3 3 2 2 2 3" xfId="35873"/>
    <cellStyle name="Entrada 9 3 3 2 2 3" xfId="9415"/>
    <cellStyle name="Entrada 9 3 3 2 2 3 2" xfId="20018"/>
    <cellStyle name="Entrada 9 3 3 2 2 3 2 2" xfId="49199"/>
    <cellStyle name="Entrada 9 3 3 2 2 3 3" xfId="38598"/>
    <cellStyle name="Entrada 9 3 3 2 2 4" xfId="10643"/>
    <cellStyle name="Entrada 9 3 3 2 2 4 2" xfId="39824"/>
    <cellStyle name="Entrada 9 3 3 2 2 5" xfId="32921"/>
    <cellStyle name="Entrada 9 3 3 2 3" xfId="5250"/>
    <cellStyle name="Entrada 9 3 3 2 3 2" xfId="16191"/>
    <cellStyle name="Entrada 9 3 3 2 3 2 2" xfId="45372"/>
    <cellStyle name="Entrada 9 3 3 2 3 3" xfId="34433"/>
    <cellStyle name="Entrada 9 3 3 2 4" xfId="10477"/>
    <cellStyle name="Entrada 9 3 3 2 4 2" xfId="20662"/>
    <cellStyle name="Entrada 9 3 3 2 4 2 2" xfId="49843"/>
    <cellStyle name="Entrada 9 3 3 2 4 3" xfId="39660"/>
    <cellStyle name="Entrada 9 3 3 2 5" xfId="16365"/>
    <cellStyle name="Entrada 9 3 3 2 5 2" xfId="45546"/>
    <cellStyle name="Entrada 9 3 3 2 6" xfId="31121"/>
    <cellStyle name="Entrada 9 3 3 3" xfId="2838"/>
    <cellStyle name="Entrada 9 3 3 3 2" xfId="5970"/>
    <cellStyle name="Entrada 9 3 3 3 2 2" xfId="10593"/>
    <cellStyle name="Entrada 9 3 3 3 2 2 2" xfId="39774"/>
    <cellStyle name="Entrada 9 3 3 3 2 3" xfId="35153"/>
    <cellStyle name="Entrada 9 3 3 3 3" xfId="9699"/>
    <cellStyle name="Entrada 9 3 3 3 3 2" xfId="20189"/>
    <cellStyle name="Entrada 9 3 3 3 3 2 2" xfId="49370"/>
    <cellStyle name="Entrada 9 3 3 3 3 3" xfId="38882"/>
    <cellStyle name="Entrada 9 3 3 3 4" xfId="14912"/>
    <cellStyle name="Entrada 9 3 3 3 4 2" xfId="44093"/>
    <cellStyle name="Entrada 9 3 3 3 5" xfId="32021"/>
    <cellStyle name="Entrada 9 3 3 4" xfId="4530"/>
    <cellStyle name="Entrada 9 3 3 4 2" xfId="12897"/>
    <cellStyle name="Entrada 9 3 3 4 2 2" xfId="42078"/>
    <cellStyle name="Entrada 9 3 3 4 3" xfId="33713"/>
    <cellStyle name="Entrada 9 3 3 5" xfId="8638"/>
    <cellStyle name="Entrada 9 3 3 5 2" xfId="19553"/>
    <cellStyle name="Entrada 9 3 3 5 2 2" xfId="48734"/>
    <cellStyle name="Entrada 9 3 3 5 3" xfId="37821"/>
    <cellStyle name="Entrada 9 3 3 6" xfId="17862"/>
    <cellStyle name="Entrada 9 3 3 6 2" xfId="47043"/>
    <cellStyle name="Entrada 9 3 3 7" xfId="30218"/>
    <cellStyle name="Entrada 9 3 4" xfId="1178"/>
    <cellStyle name="Entrada 9 3 4 2" xfId="2082"/>
    <cellStyle name="Entrada 9 3 4 2 2" xfId="3882"/>
    <cellStyle name="Entrada 9 3 4 2 2 2" xfId="6807"/>
    <cellStyle name="Entrada 9 3 4 2 2 2 2" xfId="18492"/>
    <cellStyle name="Entrada 9 3 4 2 2 2 2 2" xfId="47673"/>
    <cellStyle name="Entrada 9 3 4 2 2 2 3" xfId="35990"/>
    <cellStyle name="Entrada 9 3 4 2 2 3" xfId="9313"/>
    <cellStyle name="Entrada 9 3 4 2 2 3 2" xfId="19960"/>
    <cellStyle name="Entrada 9 3 4 2 2 3 2 2" xfId="49141"/>
    <cellStyle name="Entrada 9 3 4 2 2 3 3" xfId="38496"/>
    <cellStyle name="Entrada 9 3 4 2 2 4" xfId="16518"/>
    <cellStyle name="Entrada 9 3 4 2 2 4 2" xfId="45699"/>
    <cellStyle name="Entrada 9 3 4 2 2 5" xfId="33065"/>
    <cellStyle name="Entrada 9 3 4 2 3" xfId="5367"/>
    <cellStyle name="Entrada 9 3 4 2 3 2" xfId="11269"/>
    <cellStyle name="Entrada 9 3 4 2 3 2 2" xfId="40450"/>
    <cellStyle name="Entrada 9 3 4 2 3 3" xfId="34550"/>
    <cellStyle name="Entrada 9 3 4 2 4" xfId="9256"/>
    <cellStyle name="Entrada 9 3 4 2 4 2" xfId="19925"/>
    <cellStyle name="Entrada 9 3 4 2 4 2 2" xfId="49106"/>
    <cellStyle name="Entrada 9 3 4 2 4 3" xfId="38439"/>
    <cellStyle name="Entrada 9 3 4 2 5" xfId="10889"/>
    <cellStyle name="Entrada 9 3 4 2 5 2" xfId="40070"/>
    <cellStyle name="Entrada 9 3 4 2 6" xfId="31265"/>
    <cellStyle name="Entrada 9 3 4 3" xfId="2982"/>
    <cellStyle name="Entrada 9 3 4 3 2" xfId="6087"/>
    <cellStyle name="Entrada 9 3 4 3 2 2" xfId="10539"/>
    <cellStyle name="Entrada 9 3 4 3 2 2 2" xfId="39720"/>
    <cellStyle name="Entrada 9 3 4 3 2 3" xfId="35270"/>
    <cellStyle name="Entrada 9 3 4 3 3" xfId="7539"/>
    <cellStyle name="Entrada 9 3 4 3 3 2" xfId="18877"/>
    <cellStyle name="Entrada 9 3 4 3 3 2 2" xfId="48058"/>
    <cellStyle name="Entrada 9 3 4 3 3 3" xfId="36722"/>
    <cellStyle name="Entrada 9 3 4 3 4" xfId="17692"/>
    <cellStyle name="Entrada 9 3 4 3 4 2" xfId="46873"/>
    <cellStyle name="Entrada 9 3 4 3 5" xfId="32165"/>
    <cellStyle name="Entrada 9 3 4 4" xfId="4647"/>
    <cellStyle name="Entrada 9 3 4 4 2" xfId="15442"/>
    <cellStyle name="Entrada 9 3 4 4 2 2" xfId="44623"/>
    <cellStyle name="Entrada 9 3 4 4 3" xfId="33830"/>
    <cellStyle name="Entrada 9 3 4 5" xfId="8613"/>
    <cellStyle name="Entrada 9 3 4 5 2" xfId="19542"/>
    <cellStyle name="Entrada 9 3 4 5 2 2" xfId="48723"/>
    <cellStyle name="Entrada 9 3 4 5 3" xfId="37796"/>
    <cellStyle name="Entrada 9 3 4 6" xfId="10822"/>
    <cellStyle name="Entrada 9 3 4 6 2" xfId="40003"/>
    <cellStyle name="Entrada 9 3 4 7" xfId="30365"/>
    <cellStyle name="Entrada 9 3 5" xfId="1324"/>
    <cellStyle name="Entrada 9 3 5 2" xfId="2226"/>
    <cellStyle name="Entrada 9 3 5 2 2" xfId="4026"/>
    <cellStyle name="Entrada 9 3 5 2 2 2" xfId="6924"/>
    <cellStyle name="Entrada 9 3 5 2 2 2 2" xfId="18546"/>
    <cellStyle name="Entrada 9 3 5 2 2 2 2 2" xfId="47727"/>
    <cellStyle name="Entrada 9 3 5 2 2 2 3" xfId="36107"/>
    <cellStyle name="Entrada 9 3 5 2 2 3" xfId="7054"/>
    <cellStyle name="Entrada 9 3 5 2 2 3 2" xfId="18603"/>
    <cellStyle name="Entrada 9 3 5 2 2 3 2 2" xfId="47784"/>
    <cellStyle name="Entrada 9 3 5 2 2 3 3" xfId="36237"/>
    <cellStyle name="Entrada 9 3 5 2 2 4" xfId="13931"/>
    <cellStyle name="Entrada 9 3 5 2 2 4 2" xfId="43112"/>
    <cellStyle name="Entrada 9 3 5 2 2 5" xfId="33209"/>
    <cellStyle name="Entrada 9 3 5 2 3" xfId="5484"/>
    <cellStyle name="Entrada 9 3 5 2 3 2" xfId="17348"/>
    <cellStyle name="Entrada 9 3 5 2 3 2 2" xfId="46529"/>
    <cellStyle name="Entrada 9 3 5 2 3 3" xfId="34667"/>
    <cellStyle name="Entrada 9 3 5 2 4" xfId="8740"/>
    <cellStyle name="Entrada 9 3 5 2 4 2" xfId="19613"/>
    <cellStyle name="Entrada 9 3 5 2 4 2 2" xfId="48794"/>
    <cellStyle name="Entrada 9 3 5 2 4 3" xfId="37923"/>
    <cellStyle name="Entrada 9 3 5 2 5" xfId="15771"/>
    <cellStyle name="Entrada 9 3 5 2 5 2" xfId="44952"/>
    <cellStyle name="Entrada 9 3 5 2 6" xfId="31409"/>
    <cellStyle name="Entrada 9 3 5 3" xfId="3126"/>
    <cellStyle name="Entrada 9 3 5 3 2" xfId="6204"/>
    <cellStyle name="Entrada 9 3 5 3 2 2" xfId="18186"/>
    <cellStyle name="Entrada 9 3 5 3 2 2 2" xfId="47367"/>
    <cellStyle name="Entrada 9 3 5 3 2 3" xfId="35387"/>
    <cellStyle name="Entrada 9 3 5 3 3" xfId="10267"/>
    <cellStyle name="Entrada 9 3 5 3 3 2" xfId="20529"/>
    <cellStyle name="Entrada 9 3 5 3 3 2 2" xfId="49710"/>
    <cellStyle name="Entrada 9 3 5 3 3 3" xfId="39450"/>
    <cellStyle name="Entrada 9 3 5 3 4" xfId="17662"/>
    <cellStyle name="Entrada 9 3 5 3 4 2" xfId="46843"/>
    <cellStyle name="Entrada 9 3 5 3 5" xfId="32309"/>
    <cellStyle name="Entrada 9 3 5 4" xfId="4764"/>
    <cellStyle name="Entrada 9 3 5 4 2" xfId="12248"/>
    <cellStyle name="Entrada 9 3 5 4 2 2" xfId="41429"/>
    <cellStyle name="Entrada 9 3 5 4 3" xfId="33947"/>
    <cellStyle name="Entrada 9 3 5 5" xfId="9755"/>
    <cellStyle name="Entrada 9 3 5 5 2" xfId="20224"/>
    <cellStyle name="Entrada 9 3 5 5 2 2" xfId="49405"/>
    <cellStyle name="Entrada 9 3 5 5 3" xfId="38938"/>
    <cellStyle name="Entrada 9 3 5 6" xfId="17955"/>
    <cellStyle name="Entrada 9 3 5 6 2" xfId="47136"/>
    <cellStyle name="Entrada 9 3 5 7" xfId="30509"/>
    <cellStyle name="Entrada 9 3 6" xfId="1506"/>
    <cellStyle name="Entrada 9 3 6 2" xfId="3306"/>
    <cellStyle name="Entrada 9 3 6 2 2" xfId="6348"/>
    <cellStyle name="Entrada 9 3 6 2 2 2" xfId="18258"/>
    <cellStyle name="Entrada 9 3 6 2 2 2 2" xfId="47439"/>
    <cellStyle name="Entrada 9 3 6 2 2 3" xfId="35531"/>
    <cellStyle name="Entrada 9 3 6 2 3" xfId="7573"/>
    <cellStyle name="Entrada 9 3 6 2 3 2" xfId="18902"/>
    <cellStyle name="Entrada 9 3 6 2 3 2 2" xfId="48083"/>
    <cellStyle name="Entrada 9 3 6 2 3 3" xfId="36756"/>
    <cellStyle name="Entrada 9 3 6 2 4" xfId="16470"/>
    <cellStyle name="Entrada 9 3 6 2 4 2" xfId="45651"/>
    <cellStyle name="Entrada 9 3 6 2 5" xfId="32489"/>
    <cellStyle name="Entrada 9 3 6 3" xfId="4908"/>
    <cellStyle name="Entrada 9 3 6 3 2" xfId="14123"/>
    <cellStyle name="Entrada 9 3 6 3 2 2" xfId="43304"/>
    <cellStyle name="Entrada 9 3 6 3 3" xfId="34091"/>
    <cellStyle name="Entrada 9 3 6 4" xfId="7498"/>
    <cellStyle name="Entrada 9 3 6 4 2" xfId="18852"/>
    <cellStyle name="Entrada 9 3 6 4 2 2" xfId="48033"/>
    <cellStyle name="Entrada 9 3 6 4 3" xfId="36681"/>
    <cellStyle name="Entrada 9 3 6 5" xfId="10706"/>
    <cellStyle name="Entrada 9 3 6 5 2" xfId="39887"/>
    <cellStyle name="Entrada 9 3 6 6" xfId="30689"/>
    <cellStyle name="Entrada 9 3 7" xfId="2406"/>
    <cellStyle name="Entrada 9 3 7 2" xfId="5628"/>
    <cellStyle name="Entrada 9 3 7 2 2" xfId="12950"/>
    <cellStyle name="Entrada 9 3 7 2 2 2" xfId="42131"/>
    <cellStyle name="Entrada 9 3 7 2 3" xfId="34811"/>
    <cellStyle name="Entrada 9 3 7 3" xfId="7252"/>
    <cellStyle name="Entrada 9 3 7 3 2" xfId="18712"/>
    <cellStyle name="Entrada 9 3 7 3 2 2" xfId="47893"/>
    <cellStyle name="Entrada 9 3 7 3 3" xfId="36435"/>
    <cellStyle name="Entrada 9 3 7 4" xfId="17541"/>
    <cellStyle name="Entrada 9 3 7 4 2" xfId="46722"/>
    <cellStyle name="Entrada 9 3 7 5" xfId="31589"/>
    <cellStyle name="Entrada 9 3 8" xfId="4188"/>
    <cellStyle name="Entrada 9 3 8 2" xfId="14690"/>
    <cellStyle name="Entrada 9 3 8 2 2" xfId="43871"/>
    <cellStyle name="Entrada 9 3 8 3" xfId="33371"/>
    <cellStyle name="Entrada 9 3 9" xfId="9648"/>
    <cellStyle name="Entrada 9 3 9 2" xfId="20156"/>
    <cellStyle name="Entrada 9 3 9 2 2" xfId="49337"/>
    <cellStyle name="Entrada 9 3 9 3" xfId="38831"/>
    <cellStyle name="Entrada 9 4" xfId="665"/>
    <cellStyle name="Entrada 9 4 2" xfId="1657"/>
    <cellStyle name="Entrada 9 4 2 2" xfId="3457"/>
    <cellStyle name="Entrada 9 4 2 2 2" xfId="6472"/>
    <cellStyle name="Entrada 9 4 2 2 2 2" xfId="18339"/>
    <cellStyle name="Entrada 9 4 2 2 2 2 2" xfId="47520"/>
    <cellStyle name="Entrada 9 4 2 2 2 3" xfId="35655"/>
    <cellStyle name="Entrada 9 4 2 2 3" xfId="8440"/>
    <cellStyle name="Entrada 9 4 2 2 3 2" xfId="19435"/>
    <cellStyle name="Entrada 9 4 2 2 3 2 2" xfId="48616"/>
    <cellStyle name="Entrada 9 4 2 2 3 3" xfId="37623"/>
    <cellStyle name="Entrada 9 4 2 2 4" xfId="16694"/>
    <cellStyle name="Entrada 9 4 2 2 4 2" xfId="45875"/>
    <cellStyle name="Entrada 9 4 2 2 5" xfId="32640"/>
    <cellStyle name="Entrada 9 4 2 3" xfId="5032"/>
    <cellStyle name="Entrada 9 4 2 3 2" xfId="12890"/>
    <cellStyle name="Entrada 9 4 2 3 2 2" xfId="42071"/>
    <cellStyle name="Entrada 9 4 2 3 3" xfId="34215"/>
    <cellStyle name="Entrada 9 4 2 4" xfId="10520"/>
    <cellStyle name="Entrada 9 4 2 4 2" xfId="20691"/>
    <cellStyle name="Entrada 9 4 2 4 2 2" xfId="49872"/>
    <cellStyle name="Entrada 9 4 2 4 3" xfId="39703"/>
    <cellStyle name="Entrada 9 4 2 5" xfId="18094"/>
    <cellStyle name="Entrada 9 4 2 5 2" xfId="47275"/>
    <cellStyle name="Entrada 9 4 2 6" xfId="30840"/>
    <cellStyle name="Entrada 9 4 3" xfId="2557"/>
    <cellStyle name="Entrada 9 4 3 2" xfId="5752"/>
    <cellStyle name="Entrada 9 4 3 2 2" xfId="18048"/>
    <cellStyle name="Entrada 9 4 3 2 2 2" xfId="47229"/>
    <cellStyle name="Entrada 9 4 3 2 3" xfId="34935"/>
    <cellStyle name="Entrada 9 4 3 3" xfId="9742"/>
    <cellStyle name="Entrada 9 4 3 3 2" xfId="20215"/>
    <cellStyle name="Entrada 9 4 3 3 2 2" xfId="49396"/>
    <cellStyle name="Entrada 9 4 3 3 3" xfId="38925"/>
    <cellStyle name="Entrada 9 4 3 4" xfId="15173"/>
    <cellStyle name="Entrada 9 4 3 4 2" xfId="44354"/>
    <cellStyle name="Entrada 9 4 3 5" xfId="31740"/>
    <cellStyle name="Entrada 9 4 4" xfId="4312"/>
    <cellStyle name="Entrada 9 4 4 2" xfId="14069"/>
    <cellStyle name="Entrada 9 4 4 2 2" xfId="43250"/>
    <cellStyle name="Entrada 9 4 4 3" xfId="33495"/>
    <cellStyle name="Entrada 9 4 5" xfId="8182"/>
    <cellStyle name="Entrada 9 4 5 2" xfId="19276"/>
    <cellStyle name="Entrada 9 4 5 2 2" xfId="48457"/>
    <cellStyle name="Entrada 9 4 5 3" xfId="37365"/>
    <cellStyle name="Entrada 9 4 6" xfId="17525"/>
    <cellStyle name="Entrada 9 4 6 2" xfId="46706"/>
    <cellStyle name="Entrada 9 4 7" xfId="29868"/>
    <cellStyle name="Entrada 9 5" xfId="612"/>
    <cellStyle name="Entrada 9 5 2" xfId="1604"/>
    <cellStyle name="Entrada 9 5 2 2" xfId="3404"/>
    <cellStyle name="Entrada 9 5 2 2 2" xfId="6419"/>
    <cellStyle name="Entrada 9 5 2 2 2 2" xfId="18286"/>
    <cellStyle name="Entrada 9 5 2 2 2 2 2" xfId="47467"/>
    <cellStyle name="Entrada 9 5 2 2 2 3" xfId="35602"/>
    <cellStyle name="Entrada 9 5 2 2 3" xfId="8550"/>
    <cellStyle name="Entrada 9 5 2 2 3 2" xfId="19505"/>
    <cellStyle name="Entrada 9 5 2 2 3 2 2" xfId="48686"/>
    <cellStyle name="Entrada 9 5 2 2 3 3" xfId="37733"/>
    <cellStyle name="Entrada 9 5 2 2 4" xfId="15249"/>
    <cellStyle name="Entrada 9 5 2 2 4 2" xfId="44430"/>
    <cellStyle name="Entrada 9 5 2 2 5" xfId="32587"/>
    <cellStyle name="Entrada 9 5 2 3" xfId="4979"/>
    <cellStyle name="Entrada 9 5 2 3 2" xfId="14493"/>
    <cellStyle name="Entrada 9 5 2 3 2 2" xfId="43674"/>
    <cellStyle name="Entrada 9 5 2 3 3" xfId="34162"/>
    <cellStyle name="Entrada 9 5 2 4" xfId="8492"/>
    <cellStyle name="Entrada 9 5 2 4 2" xfId="19469"/>
    <cellStyle name="Entrada 9 5 2 4 2 2" xfId="48650"/>
    <cellStyle name="Entrada 9 5 2 4 3" xfId="37675"/>
    <cellStyle name="Entrada 9 5 2 5" xfId="10888"/>
    <cellStyle name="Entrada 9 5 2 5 2" xfId="40069"/>
    <cellStyle name="Entrada 9 5 2 6" xfId="30787"/>
    <cellStyle name="Entrada 9 5 3" xfId="2504"/>
    <cellStyle name="Entrada 9 5 3 2" xfId="5699"/>
    <cellStyle name="Entrada 9 5 3 2 2" xfId="13928"/>
    <cellStyle name="Entrada 9 5 3 2 2 2" xfId="43109"/>
    <cellStyle name="Entrada 9 5 3 2 3" xfId="34882"/>
    <cellStyle name="Entrada 9 5 3 3" xfId="10001"/>
    <cellStyle name="Entrada 9 5 3 3 2" xfId="20374"/>
    <cellStyle name="Entrada 9 5 3 3 2 2" xfId="49555"/>
    <cellStyle name="Entrada 9 5 3 3 3" xfId="39184"/>
    <cellStyle name="Entrada 9 5 3 4" xfId="17583"/>
    <cellStyle name="Entrada 9 5 3 4 2" xfId="46764"/>
    <cellStyle name="Entrada 9 5 3 5" xfId="31687"/>
    <cellStyle name="Entrada 9 5 4" xfId="4259"/>
    <cellStyle name="Entrada 9 5 4 2" xfId="13374"/>
    <cellStyle name="Entrada 9 5 4 2 2" xfId="42555"/>
    <cellStyle name="Entrada 9 5 4 3" xfId="33442"/>
    <cellStyle name="Entrada 9 5 5" xfId="8680"/>
    <cellStyle name="Entrada 9 5 5 2" xfId="19579"/>
    <cellStyle name="Entrada 9 5 5 2 2" xfId="48760"/>
    <cellStyle name="Entrada 9 5 5 3" xfId="37863"/>
    <cellStyle name="Entrada 9 5 6" xfId="11841"/>
    <cellStyle name="Entrada 9 5 6 2" xfId="41022"/>
    <cellStyle name="Entrada 9 5 7" xfId="29815"/>
    <cellStyle name="Entrada 9 6" xfId="674"/>
    <cellStyle name="Entrada 9 6 2" xfId="1666"/>
    <cellStyle name="Entrada 9 6 2 2" xfId="3466"/>
    <cellStyle name="Entrada 9 6 2 2 2" xfId="6481"/>
    <cellStyle name="Entrada 9 6 2 2 2 2" xfId="18348"/>
    <cellStyle name="Entrada 9 6 2 2 2 2 2" xfId="47529"/>
    <cellStyle name="Entrada 9 6 2 2 2 3" xfId="35664"/>
    <cellStyle name="Entrada 9 6 2 2 3" xfId="7571"/>
    <cellStyle name="Entrada 9 6 2 2 3 2" xfId="18900"/>
    <cellStyle name="Entrada 9 6 2 2 3 2 2" xfId="48081"/>
    <cellStyle name="Entrada 9 6 2 2 3 3" xfId="36754"/>
    <cellStyle name="Entrada 9 6 2 2 4" xfId="11085"/>
    <cellStyle name="Entrada 9 6 2 2 4 2" xfId="40266"/>
    <cellStyle name="Entrada 9 6 2 2 5" xfId="32649"/>
    <cellStyle name="Entrada 9 6 2 3" xfId="5041"/>
    <cellStyle name="Entrada 9 6 2 3 2" xfId="13984"/>
    <cellStyle name="Entrada 9 6 2 3 2 2" xfId="43165"/>
    <cellStyle name="Entrada 9 6 2 3 3" xfId="34224"/>
    <cellStyle name="Entrada 9 6 2 4" xfId="8747"/>
    <cellStyle name="Entrada 9 6 2 4 2" xfId="19617"/>
    <cellStyle name="Entrada 9 6 2 4 2 2" xfId="48798"/>
    <cellStyle name="Entrada 9 6 2 4 3" xfId="37930"/>
    <cellStyle name="Entrada 9 6 2 5" xfId="16040"/>
    <cellStyle name="Entrada 9 6 2 5 2" xfId="45221"/>
    <cellStyle name="Entrada 9 6 2 6" xfId="30849"/>
    <cellStyle name="Entrada 9 6 3" xfId="2566"/>
    <cellStyle name="Entrada 9 6 3 2" xfId="5761"/>
    <cellStyle name="Entrada 9 6 3 2 2" xfId="12796"/>
    <cellStyle name="Entrada 9 6 3 2 2 2" xfId="41977"/>
    <cellStyle name="Entrada 9 6 3 2 3" xfId="34944"/>
    <cellStyle name="Entrada 9 6 3 3" xfId="10274"/>
    <cellStyle name="Entrada 9 6 3 3 2" xfId="20533"/>
    <cellStyle name="Entrada 9 6 3 3 2 2" xfId="49714"/>
    <cellStyle name="Entrada 9 6 3 3 3" xfId="39457"/>
    <cellStyle name="Entrada 9 6 3 4" xfId="17144"/>
    <cellStyle name="Entrada 9 6 3 4 2" xfId="46325"/>
    <cellStyle name="Entrada 9 6 3 5" xfId="31749"/>
    <cellStyle name="Entrada 9 6 4" xfId="4321"/>
    <cellStyle name="Entrada 9 6 4 2" xfId="14552"/>
    <cellStyle name="Entrada 9 6 4 2 2" xfId="43733"/>
    <cellStyle name="Entrada 9 6 4 3" xfId="33504"/>
    <cellStyle name="Entrada 9 6 5" xfId="9349"/>
    <cellStyle name="Entrada 9 6 5 2" xfId="19979"/>
    <cellStyle name="Entrada 9 6 5 2 2" xfId="49160"/>
    <cellStyle name="Entrada 9 6 5 3" xfId="38532"/>
    <cellStyle name="Entrada 9 6 6" xfId="13351"/>
    <cellStyle name="Entrada 9 6 6 2" xfId="42532"/>
    <cellStyle name="Entrada 9 6 7" xfId="29877"/>
    <cellStyle name="Entrada 9 7" xfId="603"/>
    <cellStyle name="Entrada 9 7 2" xfId="1595"/>
    <cellStyle name="Entrada 9 7 2 2" xfId="3395"/>
    <cellStyle name="Entrada 9 7 2 2 2" xfId="6410"/>
    <cellStyle name="Entrada 9 7 2 2 2 2" xfId="18277"/>
    <cellStyle name="Entrada 9 7 2 2 2 2 2" xfId="47458"/>
    <cellStyle name="Entrada 9 7 2 2 2 3" xfId="35593"/>
    <cellStyle name="Entrada 9 7 2 2 3" xfId="10342"/>
    <cellStyle name="Entrada 9 7 2 2 3 2" xfId="20578"/>
    <cellStyle name="Entrada 9 7 2 2 3 2 2" xfId="49759"/>
    <cellStyle name="Entrada 9 7 2 2 3 3" xfId="39525"/>
    <cellStyle name="Entrada 9 7 2 2 4" xfId="11164"/>
    <cellStyle name="Entrada 9 7 2 2 4 2" xfId="40345"/>
    <cellStyle name="Entrada 9 7 2 2 5" xfId="32578"/>
    <cellStyle name="Entrada 9 7 2 3" xfId="4970"/>
    <cellStyle name="Entrada 9 7 2 3 2" xfId="13017"/>
    <cellStyle name="Entrada 9 7 2 3 2 2" xfId="42198"/>
    <cellStyle name="Entrada 9 7 2 3 3" xfId="34153"/>
    <cellStyle name="Entrada 9 7 2 4" xfId="9023"/>
    <cellStyle name="Entrada 9 7 2 4 2" xfId="19777"/>
    <cellStyle name="Entrada 9 7 2 4 2 2" xfId="48958"/>
    <cellStyle name="Entrada 9 7 2 4 3" xfId="38206"/>
    <cellStyle name="Entrada 9 7 2 5" xfId="17763"/>
    <cellStyle name="Entrada 9 7 2 5 2" xfId="46944"/>
    <cellStyle name="Entrada 9 7 2 6" xfId="30778"/>
    <cellStyle name="Entrada 9 7 3" xfId="2495"/>
    <cellStyle name="Entrada 9 7 3 2" xfId="5690"/>
    <cellStyle name="Entrada 9 7 3 2 2" xfId="10810"/>
    <cellStyle name="Entrada 9 7 3 2 2 2" xfId="39991"/>
    <cellStyle name="Entrada 9 7 3 2 3" xfId="34873"/>
    <cellStyle name="Entrada 9 7 3 3" xfId="7242"/>
    <cellStyle name="Entrada 9 7 3 3 2" xfId="18702"/>
    <cellStyle name="Entrada 9 7 3 3 2 2" xfId="47883"/>
    <cellStyle name="Entrada 9 7 3 3 3" xfId="36425"/>
    <cellStyle name="Entrada 9 7 3 4" xfId="15410"/>
    <cellStyle name="Entrada 9 7 3 4 2" xfId="44591"/>
    <cellStyle name="Entrada 9 7 3 5" xfId="31678"/>
    <cellStyle name="Entrada 9 7 4" xfId="4250"/>
    <cellStyle name="Entrada 9 7 4 2" xfId="14180"/>
    <cellStyle name="Entrada 9 7 4 2 2" xfId="43361"/>
    <cellStyle name="Entrada 9 7 4 3" xfId="33433"/>
    <cellStyle name="Entrada 9 7 5" xfId="10453"/>
    <cellStyle name="Entrada 9 7 5 2" xfId="20648"/>
    <cellStyle name="Entrada 9 7 5 2 2" xfId="49829"/>
    <cellStyle name="Entrada 9 7 5 3" xfId="39636"/>
    <cellStyle name="Entrada 9 7 6" xfId="13218"/>
    <cellStyle name="Entrada 9 7 6 2" xfId="42399"/>
    <cellStyle name="Entrada 9 7 7" xfId="29806"/>
    <cellStyle name="Entrada 9 8" xfId="1416"/>
    <cellStyle name="Entrada 9 8 2" xfId="3216"/>
    <cellStyle name="Entrada 9 8 2 2" xfId="6276"/>
    <cellStyle name="Entrada 9 8 2 2 2" xfId="18222"/>
    <cellStyle name="Entrada 9 8 2 2 2 2" xfId="47403"/>
    <cellStyle name="Entrada 9 8 2 2 3" xfId="35459"/>
    <cellStyle name="Entrada 9 8 2 3" xfId="9979"/>
    <cellStyle name="Entrada 9 8 2 3 2" xfId="20359"/>
    <cellStyle name="Entrada 9 8 2 3 2 2" xfId="49540"/>
    <cellStyle name="Entrada 9 8 2 3 3" xfId="39162"/>
    <cellStyle name="Entrada 9 8 2 4" xfId="17867"/>
    <cellStyle name="Entrada 9 8 2 4 2" xfId="47048"/>
    <cellStyle name="Entrada 9 8 2 5" xfId="32399"/>
    <cellStyle name="Entrada 9 8 3" xfId="4836"/>
    <cellStyle name="Entrada 9 8 3 2" xfId="16101"/>
    <cellStyle name="Entrada 9 8 3 2 2" xfId="45282"/>
    <cellStyle name="Entrada 9 8 3 3" xfId="34019"/>
    <cellStyle name="Entrada 9 8 4" xfId="9380"/>
    <cellStyle name="Entrada 9 8 4 2" xfId="19999"/>
    <cellStyle name="Entrada 9 8 4 2 2" xfId="49180"/>
    <cellStyle name="Entrada 9 8 4 3" xfId="38563"/>
    <cellStyle name="Entrada 9 8 5" xfId="11057"/>
    <cellStyle name="Entrada 9 8 5 2" xfId="40238"/>
    <cellStyle name="Entrada 9 8 6" xfId="30599"/>
    <cellStyle name="Entrada 9 9" xfId="2316"/>
    <cellStyle name="Entrada 9 9 2" xfId="5556"/>
    <cellStyle name="Entrada 9 9 2 2" xfId="15375"/>
    <cellStyle name="Entrada 9 9 2 2 2" xfId="44556"/>
    <cellStyle name="Entrada 9 9 2 3" xfId="34739"/>
    <cellStyle name="Entrada 9 9 3" xfId="7281"/>
    <cellStyle name="Entrada 9 9 3 2" xfId="18733"/>
    <cellStyle name="Entrada 9 9 3 2 2" xfId="47914"/>
    <cellStyle name="Entrada 9 9 3 3" xfId="36464"/>
    <cellStyle name="Entrada 9 9 4" xfId="14050"/>
    <cellStyle name="Entrada 9 9 4 2" xfId="43231"/>
    <cellStyle name="Entrada 9 9 5" xfId="31499"/>
    <cellStyle name="Euro" xfId="264"/>
    <cellStyle name="Incorreto 10" xfId="265"/>
    <cellStyle name="Incorreto 2" xfId="266"/>
    <cellStyle name="Incorreto 3" xfId="267"/>
    <cellStyle name="Incorreto 4" xfId="268"/>
    <cellStyle name="Incorreto 5" xfId="269"/>
    <cellStyle name="Incorreto 6" xfId="270"/>
    <cellStyle name="Incorreto 7" xfId="271"/>
    <cellStyle name="Incorreto 8" xfId="272"/>
    <cellStyle name="Incorreto 9" xfId="273"/>
    <cellStyle name="Neutra 10" xfId="274"/>
    <cellStyle name="Neutra 2" xfId="275"/>
    <cellStyle name="Neutra 3" xfId="276"/>
    <cellStyle name="Neutra 4" xfId="277"/>
    <cellStyle name="Neutra 5" xfId="278"/>
    <cellStyle name="Neutra 6" xfId="279"/>
    <cellStyle name="Neutra 7" xfId="280"/>
    <cellStyle name="Neutra 8" xfId="281"/>
    <cellStyle name="Neutra 9" xfId="282"/>
    <cellStyle name="Normal" xfId="0" builtinId="0"/>
    <cellStyle name="Normal 10" xfId="283"/>
    <cellStyle name="Normal 11" xfId="556"/>
    <cellStyle name="Normal 11 2" xfId="909"/>
    <cellStyle name="Normal 11 3" xfId="1101"/>
    <cellStyle name="Normal 11 4" xfId="1251"/>
    <cellStyle name="Normal 11 5" xfId="1397"/>
    <cellStyle name="Normal 11 6" xfId="10843"/>
    <cellStyle name="Normal 11 6 2" xfId="25226"/>
    <cellStyle name="Normal 11 6 2 2" xfId="54405"/>
    <cellStyle name="Normal 11 6 3" xfId="40024"/>
    <cellStyle name="Normal 11 7" xfId="20798"/>
    <cellStyle name="Normal 11 7 2" xfId="49977"/>
    <cellStyle name="Normal 11 8" xfId="29762"/>
    <cellStyle name="Normal 12" xfId="284"/>
    <cellStyle name="Normal 13" xfId="764"/>
    <cellStyle name="Normal 13 2" xfId="11005"/>
    <cellStyle name="Normal 13 2 2" xfId="25326"/>
    <cellStyle name="Normal 13 2 2 2" xfId="54505"/>
    <cellStyle name="Normal 13 2 3" xfId="40186"/>
    <cellStyle name="Normal 13 3" xfId="20898"/>
    <cellStyle name="Normal 13 3 2" xfId="50077"/>
    <cellStyle name="Normal 13 4" xfId="29961"/>
    <cellStyle name="Normal 14" xfId="285"/>
    <cellStyle name="Normal 14 2" xfId="286"/>
    <cellStyle name="Normal 14 2 2" xfId="675"/>
    <cellStyle name="Normal 14 2 2 2" xfId="10933"/>
    <cellStyle name="Normal 14 2 2 2 2" xfId="25261"/>
    <cellStyle name="Normal 14 2 2 2 2 2" xfId="54440"/>
    <cellStyle name="Normal 14 2 2 2 3" xfId="40114"/>
    <cellStyle name="Normal 14 2 2 3" xfId="20833"/>
    <cellStyle name="Normal 14 2 2 3 2" xfId="50012"/>
    <cellStyle name="Normal 14 2 2 4" xfId="29878"/>
    <cellStyle name="Normal 14 2 3" xfId="602"/>
    <cellStyle name="Normal 14 2 3 2" xfId="10882"/>
    <cellStyle name="Normal 14 2 3 2 2" xfId="25260"/>
    <cellStyle name="Normal 14 2 3 2 2 2" xfId="54439"/>
    <cellStyle name="Normal 14 2 3 2 3" xfId="40063"/>
    <cellStyle name="Normal 14 2 3 3" xfId="20832"/>
    <cellStyle name="Normal 14 2 3 3 2" xfId="50011"/>
    <cellStyle name="Normal 14 2 3 4" xfId="29805"/>
    <cellStyle name="Normal 14 2 4" xfId="699"/>
    <cellStyle name="Normal 14 2 4 2" xfId="10955"/>
    <cellStyle name="Normal 14 2 4 2 2" xfId="25283"/>
    <cellStyle name="Normal 14 2 4 2 2 2" xfId="54462"/>
    <cellStyle name="Normal 14 2 4 2 3" xfId="40136"/>
    <cellStyle name="Normal 14 2 4 3" xfId="20855"/>
    <cellStyle name="Normal 14 2 4 3 2" xfId="50034"/>
    <cellStyle name="Normal 14 2 4 4" xfId="29900"/>
    <cellStyle name="Normal 14 2 5" xfId="568"/>
    <cellStyle name="Normal 14 2 5 2" xfId="10854"/>
    <cellStyle name="Normal 14 2 5 2 2" xfId="25237"/>
    <cellStyle name="Normal 14 2 5 2 2 2" xfId="54416"/>
    <cellStyle name="Normal 14 2 5 2 3" xfId="40035"/>
    <cellStyle name="Normal 14 2 5 3" xfId="20809"/>
    <cellStyle name="Normal 14 2 5 3 2" xfId="49988"/>
    <cellStyle name="Normal 14 2 5 4" xfId="29773"/>
    <cellStyle name="Normal 14 2 6" xfId="10688"/>
    <cellStyle name="Normal 14 2 6 2" xfId="25131"/>
    <cellStyle name="Normal 14 2 6 2 2" xfId="54310"/>
    <cellStyle name="Normal 14 2 6 3" xfId="39869"/>
    <cellStyle name="Normal 14 2 7" xfId="20703"/>
    <cellStyle name="Normal 14 2 7 2" xfId="49882"/>
    <cellStyle name="Normal 14 2 8" xfId="29577"/>
    <cellStyle name="Normal 14 2 9" xfId="58809"/>
    <cellStyle name="Normal 14 3" xfId="287"/>
    <cellStyle name="Normal 14 3 2" xfId="676"/>
    <cellStyle name="Normal 14 3 2 2" xfId="10934"/>
    <cellStyle name="Normal 14 3 2 2 2" xfId="25262"/>
    <cellStyle name="Normal 14 3 2 2 2 2" xfId="54441"/>
    <cellStyle name="Normal 14 3 2 2 3" xfId="40115"/>
    <cellStyle name="Normal 14 3 2 3" xfId="20834"/>
    <cellStyle name="Normal 14 3 2 3 2" xfId="50013"/>
    <cellStyle name="Normal 14 3 2 4" xfId="29879"/>
    <cellStyle name="Normal 14 3 3" xfId="601"/>
    <cellStyle name="Normal 14 3 3 2" xfId="10881"/>
    <cellStyle name="Normal 14 3 3 2 2" xfId="25259"/>
    <cellStyle name="Normal 14 3 3 2 2 2" xfId="54438"/>
    <cellStyle name="Normal 14 3 3 2 3" xfId="40062"/>
    <cellStyle name="Normal 14 3 3 3" xfId="20831"/>
    <cellStyle name="Normal 14 3 3 3 2" xfId="50010"/>
    <cellStyle name="Normal 14 3 3 4" xfId="29804"/>
    <cellStyle name="Normal 14 3 4" xfId="710"/>
    <cellStyle name="Normal 14 3 4 2" xfId="10961"/>
    <cellStyle name="Normal 14 3 4 2 2" xfId="25285"/>
    <cellStyle name="Normal 14 3 4 2 2 2" xfId="54464"/>
    <cellStyle name="Normal 14 3 4 2 3" xfId="40142"/>
    <cellStyle name="Normal 14 3 4 3" xfId="20857"/>
    <cellStyle name="Normal 14 3 4 3 2" xfId="50036"/>
    <cellStyle name="Normal 14 3 4 4" xfId="29911"/>
    <cellStyle name="Normal 14 3 5" xfId="1103"/>
    <cellStyle name="Normal 14 3 5 2" xfId="11257"/>
    <cellStyle name="Normal 14 3 5 2 2" xfId="25485"/>
    <cellStyle name="Normal 14 3 5 2 2 2" xfId="54664"/>
    <cellStyle name="Normal 14 3 5 2 3" xfId="40438"/>
    <cellStyle name="Normal 14 3 5 3" xfId="21057"/>
    <cellStyle name="Normal 14 3 5 3 2" xfId="50236"/>
    <cellStyle name="Normal 14 3 5 4" xfId="30291"/>
    <cellStyle name="Normal 14 3 6" xfId="10689"/>
    <cellStyle name="Normal 14 3 6 2" xfId="25132"/>
    <cellStyle name="Normal 14 3 6 2 2" xfId="54311"/>
    <cellStyle name="Normal 14 3 6 3" xfId="39870"/>
    <cellStyle name="Normal 14 3 7" xfId="20704"/>
    <cellStyle name="Normal 14 3 7 2" xfId="49883"/>
    <cellStyle name="Normal 14 3 8" xfId="29578"/>
    <cellStyle name="Normal 14 3 9" xfId="58810"/>
    <cellStyle name="Normal 15" xfId="956"/>
    <cellStyle name="Normal 15 2" xfId="288"/>
    <cellStyle name="Normal 15 2 2" xfId="677"/>
    <cellStyle name="Normal 15 2 2 2" xfId="10935"/>
    <cellStyle name="Normal 15 2 2 2 2" xfId="25263"/>
    <cellStyle name="Normal 15 2 2 2 2 2" xfId="54442"/>
    <cellStyle name="Normal 15 2 2 2 3" xfId="40116"/>
    <cellStyle name="Normal 15 2 2 3" xfId="20835"/>
    <cellStyle name="Normal 15 2 2 3 2" xfId="50014"/>
    <cellStyle name="Normal 15 2 2 4" xfId="29880"/>
    <cellStyle name="Normal 15 2 3" xfId="600"/>
    <cellStyle name="Normal 15 2 3 2" xfId="10880"/>
    <cellStyle name="Normal 15 2 3 2 2" xfId="25258"/>
    <cellStyle name="Normal 15 2 3 2 2 2" xfId="54437"/>
    <cellStyle name="Normal 15 2 3 2 3" xfId="40061"/>
    <cellStyle name="Normal 15 2 3 3" xfId="20830"/>
    <cellStyle name="Normal 15 2 3 3 2" xfId="50009"/>
    <cellStyle name="Normal 15 2 3 4" xfId="29803"/>
    <cellStyle name="Normal 15 2 4" xfId="712"/>
    <cellStyle name="Normal 15 2 4 2" xfId="10962"/>
    <cellStyle name="Normal 15 2 4 2 2" xfId="25286"/>
    <cellStyle name="Normal 15 2 4 2 2 2" xfId="54465"/>
    <cellStyle name="Normal 15 2 4 2 3" xfId="40143"/>
    <cellStyle name="Normal 15 2 4 3" xfId="20858"/>
    <cellStyle name="Normal 15 2 4 3 2" xfId="50037"/>
    <cellStyle name="Normal 15 2 4 4" xfId="29912"/>
    <cellStyle name="Normal 15 2 5" xfId="567"/>
    <cellStyle name="Normal 15 2 5 2" xfId="10853"/>
    <cellStyle name="Normal 15 2 5 2 2" xfId="25236"/>
    <cellStyle name="Normal 15 2 5 2 2 2" xfId="54415"/>
    <cellStyle name="Normal 15 2 5 2 3" xfId="40034"/>
    <cellStyle name="Normal 15 2 5 3" xfId="20808"/>
    <cellStyle name="Normal 15 2 5 3 2" xfId="49987"/>
    <cellStyle name="Normal 15 2 5 4" xfId="29772"/>
    <cellStyle name="Normal 15 2 6" xfId="10690"/>
    <cellStyle name="Normal 15 2 6 2" xfId="25133"/>
    <cellStyle name="Normal 15 2 6 2 2" xfId="54312"/>
    <cellStyle name="Normal 15 2 6 3" xfId="39871"/>
    <cellStyle name="Normal 15 2 7" xfId="20705"/>
    <cellStyle name="Normal 15 2 7 2" xfId="49884"/>
    <cellStyle name="Normal 15 2 8" xfId="29579"/>
    <cellStyle name="Normal 15 2 9" xfId="58811"/>
    <cellStyle name="Normal 15 3" xfId="289"/>
    <cellStyle name="Normal 15 3 2" xfId="678"/>
    <cellStyle name="Normal 15 3 2 2" xfId="10936"/>
    <cellStyle name="Normal 15 3 2 2 2" xfId="25264"/>
    <cellStyle name="Normal 15 3 2 2 2 2" xfId="54443"/>
    <cellStyle name="Normal 15 3 2 2 3" xfId="40117"/>
    <cellStyle name="Normal 15 3 2 3" xfId="20836"/>
    <cellStyle name="Normal 15 3 2 3 2" xfId="50015"/>
    <cellStyle name="Normal 15 3 2 4" xfId="29881"/>
    <cellStyle name="Normal 15 3 3" xfId="599"/>
    <cellStyle name="Normal 15 3 3 2" xfId="10879"/>
    <cellStyle name="Normal 15 3 3 2 2" xfId="25257"/>
    <cellStyle name="Normal 15 3 3 2 2 2" xfId="54436"/>
    <cellStyle name="Normal 15 3 3 2 3" xfId="40060"/>
    <cellStyle name="Normal 15 3 3 3" xfId="20829"/>
    <cellStyle name="Normal 15 3 3 3 2" xfId="50008"/>
    <cellStyle name="Normal 15 3 3 4" xfId="29802"/>
    <cellStyle name="Normal 15 3 4" xfId="713"/>
    <cellStyle name="Normal 15 3 4 2" xfId="10963"/>
    <cellStyle name="Normal 15 3 4 2 2" xfId="25287"/>
    <cellStyle name="Normal 15 3 4 2 2 2" xfId="54466"/>
    <cellStyle name="Normal 15 3 4 2 3" xfId="40144"/>
    <cellStyle name="Normal 15 3 4 3" xfId="20859"/>
    <cellStyle name="Normal 15 3 4 3 2" xfId="50038"/>
    <cellStyle name="Normal 15 3 4 4" xfId="29913"/>
    <cellStyle name="Normal 15 3 5" xfId="566"/>
    <cellStyle name="Normal 15 3 5 2" xfId="10852"/>
    <cellStyle name="Normal 15 3 5 2 2" xfId="25235"/>
    <cellStyle name="Normal 15 3 5 2 2 2" xfId="54414"/>
    <cellStyle name="Normal 15 3 5 2 3" xfId="40033"/>
    <cellStyle name="Normal 15 3 5 3" xfId="20807"/>
    <cellStyle name="Normal 15 3 5 3 2" xfId="49986"/>
    <cellStyle name="Normal 15 3 5 4" xfId="29771"/>
    <cellStyle name="Normal 15 3 6" xfId="10691"/>
    <cellStyle name="Normal 15 3 6 2" xfId="25134"/>
    <cellStyle name="Normal 15 3 6 2 2" xfId="54313"/>
    <cellStyle name="Normal 15 3 6 3" xfId="39872"/>
    <cellStyle name="Normal 15 3 7" xfId="20706"/>
    <cellStyle name="Normal 15 3 7 2" xfId="49885"/>
    <cellStyle name="Normal 15 3 8" xfId="29580"/>
    <cellStyle name="Normal 15 3 9" xfId="58812"/>
    <cellStyle name="Normal 15 4" xfId="11150"/>
    <cellStyle name="Normal 15 4 2" xfId="25421"/>
    <cellStyle name="Normal 15 4 2 2" xfId="54600"/>
    <cellStyle name="Normal 15 4 3" xfId="40331"/>
    <cellStyle name="Normal 15 5" xfId="20993"/>
    <cellStyle name="Normal 15 5 2" xfId="50172"/>
    <cellStyle name="Normal 15 6" xfId="30146"/>
    <cellStyle name="Normal 16" xfId="290"/>
    <cellStyle name="Normal 16 2" xfId="291"/>
    <cellStyle name="Normal 16 2 2" xfId="679"/>
    <cellStyle name="Normal 16 2 2 2" xfId="10937"/>
    <cellStyle name="Normal 16 2 2 2 2" xfId="25265"/>
    <cellStyle name="Normal 16 2 2 2 2 2" xfId="54444"/>
    <cellStyle name="Normal 16 2 2 2 3" xfId="40118"/>
    <cellStyle name="Normal 16 2 2 3" xfId="20837"/>
    <cellStyle name="Normal 16 2 2 3 2" xfId="50016"/>
    <cellStyle name="Normal 16 2 2 4" xfId="29882"/>
    <cellStyle name="Normal 16 2 3" xfId="598"/>
    <cellStyle name="Normal 16 2 3 2" xfId="10878"/>
    <cellStyle name="Normal 16 2 3 2 2" xfId="25256"/>
    <cellStyle name="Normal 16 2 3 2 2 2" xfId="54435"/>
    <cellStyle name="Normal 16 2 3 2 3" xfId="40059"/>
    <cellStyle name="Normal 16 2 3 3" xfId="20828"/>
    <cellStyle name="Normal 16 2 3 3 2" xfId="50007"/>
    <cellStyle name="Normal 16 2 3 4" xfId="29801"/>
    <cellStyle name="Normal 16 2 4" xfId="723"/>
    <cellStyle name="Normal 16 2 4 2" xfId="10973"/>
    <cellStyle name="Normal 16 2 4 2 2" xfId="25297"/>
    <cellStyle name="Normal 16 2 4 2 2 2" xfId="54476"/>
    <cellStyle name="Normal 16 2 4 2 3" xfId="40154"/>
    <cellStyle name="Normal 16 2 4 3" xfId="20869"/>
    <cellStyle name="Normal 16 2 4 3 2" xfId="50048"/>
    <cellStyle name="Normal 16 2 4 4" xfId="29923"/>
    <cellStyle name="Normal 16 2 5" xfId="915"/>
    <cellStyle name="Normal 16 2 5 2" xfId="11117"/>
    <cellStyle name="Normal 16 2 5 2 2" xfId="25392"/>
    <cellStyle name="Normal 16 2 5 2 2 2" xfId="54571"/>
    <cellStyle name="Normal 16 2 5 2 3" xfId="40298"/>
    <cellStyle name="Normal 16 2 5 3" xfId="20964"/>
    <cellStyle name="Normal 16 2 5 3 2" xfId="50143"/>
    <cellStyle name="Normal 16 2 5 4" xfId="30108"/>
    <cellStyle name="Normal 16 2 6" xfId="10692"/>
    <cellStyle name="Normal 16 2 6 2" xfId="25135"/>
    <cellStyle name="Normal 16 2 6 2 2" xfId="54314"/>
    <cellStyle name="Normal 16 2 6 3" xfId="39873"/>
    <cellStyle name="Normal 16 2 7" xfId="20707"/>
    <cellStyle name="Normal 16 2 7 2" xfId="49886"/>
    <cellStyle name="Normal 16 2 8" xfId="29581"/>
    <cellStyle name="Normal 16 2 9" xfId="58813"/>
    <cellStyle name="Normal 16 3" xfId="292"/>
    <cellStyle name="Normal 16 3 2" xfId="680"/>
    <cellStyle name="Normal 16 3 2 2" xfId="10938"/>
    <cellStyle name="Normal 16 3 2 2 2" xfId="25266"/>
    <cellStyle name="Normal 16 3 2 2 2 2" xfId="54445"/>
    <cellStyle name="Normal 16 3 2 2 3" xfId="40119"/>
    <cellStyle name="Normal 16 3 2 3" xfId="20838"/>
    <cellStyle name="Normal 16 3 2 3 2" xfId="50017"/>
    <cellStyle name="Normal 16 3 2 4" xfId="29883"/>
    <cellStyle name="Normal 16 3 3" xfId="597"/>
    <cellStyle name="Normal 16 3 3 2" xfId="10877"/>
    <cellStyle name="Normal 16 3 3 2 2" xfId="25255"/>
    <cellStyle name="Normal 16 3 3 2 2 2" xfId="54434"/>
    <cellStyle name="Normal 16 3 3 2 3" xfId="40058"/>
    <cellStyle name="Normal 16 3 3 3" xfId="20827"/>
    <cellStyle name="Normal 16 3 3 3 2" xfId="50006"/>
    <cellStyle name="Normal 16 3 3 4" xfId="29800"/>
    <cellStyle name="Normal 16 3 4" xfId="724"/>
    <cellStyle name="Normal 16 3 4 2" xfId="10974"/>
    <cellStyle name="Normal 16 3 4 2 2" xfId="25298"/>
    <cellStyle name="Normal 16 3 4 2 2 2" xfId="54477"/>
    <cellStyle name="Normal 16 3 4 2 3" xfId="40155"/>
    <cellStyle name="Normal 16 3 4 3" xfId="20870"/>
    <cellStyle name="Normal 16 3 4 3 2" xfId="50049"/>
    <cellStyle name="Normal 16 3 4 4" xfId="29924"/>
    <cellStyle name="Normal 16 3 5" xfId="916"/>
    <cellStyle name="Normal 16 3 5 2" xfId="11118"/>
    <cellStyle name="Normal 16 3 5 2 2" xfId="25393"/>
    <cellStyle name="Normal 16 3 5 2 2 2" xfId="54572"/>
    <cellStyle name="Normal 16 3 5 2 3" xfId="40299"/>
    <cellStyle name="Normal 16 3 5 3" xfId="20965"/>
    <cellStyle name="Normal 16 3 5 3 2" xfId="50144"/>
    <cellStyle name="Normal 16 3 5 4" xfId="30109"/>
    <cellStyle name="Normal 16 3 6" xfId="10693"/>
    <cellStyle name="Normal 16 3 6 2" xfId="25136"/>
    <cellStyle name="Normal 16 3 6 2 2" xfId="54315"/>
    <cellStyle name="Normal 16 3 6 3" xfId="39874"/>
    <cellStyle name="Normal 16 3 7" xfId="20708"/>
    <cellStyle name="Normal 16 3 7 2" xfId="49887"/>
    <cellStyle name="Normal 16 3 8" xfId="29582"/>
    <cellStyle name="Normal 16 3 9" xfId="58814"/>
    <cellStyle name="Normal 17" xfId="293"/>
    <cellStyle name="Normal 17 2" xfId="294"/>
    <cellStyle name="Normal 17 2 2" xfId="681"/>
    <cellStyle name="Normal 17 2 2 2" xfId="10939"/>
    <cellStyle name="Normal 17 2 2 2 2" xfId="25267"/>
    <cellStyle name="Normal 17 2 2 2 2 2" xfId="54446"/>
    <cellStyle name="Normal 17 2 2 2 3" xfId="40120"/>
    <cellStyle name="Normal 17 2 2 3" xfId="20839"/>
    <cellStyle name="Normal 17 2 2 3 2" xfId="50018"/>
    <cellStyle name="Normal 17 2 2 4" xfId="29884"/>
    <cellStyle name="Normal 17 2 3" xfId="596"/>
    <cellStyle name="Normal 17 2 3 2" xfId="10876"/>
    <cellStyle name="Normal 17 2 3 2 2" xfId="25254"/>
    <cellStyle name="Normal 17 2 3 2 2 2" xfId="54433"/>
    <cellStyle name="Normal 17 2 3 2 3" xfId="40057"/>
    <cellStyle name="Normal 17 2 3 3" xfId="20826"/>
    <cellStyle name="Normal 17 2 3 3 2" xfId="50005"/>
    <cellStyle name="Normal 17 2 3 4" xfId="29799"/>
    <cellStyle name="Normal 17 2 4" xfId="725"/>
    <cellStyle name="Normal 17 2 4 2" xfId="10975"/>
    <cellStyle name="Normal 17 2 4 2 2" xfId="25299"/>
    <cellStyle name="Normal 17 2 4 2 2 2" xfId="54478"/>
    <cellStyle name="Normal 17 2 4 2 3" xfId="40156"/>
    <cellStyle name="Normal 17 2 4 3" xfId="20871"/>
    <cellStyle name="Normal 17 2 4 3 2" xfId="50050"/>
    <cellStyle name="Normal 17 2 4 4" xfId="29925"/>
    <cellStyle name="Normal 17 2 5" xfId="917"/>
    <cellStyle name="Normal 17 2 5 2" xfId="11119"/>
    <cellStyle name="Normal 17 2 5 2 2" xfId="25394"/>
    <cellStyle name="Normal 17 2 5 2 2 2" xfId="54573"/>
    <cellStyle name="Normal 17 2 5 2 3" xfId="40300"/>
    <cellStyle name="Normal 17 2 5 3" xfId="20966"/>
    <cellStyle name="Normal 17 2 5 3 2" xfId="50145"/>
    <cellStyle name="Normal 17 2 5 4" xfId="30110"/>
    <cellStyle name="Normal 17 2 6" xfId="10694"/>
    <cellStyle name="Normal 17 2 6 2" xfId="25137"/>
    <cellStyle name="Normal 17 2 6 2 2" xfId="54316"/>
    <cellStyle name="Normal 17 2 6 3" xfId="39875"/>
    <cellStyle name="Normal 17 2 7" xfId="20709"/>
    <cellStyle name="Normal 17 2 7 2" xfId="49888"/>
    <cellStyle name="Normal 17 2 8" xfId="29583"/>
    <cellStyle name="Normal 17 2 9" xfId="58815"/>
    <cellStyle name="Normal 17 3" xfId="295"/>
    <cellStyle name="Normal 17 3 2" xfId="682"/>
    <cellStyle name="Normal 17 3 2 2" xfId="10940"/>
    <cellStyle name="Normal 17 3 2 2 2" xfId="25268"/>
    <cellStyle name="Normal 17 3 2 2 2 2" xfId="54447"/>
    <cellStyle name="Normal 17 3 2 2 3" xfId="40121"/>
    <cellStyle name="Normal 17 3 2 3" xfId="20840"/>
    <cellStyle name="Normal 17 3 2 3 2" xfId="50019"/>
    <cellStyle name="Normal 17 3 2 4" xfId="29885"/>
    <cellStyle name="Normal 17 3 3" xfId="595"/>
    <cellStyle name="Normal 17 3 3 2" xfId="10875"/>
    <cellStyle name="Normal 17 3 3 2 2" xfId="25253"/>
    <cellStyle name="Normal 17 3 3 2 2 2" xfId="54432"/>
    <cellStyle name="Normal 17 3 3 2 3" xfId="40056"/>
    <cellStyle name="Normal 17 3 3 3" xfId="20825"/>
    <cellStyle name="Normal 17 3 3 3 2" xfId="50004"/>
    <cellStyle name="Normal 17 3 3 4" xfId="29798"/>
    <cellStyle name="Normal 17 3 4" xfId="726"/>
    <cellStyle name="Normal 17 3 4 2" xfId="10976"/>
    <cellStyle name="Normal 17 3 4 2 2" xfId="25300"/>
    <cellStyle name="Normal 17 3 4 2 2 2" xfId="54479"/>
    <cellStyle name="Normal 17 3 4 2 3" xfId="40157"/>
    <cellStyle name="Normal 17 3 4 3" xfId="20872"/>
    <cellStyle name="Normal 17 3 4 3 2" xfId="50051"/>
    <cellStyle name="Normal 17 3 4 4" xfId="29926"/>
    <cellStyle name="Normal 17 3 5" xfId="918"/>
    <cellStyle name="Normal 17 3 5 2" xfId="11120"/>
    <cellStyle name="Normal 17 3 5 2 2" xfId="25395"/>
    <cellStyle name="Normal 17 3 5 2 2 2" xfId="54574"/>
    <cellStyle name="Normal 17 3 5 2 3" xfId="40301"/>
    <cellStyle name="Normal 17 3 5 3" xfId="20967"/>
    <cellStyle name="Normal 17 3 5 3 2" xfId="50146"/>
    <cellStyle name="Normal 17 3 5 4" xfId="30111"/>
    <cellStyle name="Normal 17 3 6" xfId="10695"/>
    <cellStyle name="Normal 17 3 6 2" xfId="25138"/>
    <cellStyle name="Normal 17 3 6 2 2" xfId="54317"/>
    <cellStyle name="Normal 17 3 6 3" xfId="39876"/>
    <cellStyle name="Normal 17 3 7" xfId="20710"/>
    <cellStyle name="Normal 17 3 7 2" xfId="49889"/>
    <cellStyle name="Normal 17 3 8" xfId="29584"/>
    <cellStyle name="Normal 17 3 9" xfId="58816"/>
    <cellStyle name="Normal 18" xfId="296"/>
    <cellStyle name="Normal 18 10" xfId="29585"/>
    <cellStyle name="Normal 18 11" xfId="58817"/>
    <cellStyle name="Normal 18 2" xfId="297"/>
    <cellStyle name="Normal 18 2 2" xfId="684"/>
    <cellStyle name="Normal 18 2 2 2" xfId="10942"/>
    <cellStyle name="Normal 18 2 2 2 2" xfId="25270"/>
    <cellStyle name="Normal 18 2 2 2 2 2" xfId="54449"/>
    <cellStyle name="Normal 18 2 2 2 3" xfId="40123"/>
    <cellStyle name="Normal 18 2 2 3" xfId="20842"/>
    <cellStyle name="Normal 18 2 2 3 2" xfId="50021"/>
    <cellStyle name="Normal 18 2 2 4" xfId="29887"/>
    <cellStyle name="Normal 18 2 3" xfId="593"/>
    <cellStyle name="Normal 18 2 3 2" xfId="10873"/>
    <cellStyle name="Normal 18 2 3 2 2" xfId="25251"/>
    <cellStyle name="Normal 18 2 3 2 2 2" xfId="54430"/>
    <cellStyle name="Normal 18 2 3 2 3" xfId="40054"/>
    <cellStyle name="Normal 18 2 3 3" xfId="20823"/>
    <cellStyle name="Normal 18 2 3 3 2" xfId="50002"/>
    <cellStyle name="Normal 18 2 3 4" xfId="29796"/>
    <cellStyle name="Normal 18 2 4" xfId="728"/>
    <cellStyle name="Normal 18 2 4 2" xfId="10978"/>
    <cellStyle name="Normal 18 2 4 2 2" xfId="25302"/>
    <cellStyle name="Normal 18 2 4 2 2 2" xfId="54481"/>
    <cellStyle name="Normal 18 2 4 2 3" xfId="40159"/>
    <cellStyle name="Normal 18 2 4 3" xfId="20874"/>
    <cellStyle name="Normal 18 2 4 3 2" xfId="50053"/>
    <cellStyle name="Normal 18 2 4 4" xfId="29928"/>
    <cellStyle name="Normal 18 2 5" xfId="920"/>
    <cellStyle name="Normal 18 2 5 2" xfId="11122"/>
    <cellStyle name="Normal 18 2 5 2 2" xfId="25397"/>
    <cellStyle name="Normal 18 2 5 2 2 2" xfId="54576"/>
    <cellStyle name="Normal 18 2 5 2 3" xfId="40303"/>
    <cellStyle name="Normal 18 2 5 3" xfId="20969"/>
    <cellStyle name="Normal 18 2 5 3 2" xfId="50148"/>
    <cellStyle name="Normal 18 2 5 4" xfId="30113"/>
    <cellStyle name="Normal 18 2 6" xfId="10697"/>
    <cellStyle name="Normal 18 2 6 2" xfId="25140"/>
    <cellStyle name="Normal 18 2 6 2 2" xfId="54319"/>
    <cellStyle name="Normal 18 2 6 3" xfId="39878"/>
    <cellStyle name="Normal 18 2 7" xfId="20712"/>
    <cellStyle name="Normal 18 2 7 2" xfId="49891"/>
    <cellStyle name="Normal 18 2 8" xfId="29586"/>
    <cellStyle name="Normal 18 2 9" xfId="58818"/>
    <cellStyle name="Normal 18 3" xfId="298"/>
    <cellStyle name="Normal 18 3 2" xfId="685"/>
    <cellStyle name="Normal 18 3 2 2" xfId="10943"/>
    <cellStyle name="Normal 18 3 2 2 2" xfId="25271"/>
    <cellStyle name="Normal 18 3 2 2 2 2" xfId="54450"/>
    <cellStyle name="Normal 18 3 2 2 3" xfId="40124"/>
    <cellStyle name="Normal 18 3 2 3" xfId="20843"/>
    <cellStyle name="Normal 18 3 2 3 2" xfId="50022"/>
    <cellStyle name="Normal 18 3 2 4" xfId="29888"/>
    <cellStyle name="Normal 18 3 3" xfId="592"/>
    <cellStyle name="Normal 18 3 3 2" xfId="10872"/>
    <cellStyle name="Normal 18 3 3 2 2" xfId="25250"/>
    <cellStyle name="Normal 18 3 3 2 2 2" xfId="54429"/>
    <cellStyle name="Normal 18 3 3 2 3" xfId="40053"/>
    <cellStyle name="Normal 18 3 3 3" xfId="20822"/>
    <cellStyle name="Normal 18 3 3 3 2" xfId="50001"/>
    <cellStyle name="Normal 18 3 3 4" xfId="29795"/>
    <cellStyle name="Normal 18 3 4" xfId="729"/>
    <cellStyle name="Normal 18 3 4 2" xfId="10979"/>
    <cellStyle name="Normal 18 3 4 2 2" xfId="25303"/>
    <cellStyle name="Normal 18 3 4 2 2 2" xfId="54482"/>
    <cellStyle name="Normal 18 3 4 2 3" xfId="40160"/>
    <cellStyle name="Normal 18 3 4 3" xfId="20875"/>
    <cellStyle name="Normal 18 3 4 3 2" xfId="50054"/>
    <cellStyle name="Normal 18 3 4 4" xfId="29929"/>
    <cellStyle name="Normal 18 3 5" xfId="921"/>
    <cellStyle name="Normal 18 3 5 2" xfId="11123"/>
    <cellStyle name="Normal 18 3 5 2 2" xfId="25398"/>
    <cellStyle name="Normal 18 3 5 2 2 2" xfId="54577"/>
    <cellStyle name="Normal 18 3 5 2 3" xfId="40304"/>
    <cellStyle name="Normal 18 3 5 3" xfId="20970"/>
    <cellStyle name="Normal 18 3 5 3 2" xfId="50149"/>
    <cellStyle name="Normal 18 3 5 4" xfId="30114"/>
    <cellStyle name="Normal 18 3 6" xfId="10698"/>
    <cellStyle name="Normal 18 3 6 2" xfId="25141"/>
    <cellStyle name="Normal 18 3 6 2 2" xfId="54320"/>
    <cellStyle name="Normal 18 3 6 3" xfId="39879"/>
    <cellStyle name="Normal 18 3 7" xfId="20713"/>
    <cellStyle name="Normal 18 3 7 2" xfId="49892"/>
    <cellStyle name="Normal 18 3 8" xfId="29587"/>
    <cellStyle name="Normal 18 3 9" xfId="58819"/>
    <cellStyle name="Normal 18 4" xfId="683"/>
    <cellStyle name="Normal 18 4 2" xfId="10941"/>
    <cellStyle name="Normal 18 4 2 2" xfId="25269"/>
    <cellStyle name="Normal 18 4 2 2 2" xfId="54448"/>
    <cellStyle name="Normal 18 4 2 3" xfId="40122"/>
    <cellStyle name="Normal 18 4 3" xfId="20841"/>
    <cellStyle name="Normal 18 4 3 2" xfId="50020"/>
    <cellStyle name="Normal 18 4 4" xfId="29886"/>
    <cellStyle name="Normal 18 5" xfId="594"/>
    <cellStyle name="Normal 18 5 2" xfId="10874"/>
    <cellStyle name="Normal 18 5 2 2" xfId="25252"/>
    <cellStyle name="Normal 18 5 2 2 2" xfId="54431"/>
    <cellStyle name="Normal 18 5 2 3" xfId="40055"/>
    <cellStyle name="Normal 18 5 3" xfId="20824"/>
    <cellStyle name="Normal 18 5 3 2" xfId="50003"/>
    <cellStyle name="Normal 18 5 4" xfId="29797"/>
    <cellStyle name="Normal 18 6" xfId="727"/>
    <cellStyle name="Normal 18 6 2" xfId="10977"/>
    <cellStyle name="Normal 18 6 2 2" xfId="25301"/>
    <cellStyle name="Normal 18 6 2 2 2" xfId="54480"/>
    <cellStyle name="Normal 18 6 2 3" xfId="40158"/>
    <cellStyle name="Normal 18 6 3" xfId="20873"/>
    <cellStyle name="Normal 18 6 3 2" xfId="50052"/>
    <cellStyle name="Normal 18 6 4" xfId="29927"/>
    <cellStyle name="Normal 18 7" xfId="919"/>
    <cellStyle name="Normal 18 7 2" xfId="11121"/>
    <cellStyle name="Normal 18 7 2 2" xfId="25396"/>
    <cellStyle name="Normal 18 7 2 2 2" xfId="54575"/>
    <cellStyle name="Normal 18 7 2 3" xfId="40302"/>
    <cellStyle name="Normal 18 7 3" xfId="20968"/>
    <cellStyle name="Normal 18 7 3 2" xfId="50147"/>
    <cellStyle name="Normal 18 7 4" xfId="30112"/>
    <cellStyle name="Normal 18 8" xfId="10696"/>
    <cellStyle name="Normal 18 8 2" xfId="25139"/>
    <cellStyle name="Normal 18 8 2 2" xfId="54318"/>
    <cellStyle name="Normal 18 8 3" xfId="39877"/>
    <cellStyle name="Normal 18 9" xfId="20711"/>
    <cellStyle name="Normal 18 9 2" xfId="49890"/>
    <cellStyle name="Normal 19" xfId="1106"/>
    <cellStyle name="Normal 19 2" xfId="299"/>
    <cellStyle name="Normal 19 2 2" xfId="686"/>
    <cellStyle name="Normal 19 2 2 2" xfId="10944"/>
    <cellStyle name="Normal 19 2 2 2 2" xfId="25272"/>
    <cellStyle name="Normal 19 2 2 2 2 2" xfId="54451"/>
    <cellStyle name="Normal 19 2 2 2 3" xfId="40125"/>
    <cellStyle name="Normal 19 2 2 3" xfId="20844"/>
    <cellStyle name="Normal 19 2 2 3 2" xfId="50023"/>
    <cellStyle name="Normal 19 2 2 4" xfId="29889"/>
    <cellStyle name="Normal 19 2 3" xfId="591"/>
    <cellStyle name="Normal 19 2 3 2" xfId="10871"/>
    <cellStyle name="Normal 19 2 3 2 2" xfId="25249"/>
    <cellStyle name="Normal 19 2 3 2 2 2" xfId="54428"/>
    <cellStyle name="Normal 19 2 3 2 3" xfId="40052"/>
    <cellStyle name="Normal 19 2 3 3" xfId="20821"/>
    <cellStyle name="Normal 19 2 3 3 2" xfId="50000"/>
    <cellStyle name="Normal 19 2 3 4" xfId="29794"/>
    <cellStyle name="Normal 19 2 4" xfId="730"/>
    <cellStyle name="Normal 19 2 4 2" xfId="10980"/>
    <cellStyle name="Normal 19 2 4 2 2" xfId="25304"/>
    <cellStyle name="Normal 19 2 4 2 2 2" xfId="54483"/>
    <cellStyle name="Normal 19 2 4 2 3" xfId="40161"/>
    <cellStyle name="Normal 19 2 4 3" xfId="20876"/>
    <cellStyle name="Normal 19 2 4 3 2" xfId="50055"/>
    <cellStyle name="Normal 19 2 4 4" xfId="29930"/>
    <cellStyle name="Normal 19 2 5" xfId="922"/>
    <cellStyle name="Normal 19 2 5 2" xfId="11124"/>
    <cellStyle name="Normal 19 2 5 2 2" xfId="25399"/>
    <cellStyle name="Normal 19 2 5 2 2 2" xfId="54578"/>
    <cellStyle name="Normal 19 2 5 2 3" xfId="40305"/>
    <cellStyle name="Normal 19 2 5 3" xfId="20971"/>
    <cellStyle name="Normal 19 2 5 3 2" xfId="50150"/>
    <cellStyle name="Normal 19 2 5 4" xfId="30115"/>
    <cellStyle name="Normal 19 2 6" xfId="10699"/>
    <cellStyle name="Normal 19 2 6 2" xfId="25142"/>
    <cellStyle name="Normal 19 2 6 2 2" xfId="54321"/>
    <cellStyle name="Normal 19 2 6 3" xfId="39880"/>
    <cellStyle name="Normal 19 2 7" xfId="20714"/>
    <cellStyle name="Normal 19 2 7 2" xfId="49893"/>
    <cellStyle name="Normal 19 2 8" xfId="29588"/>
    <cellStyle name="Normal 19 2 9" xfId="58820"/>
    <cellStyle name="Normal 19 3" xfId="300"/>
    <cellStyle name="Normal 19 3 2" xfId="687"/>
    <cellStyle name="Normal 19 3 2 2" xfId="10945"/>
    <cellStyle name="Normal 19 3 2 2 2" xfId="25273"/>
    <cellStyle name="Normal 19 3 2 2 2 2" xfId="54452"/>
    <cellStyle name="Normal 19 3 2 2 3" xfId="40126"/>
    <cellStyle name="Normal 19 3 2 3" xfId="20845"/>
    <cellStyle name="Normal 19 3 2 3 2" xfId="50024"/>
    <cellStyle name="Normal 19 3 2 4" xfId="29890"/>
    <cellStyle name="Normal 19 3 3" xfId="590"/>
    <cellStyle name="Normal 19 3 3 2" xfId="10870"/>
    <cellStyle name="Normal 19 3 3 2 2" xfId="25248"/>
    <cellStyle name="Normal 19 3 3 2 2 2" xfId="54427"/>
    <cellStyle name="Normal 19 3 3 2 3" xfId="40051"/>
    <cellStyle name="Normal 19 3 3 3" xfId="20820"/>
    <cellStyle name="Normal 19 3 3 3 2" xfId="49999"/>
    <cellStyle name="Normal 19 3 3 4" xfId="29793"/>
    <cellStyle name="Normal 19 3 4" xfId="731"/>
    <cellStyle name="Normal 19 3 4 2" xfId="10981"/>
    <cellStyle name="Normal 19 3 4 2 2" xfId="25305"/>
    <cellStyle name="Normal 19 3 4 2 2 2" xfId="54484"/>
    <cellStyle name="Normal 19 3 4 2 3" xfId="40162"/>
    <cellStyle name="Normal 19 3 4 3" xfId="20877"/>
    <cellStyle name="Normal 19 3 4 3 2" xfId="50056"/>
    <cellStyle name="Normal 19 3 4 4" xfId="29931"/>
    <cellStyle name="Normal 19 3 5" xfId="923"/>
    <cellStyle name="Normal 19 3 5 2" xfId="11125"/>
    <cellStyle name="Normal 19 3 5 2 2" xfId="25400"/>
    <cellStyle name="Normal 19 3 5 2 2 2" xfId="54579"/>
    <cellStyle name="Normal 19 3 5 2 3" xfId="40306"/>
    <cellStyle name="Normal 19 3 5 3" xfId="20972"/>
    <cellStyle name="Normal 19 3 5 3 2" xfId="50151"/>
    <cellStyle name="Normal 19 3 5 4" xfId="30116"/>
    <cellStyle name="Normal 19 3 6" xfId="10700"/>
    <cellStyle name="Normal 19 3 6 2" xfId="25143"/>
    <cellStyle name="Normal 19 3 6 2 2" xfId="54322"/>
    <cellStyle name="Normal 19 3 6 3" xfId="39881"/>
    <cellStyle name="Normal 19 3 7" xfId="20715"/>
    <cellStyle name="Normal 19 3 7 2" xfId="49894"/>
    <cellStyle name="Normal 19 3 8" xfId="29589"/>
    <cellStyle name="Normal 19 3 9" xfId="58821"/>
    <cellStyle name="Normal 19 4" xfId="11259"/>
    <cellStyle name="Normal 19 4 2" xfId="25487"/>
    <cellStyle name="Normal 19 4 2 2" xfId="54666"/>
    <cellStyle name="Normal 19 4 3" xfId="40440"/>
    <cellStyle name="Normal 19 5" xfId="21059"/>
    <cellStyle name="Normal 19 5 2" xfId="50238"/>
    <cellStyle name="Normal 19 6" xfId="30293"/>
    <cellStyle name="Normal 2" xfId="301"/>
    <cellStyle name="Normal 2 10" xfId="302"/>
    <cellStyle name="Normal 2 11" xfId="557"/>
    <cellStyle name="Normal 2 11 2" xfId="910"/>
    <cellStyle name="Normal 2 11 3" xfId="1102"/>
    <cellStyle name="Normal 2 11 4" xfId="1252"/>
    <cellStyle name="Normal 2 11 5" xfId="1398"/>
    <cellStyle name="Normal 2 12" xfId="763"/>
    <cellStyle name="Normal 2 13" xfId="955"/>
    <cellStyle name="Normal 2 14" xfId="1105"/>
    <cellStyle name="Normal 2 2" xfId="303"/>
    <cellStyle name="Normal 2 2 2" xfId="688"/>
    <cellStyle name="Normal 2 2 2 2" xfId="689"/>
    <cellStyle name="Normal 2 2 2 3" xfId="588"/>
    <cellStyle name="Normal 2 2 2 4" xfId="733"/>
    <cellStyle name="Normal 2 2 2 5" xfId="925"/>
    <cellStyle name="Normal 2 2 3" xfId="911"/>
    <cellStyle name="Normal 2 2 4" xfId="589"/>
    <cellStyle name="Normal 2 2 5" xfId="732"/>
    <cellStyle name="Normal 2 2 6" xfId="924"/>
    <cellStyle name="Normal 2 3" xfId="304"/>
    <cellStyle name="Normal 2 4" xfId="305"/>
    <cellStyle name="Normal 2 5" xfId="306"/>
    <cellStyle name="Normal 2 6" xfId="307"/>
    <cellStyle name="Normal 2 7" xfId="308"/>
    <cellStyle name="Normal 2 8" xfId="309"/>
    <cellStyle name="Normal 2 9" xfId="310"/>
    <cellStyle name="Normal 20" xfId="10534"/>
    <cellStyle name="Normal 20 2" xfId="18132"/>
    <cellStyle name="Normal 20 2 2" xfId="29556"/>
    <cellStyle name="Normal 20 2 2 2" xfId="58735"/>
    <cellStyle name="Normal 20 2 3" xfId="47313"/>
    <cellStyle name="Normal 20 3" xfId="25128"/>
    <cellStyle name="Normal 20 3 2" xfId="54307"/>
    <cellStyle name="Normal 20 4" xfId="39717"/>
    <cellStyle name="Normal 21" xfId="311"/>
    <cellStyle name="Normal 21 10" xfId="29590"/>
    <cellStyle name="Normal 21 11" xfId="58822"/>
    <cellStyle name="Normal 21 2" xfId="312"/>
    <cellStyle name="Normal 21 2 2" xfId="691"/>
    <cellStyle name="Normal 21 2 2 2" xfId="10947"/>
    <cellStyle name="Normal 21 2 2 2 2" xfId="25275"/>
    <cellStyle name="Normal 21 2 2 2 2 2" xfId="54454"/>
    <cellStyle name="Normal 21 2 2 2 3" xfId="40128"/>
    <cellStyle name="Normal 21 2 2 3" xfId="20847"/>
    <cellStyle name="Normal 21 2 2 3 2" xfId="50026"/>
    <cellStyle name="Normal 21 2 2 4" xfId="29892"/>
    <cellStyle name="Normal 21 2 3" xfId="586"/>
    <cellStyle name="Normal 21 2 3 2" xfId="10867"/>
    <cellStyle name="Normal 21 2 3 2 2" xfId="25246"/>
    <cellStyle name="Normal 21 2 3 2 2 2" xfId="54425"/>
    <cellStyle name="Normal 21 2 3 2 3" xfId="40048"/>
    <cellStyle name="Normal 21 2 3 3" xfId="20818"/>
    <cellStyle name="Normal 21 2 3 3 2" xfId="49997"/>
    <cellStyle name="Normal 21 2 3 4" xfId="29791"/>
    <cellStyle name="Normal 21 2 4" xfId="735"/>
    <cellStyle name="Normal 21 2 4 2" xfId="10984"/>
    <cellStyle name="Normal 21 2 4 2 2" xfId="25307"/>
    <cellStyle name="Normal 21 2 4 2 2 2" xfId="54486"/>
    <cellStyle name="Normal 21 2 4 2 3" xfId="40165"/>
    <cellStyle name="Normal 21 2 4 3" xfId="20879"/>
    <cellStyle name="Normal 21 2 4 3 2" xfId="50058"/>
    <cellStyle name="Normal 21 2 4 4" xfId="29933"/>
    <cellStyle name="Normal 21 2 5" xfId="927"/>
    <cellStyle name="Normal 21 2 5 2" xfId="11128"/>
    <cellStyle name="Normal 21 2 5 2 2" xfId="25402"/>
    <cellStyle name="Normal 21 2 5 2 2 2" xfId="54581"/>
    <cellStyle name="Normal 21 2 5 2 3" xfId="40309"/>
    <cellStyle name="Normal 21 2 5 3" xfId="20974"/>
    <cellStyle name="Normal 21 2 5 3 2" xfId="50153"/>
    <cellStyle name="Normal 21 2 5 4" xfId="30118"/>
    <cellStyle name="Normal 21 2 6" xfId="10709"/>
    <cellStyle name="Normal 21 2 6 2" xfId="25145"/>
    <cellStyle name="Normal 21 2 6 2 2" xfId="54324"/>
    <cellStyle name="Normal 21 2 6 3" xfId="39890"/>
    <cellStyle name="Normal 21 2 7" xfId="20717"/>
    <cellStyle name="Normal 21 2 7 2" xfId="49896"/>
    <cellStyle name="Normal 21 2 8" xfId="29591"/>
    <cellStyle name="Normal 21 2 9" xfId="58823"/>
    <cellStyle name="Normal 21 3" xfId="313"/>
    <cellStyle name="Normal 21 3 2" xfId="692"/>
    <cellStyle name="Normal 21 3 2 2" xfId="10948"/>
    <cellStyle name="Normal 21 3 2 2 2" xfId="25276"/>
    <cellStyle name="Normal 21 3 2 2 2 2" xfId="54455"/>
    <cellStyle name="Normal 21 3 2 2 3" xfId="40129"/>
    <cellStyle name="Normal 21 3 2 3" xfId="20848"/>
    <cellStyle name="Normal 21 3 2 3 2" xfId="50027"/>
    <cellStyle name="Normal 21 3 2 4" xfId="29893"/>
    <cellStyle name="Normal 21 3 3" xfId="585"/>
    <cellStyle name="Normal 21 3 3 2" xfId="10866"/>
    <cellStyle name="Normal 21 3 3 2 2" xfId="25245"/>
    <cellStyle name="Normal 21 3 3 2 2 2" xfId="54424"/>
    <cellStyle name="Normal 21 3 3 2 3" xfId="40047"/>
    <cellStyle name="Normal 21 3 3 3" xfId="20817"/>
    <cellStyle name="Normal 21 3 3 3 2" xfId="49996"/>
    <cellStyle name="Normal 21 3 3 4" xfId="29790"/>
    <cellStyle name="Normal 21 3 4" xfId="736"/>
    <cellStyle name="Normal 21 3 4 2" xfId="10985"/>
    <cellStyle name="Normal 21 3 4 2 2" xfId="25308"/>
    <cellStyle name="Normal 21 3 4 2 2 2" xfId="54487"/>
    <cellStyle name="Normal 21 3 4 2 3" xfId="40166"/>
    <cellStyle name="Normal 21 3 4 3" xfId="20880"/>
    <cellStyle name="Normal 21 3 4 3 2" xfId="50059"/>
    <cellStyle name="Normal 21 3 4 4" xfId="29934"/>
    <cellStyle name="Normal 21 3 5" xfId="928"/>
    <cellStyle name="Normal 21 3 5 2" xfId="11129"/>
    <cellStyle name="Normal 21 3 5 2 2" xfId="25403"/>
    <cellStyle name="Normal 21 3 5 2 2 2" xfId="54582"/>
    <cellStyle name="Normal 21 3 5 2 3" xfId="40310"/>
    <cellStyle name="Normal 21 3 5 3" xfId="20975"/>
    <cellStyle name="Normal 21 3 5 3 2" xfId="50154"/>
    <cellStyle name="Normal 21 3 5 4" xfId="30119"/>
    <cellStyle name="Normal 21 3 6" xfId="10710"/>
    <cellStyle name="Normal 21 3 6 2" xfId="25146"/>
    <cellStyle name="Normal 21 3 6 2 2" xfId="54325"/>
    <cellStyle name="Normal 21 3 6 3" xfId="39891"/>
    <cellStyle name="Normal 21 3 7" xfId="20718"/>
    <cellStyle name="Normal 21 3 7 2" xfId="49897"/>
    <cellStyle name="Normal 21 3 8" xfId="29592"/>
    <cellStyle name="Normal 21 3 9" xfId="58824"/>
    <cellStyle name="Normal 21 4" xfId="690"/>
    <cellStyle name="Normal 21 4 2" xfId="10946"/>
    <cellStyle name="Normal 21 4 2 2" xfId="25274"/>
    <cellStyle name="Normal 21 4 2 2 2" xfId="54453"/>
    <cellStyle name="Normal 21 4 2 3" xfId="40127"/>
    <cellStyle name="Normal 21 4 3" xfId="20846"/>
    <cellStyle name="Normal 21 4 3 2" xfId="50025"/>
    <cellStyle name="Normal 21 4 4" xfId="29891"/>
    <cellStyle name="Normal 21 5" xfId="587"/>
    <cellStyle name="Normal 21 5 2" xfId="10868"/>
    <cellStyle name="Normal 21 5 2 2" xfId="25247"/>
    <cellStyle name="Normal 21 5 2 2 2" xfId="54426"/>
    <cellStyle name="Normal 21 5 2 3" xfId="40049"/>
    <cellStyle name="Normal 21 5 3" xfId="20819"/>
    <cellStyle name="Normal 21 5 3 2" xfId="49998"/>
    <cellStyle name="Normal 21 5 4" xfId="29792"/>
    <cellStyle name="Normal 21 6" xfId="734"/>
    <cellStyle name="Normal 21 6 2" xfId="10983"/>
    <cellStyle name="Normal 21 6 2 2" xfId="25306"/>
    <cellStyle name="Normal 21 6 2 2 2" xfId="54485"/>
    <cellStyle name="Normal 21 6 2 3" xfId="40164"/>
    <cellStyle name="Normal 21 6 3" xfId="20878"/>
    <cellStyle name="Normal 21 6 3 2" xfId="50057"/>
    <cellStyle name="Normal 21 6 4" xfId="29932"/>
    <cellStyle name="Normal 21 7" xfId="926"/>
    <cellStyle name="Normal 21 7 2" xfId="11127"/>
    <cellStyle name="Normal 21 7 2 2" xfId="25401"/>
    <cellStyle name="Normal 21 7 2 2 2" xfId="54580"/>
    <cellStyle name="Normal 21 7 2 3" xfId="40308"/>
    <cellStyle name="Normal 21 7 3" xfId="20973"/>
    <cellStyle name="Normal 21 7 3 2" xfId="50152"/>
    <cellStyle name="Normal 21 7 4" xfId="30117"/>
    <cellStyle name="Normal 21 8" xfId="10708"/>
    <cellStyle name="Normal 21 8 2" xfId="25144"/>
    <cellStyle name="Normal 21 8 2 2" xfId="54323"/>
    <cellStyle name="Normal 21 8 3" xfId="39889"/>
    <cellStyle name="Normal 21 9" xfId="20716"/>
    <cellStyle name="Normal 21 9 2" xfId="49895"/>
    <cellStyle name="Normal 22" xfId="314"/>
    <cellStyle name="Normal 22 2" xfId="693"/>
    <cellStyle name="Normal 22 2 2" xfId="10949"/>
    <cellStyle name="Normal 22 2 2 2" xfId="25277"/>
    <cellStyle name="Normal 22 2 2 2 2" xfId="54456"/>
    <cellStyle name="Normal 22 2 2 3" xfId="40130"/>
    <cellStyle name="Normal 22 2 3" xfId="20849"/>
    <cellStyle name="Normal 22 2 3 2" xfId="50028"/>
    <cellStyle name="Normal 22 2 4" xfId="29894"/>
    <cellStyle name="Normal 22 3" xfId="584"/>
    <cellStyle name="Normal 22 3 2" xfId="10865"/>
    <cellStyle name="Normal 22 3 2 2" xfId="25244"/>
    <cellStyle name="Normal 22 3 2 2 2" xfId="54423"/>
    <cellStyle name="Normal 22 3 2 3" xfId="40046"/>
    <cellStyle name="Normal 22 3 3" xfId="20816"/>
    <cellStyle name="Normal 22 3 3 2" xfId="49995"/>
    <cellStyle name="Normal 22 3 4" xfId="29789"/>
    <cellStyle name="Normal 22 4" xfId="737"/>
    <cellStyle name="Normal 22 4 2" xfId="10986"/>
    <cellStyle name="Normal 22 4 2 2" xfId="25309"/>
    <cellStyle name="Normal 22 4 2 2 2" xfId="54488"/>
    <cellStyle name="Normal 22 4 2 3" xfId="40167"/>
    <cellStyle name="Normal 22 4 3" xfId="20881"/>
    <cellStyle name="Normal 22 4 3 2" xfId="50060"/>
    <cellStyle name="Normal 22 4 4" xfId="29935"/>
    <cellStyle name="Normal 22 5" xfId="929"/>
    <cellStyle name="Normal 22 5 2" xfId="11130"/>
    <cellStyle name="Normal 22 5 2 2" xfId="25404"/>
    <cellStyle name="Normal 22 5 2 2 2" xfId="54583"/>
    <cellStyle name="Normal 22 5 2 3" xfId="40311"/>
    <cellStyle name="Normal 22 5 3" xfId="20976"/>
    <cellStyle name="Normal 22 5 3 2" xfId="50155"/>
    <cellStyle name="Normal 22 5 4" xfId="30120"/>
    <cellStyle name="Normal 22 6" xfId="10711"/>
    <cellStyle name="Normal 22 6 2" xfId="25147"/>
    <cellStyle name="Normal 22 6 2 2" xfId="54326"/>
    <cellStyle name="Normal 22 6 3" xfId="39892"/>
    <cellStyle name="Normal 22 7" xfId="20719"/>
    <cellStyle name="Normal 22 7 2" xfId="49898"/>
    <cellStyle name="Normal 22 8" xfId="29593"/>
    <cellStyle name="Normal 22 9" xfId="58825"/>
    <cellStyle name="Normal 23" xfId="10536"/>
    <cellStyle name="Normal 24" xfId="315"/>
    <cellStyle name="Normal 24 2" xfId="694"/>
    <cellStyle name="Normal 24 2 2" xfId="10950"/>
    <cellStyle name="Normal 24 2 2 2" xfId="25278"/>
    <cellStyle name="Normal 24 2 2 2 2" xfId="54457"/>
    <cellStyle name="Normal 24 2 2 3" xfId="40131"/>
    <cellStyle name="Normal 24 2 3" xfId="20850"/>
    <cellStyle name="Normal 24 2 3 2" xfId="50029"/>
    <cellStyle name="Normal 24 2 4" xfId="29895"/>
    <cellStyle name="Normal 24 3" xfId="583"/>
    <cellStyle name="Normal 24 3 2" xfId="10864"/>
    <cellStyle name="Normal 24 3 2 2" xfId="25243"/>
    <cellStyle name="Normal 24 3 2 2 2" xfId="54422"/>
    <cellStyle name="Normal 24 3 2 3" xfId="40045"/>
    <cellStyle name="Normal 24 3 3" xfId="20815"/>
    <cellStyle name="Normal 24 3 3 2" xfId="49994"/>
    <cellStyle name="Normal 24 3 4" xfId="29788"/>
    <cellStyle name="Normal 24 4" xfId="738"/>
    <cellStyle name="Normal 24 4 2" xfId="10987"/>
    <cellStyle name="Normal 24 4 2 2" xfId="25310"/>
    <cellStyle name="Normal 24 4 2 2 2" xfId="54489"/>
    <cellStyle name="Normal 24 4 2 3" xfId="40168"/>
    <cellStyle name="Normal 24 4 3" xfId="20882"/>
    <cellStyle name="Normal 24 4 3 2" xfId="50061"/>
    <cellStyle name="Normal 24 4 4" xfId="29936"/>
    <cellStyle name="Normal 24 5" xfId="930"/>
    <cellStyle name="Normal 24 5 2" xfId="11131"/>
    <cellStyle name="Normal 24 5 2 2" xfId="25405"/>
    <cellStyle name="Normal 24 5 2 2 2" xfId="54584"/>
    <cellStyle name="Normal 24 5 2 3" xfId="40312"/>
    <cellStyle name="Normal 24 5 3" xfId="20977"/>
    <cellStyle name="Normal 24 5 3 2" xfId="50156"/>
    <cellStyle name="Normal 24 5 4" xfId="30121"/>
    <cellStyle name="Normal 24 6" xfId="10712"/>
    <cellStyle name="Normal 24 6 2" xfId="25148"/>
    <cellStyle name="Normal 24 6 2 2" xfId="54327"/>
    <cellStyle name="Normal 24 6 3" xfId="39893"/>
    <cellStyle name="Normal 24 7" xfId="20720"/>
    <cellStyle name="Normal 24 7 2" xfId="49899"/>
    <cellStyle name="Normal 24 8" xfId="29594"/>
    <cellStyle name="Normal 24 9" xfId="58826"/>
    <cellStyle name="Normal 25" xfId="10535"/>
    <cellStyle name="Normal 25 2" xfId="25129"/>
    <cellStyle name="Normal 25 2 2" xfId="54308"/>
    <cellStyle name="Normal 25 3" xfId="39718"/>
    <cellStyle name="Normal 26" xfId="20698"/>
    <cellStyle name="Normal 26 2" xfId="29557"/>
    <cellStyle name="Normal 26 2 2" xfId="58736"/>
    <cellStyle name="Normal 26 3" xfId="49879"/>
    <cellStyle name="Normal 27" xfId="20700"/>
    <cellStyle name="Normal 28" xfId="20699"/>
    <cellStyle name="Normal 28 2" xfId="49880"/>
    <cellStyle name="Normal 29" xfId="58834"/>
    <cellStyle name="Normal 3" xfId="316"/>
    <cellStyle name="Normal 3 2" xfId="317"/>
    <cellStyle name="Normal 3 2 2" xfId="695"/>
    <cellStyle name="Normal 3 2 2 2" xfId="10951"/>
    <cellStyle name="Normal 3 2 2 2 2" xfId="25279"/>
    <cellStyle name="Normal 3 2 2 2 2 2" xfId="54458"/>
    <cellStyle name="Normal 3 2 2 2 3" xfId="40132"/>
    <cellStyle name="Normal 3 2 2 3" xfId="20851"/>
    <cellStyle name="Normal 3 2 2 3 2" xfId="50030"/>
    <cellStyle name="Normal 3 2 2 4" xfId="29896"/>
    <cellStyle name="Normal 3 2 3" xfId="582"/>
    <cellStyle name="Normal 3 2 3 2" xfId="10863"/>
    <cellStyle name="Normal 3 2 3 2 2" xfId="25242"/>
    <cellStyle name="Normal 3 2 3 2 2 2" xfId="54421"/>
    <cellStyle name="Normal 3 2 3 2 3" xfId="40044"/>
    <cellStyle name="Normal 3 2 3 3" xfId="20814"/>
    <cellStyle name="Normal 3 2 3 3 2" xfId="49993"/>
    <cellStyle name="Normal 3 2 3 4" xfId="29787"/>
    <cellStyle name="Normal 3 2 4" xfId="739"/>
    <cellStyle name="Normal 3 2 4 2" xfId="10988"/>
    <cellStyle name="Normal 3 2 4 2 2" xfId="25311"/>
    <cellStyle name="Normal 3 2 4 2 2 2" xfId="54490"/>
    <cellStyle name="Normal 3 2 4 2 3" xfId="40169"/>
    <cellStyle name="Normal 3 2 4 3" xfId="20883"/>
    <cellStyle name="Normal 3 2 4 3 2" xfId="50062"/>
    <cellStyle name="Normal 3 2 4 4" xfId="29937"/>
    <cellStyle name="Normal 3 2 5" xfId="931"/>
    <cellStyle name="Normal 3 2 5 2" xfId="11132"/>
    <cellStyle name="Normal 3 2 5 2 2" xfId="25406"/>
    <cellStyle name="Normal 3 2 5 2 2 2" xfId="54585"/>
    <cellStyle name="Normal 3 2 5 2 3" xfId="40313"/>
    <cellStyle name="Normal 3 2 5 3" xfId="20978"/>
    <cellStyle name="Normal 3 2 5 3 2" xfId="50157"/>
    <cellStyle name="Normal 3 2 5 4" xfId="30122"/>
    <cellStyle name="Normal 3 2 6" xfId="10714"/>
    <cellStyle name="Normal 3 2 6 2" xfId="25149"/>
    <cellStyle name="Normal 3 2 6 2 2" xfId="54328"/>
    <cellStyle name="Normal 3 2 6 3" xfId="39895"/>
    <cellStyle name="Normal 3 2 7" xfId="20721"/>
    <cellStyle name="Normal 3 2 7 2" xfId="49900"/>
    <cellStyle name="Normal 3 2 8" xfId="29595"/>
    <cellStyle name="Normal 3 2 9" xfId="58827"/>
    <cellStyle name="Normal 3 3" xfId="318"/>
    <cellStyle name="Normal 3 3 2" xfId="696"/>
    <cellStyle name="Normal 3 3 2 2" xfId="10952"/>
    <cellStyle name="Normal 3 3 2 2 2" xfId="25280"/>
    <cellStyle name="Normal 3 3 2 2 2 2" xfId="54459"/>
    <cellStyle name="Normal 3 3 2 2 3" xfId="40133"/>
    <cellStyle name="Normal 3 3 2 3" xfId="20852"/>
    <cellStyle name="Normal 3 3 2 3 2" xfId="50031"/>
    <cellStyle name="Normal 3 3 2 4" xfId="29897"/>
    <cellStyle name="Normal 3 3 3" xfId="581"/>
    <cellStyle name="Normal 3 3 3 2" xfId="10862"/>
    <cellStyle name="Normal 3 3 3 2 2" xfId="25241"/>
    <cellStyle name="Normal 3 3 3 2 2 2" xfId="54420"/>
    <cellStyle name="Normal 3 3 3 2 3" xfId="40043"/>
    <cellStyle name="Normal 3 3 3 3" xfId="20813"/>
    <cellStyle name="Normal 3 3 3 3 2" xfId="49992"/>
    <cellStyle name="Normal 3 3 3 4" xfId="29786"/>
    <cellStyle name="Normal 3 3 4" xfId="740"/>
    <cellStyle name="Normal 3 3 4 2" xfId="10989"/>
    <cellStyle name="Normal 3 3 4 2 2" xfId="25312"/>
    <cellStyle name="Normal 3 3 4 2 2 2" xfId="54491"/>
    <cellStyle name="Normal 3 3 4 2 3" xfId="40170"/>
    <cellStyle name="Normal 3 3 4 3" xfId="20884"/>
    <cellStyle name="Normal 3 3 4 3 2" xfId="50063"/>
    <cellStyle name="Normal 3 3 4 4" xfId="29938"/>
    <cellStyle name="Normal 3 3 5" xfId="932"/>
    <cellStyle name="Normal 3 3 5 2" xfId="11133"/>
    <cellStyle name="Normal 3 3 5 2 2" xfId="25407"/>
    <cellStyle name="Normal 3 3 5 2 2 2" xfId="54586"/>
    <cellStyle name="Normal 3 3 5 2 3" xfId="40314"/>
    <cellStyle name="Normal 3 3 5 3" xfId="20979"/>
    <cellStyle name="Normal 3 3 5 3 2" xfId="50158"/>
    <cellStyle name="Normal 3 3 5 4" xfId="30123"/>
    <cellStyle name="Normal 3 3 6" xfId="10715"/>
    <cellStyle name="Normal 3 3 6 2" xfId="25150"/>
    <cellStyle name="Normal 3 3 6 2 2" xfId="54329"/>
    <cellStyle name="Normal 3 3 6 3" xfId="39896"/>
    <cellStyle name="Normal 3 3 7" xfId="20722"/>
    <cellStyle name="Normal 3 3 7 2" xfId="49901"/>
    <cellStyle name="Normal 3 3 8" xfId="29596"/>
    <cellStyle name="Normal 3 3 9" xfId="58828"/>
    <cellStyle name="Normal 30" xfId="58835"/>
    <cellStyle name="Normal 31" xfId="58833"/>
    <cellStyle name="Normal 4" xfId="319"/>
    <cellStyle name="Normal 5" xfId="3"/>
    <cellStyle name="Normal 5 2" xfId="559"/>
    <cellStyle name="Normal 5 2 2" xfId="10845"/>
    <cellStyle name="Normal 5 2 2 2" xfId="25228"/>
    <cellStyle name="Normal 5 2 2 2 2" xfId="54407"/>
    <cellStyle name="Normal 5 2 2 3" xfId="40026"/>
    <cellStyle name="Normal 5 2 3" xfId="20800"/>
    <cellStyle name="Normal 5 2 3 2" xfId="49979"/>
    <cellStyle name="Normal 5 2 4" xfId="29764"/>
    <cellStyle name="Normal 5 3" xfId="762"/>
    <cellStyle name="Normal 5 3 2" xfId="11004"/>
    <cellStyle name="Normal 5 3 2 2" xfId="25325"/>
    <cellStyle name="Normal 5 3 2 2 2" xfId="54504"/>
    <cellStyle name="Normal 5 3 2 3" xfId="40185"/>
    <cellStyle name="Normal 5 3 3" xfId="20897"/>
    <cellStyle name="Normal 5 3 3 2" xfId="50076"/>
    <cellStyle name="Normal 5 3 4" xfId="29960"/>
    <cellStyle name="Normal 5 4" xfId="954"/>
    <cellStyle name="Normal 5 4 2" xfId="11149"/>
    <cellStyle name="Normal 5 4 2 2" xfId="25420"/>
    <cellStyle name="Normal 5 4 2 2 2" xfId="54599"/>
    <cellStyle name="Normal 5 4 2 3" xfId="40330"/>
    <cellStyle name="Normal 5 4 3" xfId="20992"/>
    <cellStyle name="Normal 5 4 3 2" xfId="50171"/>
    <cellStyle name="Normal 5 4 4" xfId="30145"/>
    <cellStyle name="Normal 5 5" xfId="1104"/>
    <cellStyle name="Normal 5 5 2" xfId="11258"/>
    <cellStyle name="Normal 5 5 2 2" xfId="25486"/>
    <cellStyle name="Normal 5 5 2 2 2" xfId="54665"/>
    <cellStyle name="Normal 5 5 2 3" xfId="40439"/>
    <cellStyle name="Normal 5 5 3" xfId="21058"/>
    <cellStyle name="Normal 5 5 3 2" xfId="50237"/>
    <cellStyle name="Normal 5 5 4" xfId="30292"/>
    <cellStyle name="Normal 5 6" xfId="10538"/>
    <cellStyle name="Normal 5 6 2" xfId="25130"/>
    <cellStyle name="Normal 5 6 2 2" xfId="54309"/>
    <cellStyle name="Normal 5 6 3" xfId="39719"/>
    <cellStyle name="Normal 5 7" xfId="20702"/>
    <cellStyle name="Normal 5 7 2" xfId="49881"/>
    <cellStyle name="Normal 5 8" xfId="29558"/>
    <cellStyle name="Normal 5 9" xfId="58829"/>
    <cellStyle name="Normal 6" xfId="320"/>
    <cellStyle name="Normal 6 2" xfId="321"/>
    <cellStyle name="Normal 6 2 2" xfId="697"/>
    <cellStyle name="Normal 6 2 2 2" xfId="10953"/>
    <cellStyle name="Normal 6 2 2 2 2" xfId="25281"/>
    <cellStyle name="Normal 6 2 2 2 2 2" xfId="54460"/>
    <cellStyle name="Normal 6 2 2 2 3" xfId="40134"/>
    <cellStyle name="Normal 6 2 2 3" xfId="20853"/>
    <cellStyle name="Normal 6 2 2 3 2" xfId="50032"/>
    <cellStyle name="Normal 6 2 2 4" xfId="29898"/>
    <cellStyle name="Normal 6 2 3" xfId="580"/>
    <cellStyle name="Normal 6 2 3 2" xfId="10861"/>
    <cellStyle name="Normal 6 2 3 2 2" xfId="25240"/>
    <cellStyle name="Normal 6 2 3 2 2 2" xfId="54419"/>
    <cellStyle name="Normal 6 2 3 2 3" xfId="40042"/>
    <cellStyle name="Normal 6 2 3 3" xfId="20812"/>
    <cellStyle name="Normal 6 2 3 3 2" xfId="49991"/>
    <cellStyle name="Normal 6 2 3 4" xfId="29785"/>
    <cellStyle name="Normal 6 2 4" xfId="741"/>
    <cellStyle name="Normal 6 2 4 2" xfId="10990"/>
    <cellStyle name="Normal 6 2 4 2 2" xfId="25313"/>
    <cellStyle name="Normal 6 2 4 2 2 2" xfId="54492"/>
    <cellStyle name="Normal 6 2 4 2 3" xfId="40171"/>
    <cellStyle name="Normal 6 2 4 3" xfId="20885"/>
    <cellStyle name="Normal 6 2 4 3 2" xfId="50064"/>
    <cellStyle name="Normal 6 2 4 4" xfId="29939"/>
    <cellStyle name="Normal 6 2 5" xfId="933"/>
    <cellStyle name="Normal 6 2 5 2" xfId="11134"/>
    <cellStyle name="Normal 6 2 5 2 2" xfId="25408"/>
    <cellStyle name="Normal 6 2 5 2 2 2" xfId="54587"/>
    <cellStyle name="Normal 6 2 5 2 3" xfId="40315"/>
    <cellStyle name="Normal 6 2 5 3" xfId="20980"/>
    <cellStyle name="Normal 6 2 5 3 2" xfId="50159"/>
    <cellStyle name="Normal 6 2 5 4" xfId="30124"/>
    <cellStyle name="Normal 6 2 6" xfId="10718"/>
    <cellStyle name="Normal 6 2 6 2" xfId="25151"/>
    <cellStyle name="Normal 6 2 6 2 2" xfId="54330"/>
    <cellStyle name="Normal 6 2 6 3" xfId="39899"/>
    <cellStyle name="Normal 6 2 7" xfId="20723"/>
    <cellStyle name="Normal 6 2 7 2" xfId="49902"/>
    <cellStyle name="Normal 6 2 8" xfId="29597"/>
    <cellStyle name="Normal 6 2 9" xfId="58830"/>
    <cellStyle name="Normal 6 3" xfId="322"/>
    <cellStyle name="Normal 6 3 2" xfId="698"/>
    <cellStyle name="Normal 6 3 2 2" xfId="10954"/>
    <cellStyle name="Normal 6 3 2 2 2" xfId="25282"/>
    <cellStyle name="Normal 6 3 2 2 2 2" xfId="54461"/>
    <cellStyle name="Normal 6 3 2 2 3" xfId="40135"/>
    <cellStyle name="Normal 6 3 2 3" xfId="20854"/>
    <cellStyle name="Normal 6 3 2 3 2" xfId="50033"/>
    <cellStyle name="Normal 6 3 2 4" xfId="29899"/>
    <cellStyle name="Normal 6 3 3" xfId="579"/>
    <cellStyle name="Normal 6 3 3 2" xfId="10860"/>
    <cellStyle name="Normal 6 3 3 2 2" xfId="25239"/>
    <cellStyle name="Normal 6 3 3 2 2 2" xfId="54418"/>
    <cellStyle name="Normal 6 3 3 2 3" xfId="40041"/>
    <cellStyle name="Normal 6 3 3 3" xfId="20811"/>
    <cellStyle name="Normal 6 3 3 3 2" xfId="49990"/>
    <cellStyle name="Normal 6 3 3 4" xfId="29784"/>
    <cellStyle name="Normal 6 3 4" xfId="742"/>
    <cellStyle name="Normal 6 3 4 2" xfId="10991"/>
    <cellStyle name="Normal 6 3 4 2 2" xfId="25314"/>
    <cellStyle name="Normal 6 3 4 2 2 2" xfId="54493"/>
    <cellStyle name="Normal 6 3 4 2 3" xfId="40172"/>
    <cellStyle name="Normal 6 3 4 3" xfId="20886"/>
    <cellStyle name="Normal 6 3 4 3 2" xfId="50065"/>
    <cellStyle name="Normal 6 3 4 4" xfId="29940"/>
    <cellStyle name="Normal 6 3 5" xfId="934"/>
    <cellStyle name="Normal 6 3 5 2" xfId="11135"/>
    <cellStyle name="Normal 6 3 5 2 2" xfId="25409"/>
    <cellStyle name="Normal 6 3 5 2 2 2" xfId="54588"/>
    <cellStyle name="Normal 6 3 5 2 3" xfId="40316"/>
    <cellStyle name="Normal 6 3 5 3" xfId="20981"/>
    <cellStyle name="Normal 6 3 5 3 2" xfId="50160"/>
    <cellStyle name="Normal 6 3 5 4" xfId="30125"/>
    <cellStyle name="Normal 6 3 6" xfId="10719"/>
    <cellStyle name="Normal 6 3 6 2" xfId="25152"/>
    <cellStyle name="Normal 6 3 6 2 2" xfId="54331"/>
    <cellStyle name="Normal 6 3 6 3" xfId="39900"/>
    <cellStyle name="Normal 6 3 7" xfId="20724"/>
    <cellStyle name="Normal 6 3 7 2" xfId="49903"/>
    <cellStyle name="Normal 6 3 8" xfId="29598"/>
    <cellStyle name="Normal 6 3 9" xfId="58831"/>
    <cellStyle name="Normal 7" xfId="323"/>
    <cellStyle name="Normal 8" xfId="324"/>
    <cellStyle name="Normal 9" xfId="325"/>
    <cellStyle name="Nota 10" xfId="326"/>
    <cellStyle name="Nota 10 10" xfId="11911"/>
    <cellStyle name="Nota 10 10 2" xfId="41092"/>
    <cellStyle name="Nota 10 11" xfId="58737"/>
    <cellStyle name="Nota 10 12" xfId="29599"/>
    <cellStyle name="Nota 10 2" xfId="439"/>
    <cellStyle name="Nota 10 2 10" xfId="16510"/>
    <cellStyle name="Nota 10 2 10 2" xfId="45691"/>
    <cellStyle name="Nota 10 2 11" xfId="58782"/>
    <cellStyle name="Nota 10 2 12" xfId="29645"/>
    <cellStyle name="Nota 10 2 2" xfId="529"/>
    <cellStyle name="Nota 10 2 2 10" xfId="29735"/>
    <cellStyle name="Nota 10 2 2 2" xfId="882"/>
    <cellStyle name="Nota 10 2 2 2 2" xfId="1820"/>
    <cellStyle name="Nota 10 2 2 2 2 2" xfId="3620"/>
    <cellStyle name="Nota 10 2 2 2 2 2 2" xfId="9963"/>
    <cellStyle name="Nota 10 2 2 2 2 2 2 2" xfId="20349"/>
    <cellStyle name="Nota 10 2 2 2 2 2 2 2 2" xfId="49530"/>
    <cellStyle name="Nota 10 2 2 2 2 2 2 3" xfId="39146"/>
    <cellStyle name="Nota 10 2 2 2 2 2 3" xfId="13179"/>
    <cellStyle name="Nota 10 2 2 2 2 2 3 2" xfId="42360"/>
    <cellStyle name="Nota 10 2 2 2 2 2 4" xfId="32803"/>
    <cellStyle name="Nota 10 2 2 2 2 3" xfId="9630"/>
    <cellStyle name="Nota 10 2 2 2 2 3 2" xfId="20148"/>
    <cellStyle name="Nota 10 2 2 2 2 3 2 2" xfId="49329"/>
    <cellStyle name="Nota 10 2 2 2 2 3 3" xfId="38813"/>
    <cellStyle name="Nota 10 2 2 2 2 4" xfId="16281"/>
    <cellStyle name="Nota 10 2 2 2 2 4 2" xfId="45462"/>
    <cellStyle name="Nota 10 2 2 2 2 5" xfId="31003"/>
    <cellStyle name="Nota 10 2 2 2 3" xfId="2720"/>
    <cellStyle name="Nota 10 2 2 2 3 2" xfId="8199"/>
    <cellStyle name="Nota 10 2 2 2 3 2 2" xfId="19286"/>
    <cellStyle name="Nota 10 2 2 2 3 2 2 2" xfId="48467"/>
    <cellStyle name="Nota 10 2 2 2 3 2 3" xfId="37382"/>
    <cellStyle name="Nota 10 2 2 2 3 3" xfId="14379"/>
    <cellStyle name="Nota 10 2 2 2 3 3 2" xfId="43560"/>
    <cellStyle name="Nota 10 2 2 2 3 4" xfId="31903"/>
    <cellStyle name="Nota 10 2 2 2 4" xfId="9108"/>
    <cellStyle name="Nota 10 2 2 2 4 2" xfId="19832"/>
    <cellStyle name="Nota 10 2 2 2 4 2 2" xfId="49013"/>
    <cellStyle name="Nota 10 2 2 2 4 3" xfId="38291"/>
    <cellStyle name="Nota 10 2 2 2 5" xfId="12930"/>
    <cellStyle name="Nota 10 2 2 2 5 2" xfId="42111"/>
    <cellStyle name="Nota 10 2 2 2 6" xfId="30079"/>
    <cellStyle name="Nota 10 2 2 3" xfId="1074"/>
    <cellStyle name="Nota 10 2 2 3 2" xfId="1984"/>
    <cellStyle name="Nota 10 2 2 3 2 2" xfId="3784"/>
    <cellStyle name="Nota 10 2 2 3 2 2 2" xfId="9966"/>
    <cellStyle name="Nota 10 2 2 3 2 2 2 2" xfId="20351"/>
    <cellStyle name="Nota 10 2 2 3 2 2 2 2 2" xfId="49532"/>
    <cellStyle name="Nota 10 2 2 3 2 2 2 3" xfId="39149"/>
    <cellStyle name="Nota 10 2 2 3 2 2 3" xfId="14496"/>
    <cellStyle name="Nota 10 2 2 3 2 2 3 2" xfId="43677"/>
    <cellStyle name="Nota 10 2 2 3 2 2 4" xfId="32967"/>
    <cellStyle name="Nota 10 2 2 3 2 3" xfId="9512"/>
    <cellStyle name="Nota 10 2 2 3 2 3 2" xfId="20073"/>
    <cellStyle name="Nota 10 2 2 3 2 3 2 2" xfId="49254"/>
    <cellStyle name="Nota 10 2 2 3 2 3 3" xfId="38695"/>
    <cellStyle name="Nota 10 2 2 3 2 4" xfId="11561"/>
    <cellStyle name="Nota 10 2 2 3 2 4 2" xfId="40742"/>
    <cellStyle name="Nota 10 2 2 3 2 5" xfId="31167"/>
    <cellStyle name="Nota 10 2 2 3 3" xfId="2884"/>
    <cellStyle name="Nota 10 2 2 3 3 2" xfId="8077"/>
    <cellStyle name="Nota 10 2 2 3 3 2 2" xfId="19208"/>
    <cellStyle name="Nota 10 2 2 3 3 2 2 2" xfId="48389"/>
    <cellStyle name="Nota 10 2 2 3 3 2 3" xfId="37260"/>
    <cellStyle name="Nota 10 2 2 3 3 3" xfId="17656"/>
    <cellStyle name="Nota 10 2 2 3 3 3 2" xfId="46837"/>
    <cellStyle name="Nota 10 2 2 3 3 4" xfId="32067"/>
    <cellStyle name="Nota 10 2 2 3 4" xfId="10212"/>
    <cellStyle name="Nota 10 2 2 3 4 2" xfId="20498"/>
    <cellStyle name="Nota 10 2 2 3 4 2 2" xfId="49679"/>
    <cellStyle name="Nota 10 2 2 3 4 3" xfId="39395"/>
    <cellStyle name="Nota 10 2 2 3 5" xfId="11412"/>
    <cellStyle name="Nota 10 2 2 3 5 2" xfId="40593"/>
    <cellStyle name="Nota 10 2 2 3 6" xfId="30264"/>
    <cellStyle name="Nota 10 2 2 4" xfId="1224"/>
    <cellStyle name="Nota 10 2 2 4 2" xfId="2128"/>
    <cellStyle name="Nota 10 2 2 4 2 2" xfId="3928"/>
    <cellStyle name="Nota 10 2 2 4 2 2 2" xfId="7152"/>
    <cellStyle name="Nota 10 2 2 4 2 2 2 2" xfId="18656"/>
    <cellStyle name="Nota 10 2 2 4 2 2 2 2 2" xfId="47837"/>
    <cellStyle name="Nota 10 2 2 4 2 2 2 3" xfId="36335"/>
    <cellStyle name="Nota 10 2 2 4 2 2 3" xfId="14322"/>
    <cellStyle name="Nota 10 2 2 4 2 2 3 2" xfId="43503"/>
    <cellStyle name="Nota 10 2 2 4 2 2 4" xfId="33111"/>
    <cellStyle name="Nota 10 2 2 4 2 3" xfId="7882"/>
    <cellStyle name="Nota 10 2 2 4 2 3 2" xfId="19093"/>
    <cellStyle name="Nota 10 2 2 4 2 3 2 2" xfId="48274"/>
    <cellStyle name="Nota 10 2 2 4 2 3 3" xfId="37065"/>
    <cellStyle name="Nota 10 2 2 4 2 4" xfId="11939"/>
    <cellStyle name="Nota 10 2 2 4 2 4 2" xfId="41120"/>
    <cellStyle name="Nota 10 2 2 4 2 5" xfId="31311"/>
    <cellStyle name="Nota 10 2 2 4 3" xfId="3028"/>
    <cellStyle name="Nota 10 2 2 4 3 2" xfId="8655"/>
    <cellStyle name="Nota 10 2 2 4 3 2 2" xfId="19564"/>
    <cellStyle name="Nota 10 2 2 4 3 2 2 2" xfId="48745"/>
    <cellStyle name="Nota 10 2 2 4 3 2 3" xfId="37838"/>
    <cellStyle name="Nota 10 2 2 4 3 3" xfId="13500"/>
    <cellStyle name="Nota 10 2 2 4 3 3 2" xfId="42681"/>
    <cellStyle name="Nota 10 2 2 4 3 4" xfId="32211"/>
    <cellStyle name="Nota 10 2 2 4 4" xfId="8294"/>
    <cellStyle name="Nota 10 2 2 4 4 2" xfId="19341"/>
    <cellStyle name="Nota 10 2 2 4 4 2 2" xfId="48522"/>
    <cellStyle name="Nota 10 2 2 4 4 3" xfId="37477"/>
    <cellStyle name="Nota 10 2 2 4 5" xfId="12803"/>
    <cellStyle name="Nota 10 2 2 4 5 2" xfId="41984"/>
    <cellStyle name="Nota 10 2 2 4 6" xfId="30411"/>
    <cellStyle name="Nota 10 2 2 5" xfId="1370"/>
    <cellStyle name="Nota 10 2 2 5 2" xfId="2272"/>
    <cellStyle name="Nota 10 2 2 5 2 2" xfId="4072"/>
    <cellStyle name="Nota 10 2 2 5 2 2 2" xfId="7008"/>
    <cellStyle name="Nota 10 2 2 5 2 2 2 2" xfId="18575"/>
    <cellStyle name="Nota 10 2 2 5 2 2 2 2 2" xfId="47756"/>
    <cellStyle name="Nota 10 2 2 5 2 2 2 3" xfId="36191"/>
    <cellStyle name="Nota 10 2 2 5 2 2 3" xfId="16533"/>
    <cellStyle name="Nota 10 2 2 5 2 2 3 2" xfId="45714"/>
    <cellStyle name="Nota 10 2 2 5 2 2 4" xfId="33255"/>
    <cellStyle name="Nota 10 2 2 5 2 3" xfId="7666"/>
    <cellStyle name="Nota 10 2 2 5 2 3 2" xfId="18958"/>
    <cellStyle name="Nota 10 2 2 5 2 3 2 2" xfId="48139"/>
    <cellStyle name="Nota 10 2 2 5 2 3 3" xfId="36849"/>
    <cellStyle name="Nota 10 2 2 5 2 4" xfId="10819"/>
    <cellStyle name="Nota 10 2 2 5 2 4 2" xfId="40000"/>
    <cellStyle name="Nota 10 2 2 5 2 5" xfId="31455"/>
    <cellStyle name="Nota 10 2 2 5 3" xfId="3172"/>
    <cellStyle name="Nota 10 2 2 5 3 2" xfId="7197"/>
    <cellStyle name="Nota 10 2 2 5 3 2 2" xfId="18680"/>
    <cellStyle name="Nota 10 2 2 5 3 2 2 2" xfId="47861"/>
    <cellStyle name="Nota 10 2 2 5 3 2 3" xfId="36380"/>
    <cellStyle name="Nota 10 2 2 5 3 3" xfId="14581"/>
    <cellStyle name="Nota 10 2 2 5 3 3 2" xfId="43762"/>
    <cellStyle name="Nota 10 2 2 5 3 4" xfId="32355"/>
    <cellStyle name="Nota 10 2 2 5 4" xfId="10364"/>
    <cellStyle name="Nota 10 2 2 5 4 2" xfId="20593"/>
    <cellStyle name="Nota 10 2 2 5 4 2 2" xfId="49774"/>
    <cellStyle name="Nota 10 2 2 5 4 3" xfId="39547"/>
    <cellStyle name="Nota 10 2 2 5 5" xfId="16596"/>
    <cellStyle name="Nota 10 2 2 5 5 2" xfId="45777"/>
    <cellStyle name="Nota 10 2 2 5 6" xfId="30555"/>
    <cellStyle name="Nota 10 2 2 6" xfId="1552"/>
    <cellStyle name="Nota 10 2 2 6 2" xfId="3352"/>
    <cellStyle name="Nota 10 2 2 6 2 2" xfId="8192"/>
    <cellStyle name="Nota 10 2 2 6 2 2 2" xfId="19282"/>
    <cellStyle name="Nota 10 2 2 6 2 2 2 2" xfId="48463"/>
    <cellStyle name="Nota 10 2 2 6 2 2 3" xfId="37375"/>
    <cellStyle name="Nota 10 2 2 6 2 3" xfId="14523"/>
    <cellStyle name="Nota 10 2 2 6 2 3 2" xfId="43704"/>
    <cellStyle name="Nota 10 2 2 6 2 4" xfId="32535"/>
    <cellStyle name="Nota 10 2 2 6 3" xfId="7761"/>
    <cellStyle name="Nota 10 2 2 6 3 2" xfId="19017"/>
    <cellStyle name="Nota 10 2 2 6 3 2 2" xfId="48198"/>
    <cellStyle name="Nota 10 2 2 6 3 3" xfId="36944"/>
    <cellStyle name="Nota 10 2 2 6 4" xfId="10673"/>
    <cellStyle name="Nota 10 2 2 6 4 2" xfId="39854"/>
    <cellStyle name="Nota 10 2 2 6 5" xfId="30735"/>
    <cellStyle name="Nota 10 2 2 7" xfId="2452"/>
    <cellStyle name="Nota 10 2 2 7 2" xfId="8561"/>
    <cellStyle name="Nota 10 2 2 7 2 2" xfId="19511"/>
    <cellStyle name="Nota 10 2 2 7 2 2 2" xfId="48692"/>
    <cellStyle name="Nota 10 2 2 7 2 3" xfId="37744"/>
    <cellStyle name="Nota 10 2 2 7 3" xfId="16425"/>
    <cellStyle name="Nota 10 2 2 7 3 2" xfId="45606"/>
    <cellStyle name="Nota 10 2 2 7 4" xfId="31635"/>
    <cellStyle name="Nota 10 2 2 8" xfId="8024"/>
    <cellStyle name="Nota 10 2 2 8 2" xfId="19180"/>
    <cellStyle name="Nota 10 2 2 8 2 2" xfId="48361"/>
    <cellStyle name="Nota 10 2 2 8 3" xfId="37207"/>
    <cellStyle name="Nota 10 2 2 9" xfId="16751"/>
    <cellStyle name="Nota 10 2 2 9 2" xfId="45932"/>
    <cellStyle name="Nota 10 2 3" xfId="792"/>
    <cellStyle name="Nota 10 2 3 2" xfId="1730"/>
    <cellStyle name="Nota 10 2 3 2 2" xfId="3530"/>
    <cellStyle name="Nota 10 2 3 2 2 2" xfId="8230"/>
    <cellStyle name="Nota 10 2 3 2 2 2 2" xfId="19303"/>
    <cellStyle name="Nota 10 2 3 2 2 2 2 2" xfId="48484"/>
    <cellStyle name="Nota 10 2 3 2 2 2 3" xfId="37413"/>
    <cellStyle name="Nota 10 2 3 2 2 3" xfId="13433"/>
    <cellStyle name="Nota 10 2 3 2 2 3 2" xfId="42614"/>
    <cellStyle name="Nota 10 2 3 2 2 4" xfId="32713"/>
    <cellStyle name="Nota 10 2 3 2 3" xfId="10066"/>
    <cellStyle name="Nota 10 2 3 2 3 2" xfId="20415"/>
    <cellStyle name="Nota 10 2 3 2 3 2 2" xfId="49596"/>
    <cellStyle name="Nota 10 2 3 2 3 3" xfId="39249"/>
    <cellStyle name="Nota 10 2 3 2 4" xfId="17598"/>
    <cellStyle name="Nota 10 2 3 2 4 2" xfId="46779"/>
    <cellStyle name="Nota 10 2 3 2 5" xfId="30913"/>
    <cellStyle name="Nota 10 2 3 3" xfId="2630"/>
    <cellStyle name="Nota 10 2 3 3 2" xfId="9291"/>
    <cellStyle name="Nota 10 2 3 3 2 2" xfId="19946"/>
    <cellStyle name="Nota 10 2 3 3 2 2 2" xfId="49127"/>
    <cellStyle name="Nota 10 2 3 3 2 3" xfId="38474"/>
    <cellStyle name="Nota 10 2 3 3 3" xfId="11715"/>
    <cellStyle name="Nota 10 2 3 3 3 2" xfId="40896"/>
    <cellStyle name="Nota 10 2 3 3 4" xfId="31813"/>
    <cellStyle name="Nota 10 2 3 4" xfId="8502"/>
    <cellStyle name="Nota 10 2 3 4 2" xfId="19474"/>
    <cellStyle name="Nota 10 2 3 4 2 2" xfId="48655"/>
    <cellStyle name="Nota 10 2 3 4 3" xfId="37685"/>
    <cellStyle name="Nota 10 2 3 5" xfId="17927"/>
    <cellStyle name="Nota 10 2 3 5 2" xfId="47108"/>
    <cellStyle name="Nota 10 2 3 6" xfId="29989"/>
    <cellStyle name="Nota 10 2 4" xfId="984"/>
    <cellStyle name="Nota 10 2 4 2" xfId="1894"/>
    <cellStyle name="Nota 10 2 4 2 2" xfId="3694"/>
    <cellStyle name="Nota 10 2 4 2 2 2" xfId="7583"/>
    <cellStyle name="Nota 10 2 4 2 2 2 2" xfId="18909"/>
    <cellStyle name="Nota 10 2 4 2 2 2 2 2" xfId="48090"/>
    <cellStyle name="Nota 10 2 4 2 2 2 3" xfId="36766"/>
    <cellStyle name="Nota 10 2 4 2 2 3" xfId="16110"/>
    <cellStyle name="Nota 10 2 4 2 2 3 2" xfId="45291"/>
    <cellStyle name="Nota 10 2 4 2 2 4" xfId="32877"/>
    <cellStyle name="Nota 10 2 4 2 3" xfId="9900"/>
    <cellStyle name="Nota 10 2 4 2 3 2" xfId="20311"/>
    <cellStyle name="Nota 10 2 4 2 3 2 2" xfId="49492"/>
    <cellStyle name="Nota 10 2 4 2 3 3" xfId="39083"/>
    <cellStyle name="Nota 10 2 4 2 4" xfId="14826"/>
    <cellStyle name="Nota 10 2 4 2 4 2" xfId="44007"/>
    <cellStyle name="Nota 10 2 4 2 5" xfId="31077"/>
    <cellStyle name="Nota 10 2 4 3" xfId="2794"/>
    <cellStyle name="Nota 10 2 4 3 2" xfId="9125"/>
    <cellStyle name="Nota 10 2 4 3 2 2" xfId="19842"/>
    <cellStyle name="Nota 10 2 4 3 2 2 2" xfId="49023"/>
    <cellStyle name="Nota 10 2 4 3 2 3" xfId="38308"/>
    <cellStyle name="Nota 10 2 4 3 3" xfId="14052"/>
    <cellStyle name="Nota 10 2 4 3 3 2" xfId="43233"/>
    <cellStyle name="Nota 10 2 4 3 4" xfId="31977"/>
    <cellStyle name="Nota 10 2 4 4" xfId="8297"/>
    <cellStyle name="Nota 10 2 4 4 2" xfId="19343"/>
    <cellStyle name="Nota 10 2 4 4 2 2" xfId="48524"/>
    <cellStyle name="Nota 10 2 4 4 3" xfId="37480"/>
    <cellStyle name="Nota 10 2 4 5" xfId="16936"/>
    <cellStyle name="Nota 10 2 4 5 2" xfId="46117"/>
    <cellStyle name="Nota 10 2 4 6" xfId="30174"/>
    <cellStyle name="Nota 10 2 5" xfId="1134"/>
    <cellStyle name="Nota 10 2 5 2" xfId="2038"/>
    <cellStyle name="Nota 10 2 5 2 2" xfId="3838"/>
    <cellStyle name="Nota 10 2 5 2 2 2" xfId="10259"/>
    <cellStyle name="Nota 10 2 5 2 2 2 2" xfId="20524"/>
    <cellStyle name="Nota 10 2 5 2 2 2 2 2" xfId="49705"/>
    <cellStyle name="Nota 10 2 5 2 2 2 3" xfId="39442"/>
    <cellStyle name="Nota 10 2 5 2 2 3" xfId="11623"/>
    <cellStyle name="Nota 10 2 5 2 2 3 2" xfId="40804"/>
    <cellStyle name="Nota 10 2 5 2 2 4" xfId="33021"/>
    <cellStyle name="Nota 10 2 5 2 3" xfId="10437"/>
    <cellStyle name="Nota 10 2 5 2 3 2" xfId="20638"/>
    <cellStyle name="Nota 10 2 5 2 3 2 2" xfId="49819"/>
    <cellStyle name="Nota 10 2 5 2 3 3" xfId="39620"/>
    <cellStyle name="Nota 10 2 5 2 4" xfId="16194"/>
    <cellStyle name="Nota 10 2 5 2 4 2" xfId="45375"/>
    <cellStyle name="Nota 10 2 5 2 5" xfId="31221"/>
    <cellStyle name="Nota 10 2 5 3" xfId="2938"/>
    <cellStyle name="Nota 10 2 5 3 2" xfId="9660"/>
    <cellStyle name="Nota 10 2 5 3 2 2" xfId="20165"/>
    <cellStyle name="Nota 10 2 5 3 2 2 2" xfId="49346"/>
    <cellStyle name="Nota 10 2 5 3 2 3" xfId="38843"/>
    <cellStyle name="Nota 10 2 5 3 3" xfId="15136"/>
    <cellStyle name="Nota 10 2 5 3 3 2" xfId="44317"/>
    <cellStyle name="Nota 10 2 5 3 4" xfId="32121"/>
    <cellStyle name="Nota 10 2 5 4" xfId="10250"/>
    <cellStyle name="Nota 10 2 5 4 2" xfId="20518"/>
    <cellStyle name="Nota 10 2 5 4 2 2" xfId="49699"/>
    <cellStyle name="Nota 10 2 5 4 3" xfId="39433"/>
    <cellStyle name="Nota 10 2 5 5" xfId="16130"/>
    <cellStyle name="Nota 10 2 5 5 2" xfId="45311"/>
    <cellStyle name="Nota 10 2 5 6" xfId="30321"/>
    <cellStyle name="Nota 10 2 6" xfId="1280"/>
    <cellStyle name="Nota 10 2 6 2" xfId="2182"/>
    <cellStyle name="Nota 10 2 6 2 2" xfId="3982"/>
    <cellStyle name="Nota 10 2 6 2 2 2" xfId="7098"/>
    <cellStyle name="Nota 10 2 6 2 2 2 2" xfId="18629"/>
    <cellStyle name="Nota 10 2 6 2 2 2 2 2" xfId="47810"/>
    <cellStyle name="Nota 10 2 6 2 2 2 3" xfId="36281"/>
    <cellStyle name="Nota 10 2 6 2 2 3" xfId="13818"/>
    <cellStyle name="Nota 10 2 6 2 2 3 2" xfId="42999"/>
    <cellStyle name="Nota 10 2 6 2 2 4" xfId="33165"/>
    <cellStyle name="Nota 10 2 6 2 3" xfId="10354"/>
    <cellStyle name="Nota 10 2 6 2 3 2" xfId="20586"/>
    <cellStyle name="Nota 10 2 6 2 3 2 2" xfId="49767"/>
    <cellStyle name="Nota 10 2 6 2 3 3" xfId="39537"/>
    <cellStyle name="Nota 10 2 6 2 4" xfId="17638"/>
    <cellStyle name="Nota 10 2 6 2 4 2" xfId="46819"/>
    <cellStyle name="Nota 10 2 6 2 5" xfId="31365"/>
    <cellStyle name="Nota 10 2 6 3" xfId="3082"/>
    <cellStyle name="Nota 10 2 6 3 2" xfId="9577"/>
    <cellStyle name="Nota 10 2 6 3 2 2" xfId="20115"/>
    <cellStyle name="Nota 10 2 6 3 2 2 2" xfId="49296"/>
    <cellStyle name="Nota 10 2 6 3 2 3" xfId="38760"/>
    <cellStyle name="Nota 10 2 6 3 3" xfId="15472"/>
    <cellStyle name="Nota 10 2 6 3 3 2" xfId="44653"/>
    <cellStyle name="Nota 10 2 6 3 4" xfId="32265"/>
    <cellStyle name="Nota 10 2 6 4" xfId="8478"/>
    <cellStyle name="Nota 10 2 6 4 2" xfId="19461"/>
    <cellStyle name="Nota 10 2 6 4 2 2" xfId="48642"/>
    <cellStyle name="Nota 10 2 6 4 3" xfId="37661"/>
    <cellStyle name="Nota 10 2 6 5" xfId="11907"/>
    <cellStyle name="Nota 10 2 6 5 2" xfId="41088"/>
    <cellStyle name="Nota 10 2 6 6" xfId="30465"/>
    <cellStyle name="Nota 10 2 7" xfId="1462"/>
    <cellStyle name="Nota 10 2 7 2" xfId="3262"/>
    <cellStyle name="Nota 10 2 7 2 2" xfId="9284"/>
    <cellStyle name="Nota 10 2 7 2 2 2" xfId="19940"/>
    <cellStyle name="Nota 10 2 7 2 2 2 2" xfId="49121"/>
    <cellStyle name="Nota 10 2 7 2 2 3" xfId="38467"/>
    <cellStyle name="Nota 10 2 7 2 3" xfId="15208"/>
    <cellStyle name="Nota 10 2 7 2 3 2" xfId="44389"/>
    <cellStyle name="Nota 10 2 7 2 4" xfId="32445"/>
    <cellStyle name="Nota 10 2 7 3" xfId="9063"/>
    <cellStyle name="Nota 10 2 7 3 2" xfId="19803"/>
    <cellStyle name="Nota 10 2 7 3 2 2" xfId="48984"/>
    <cellStyle name="Nota 10 2 7 3 3" xfId="38246"/>
    <cellStyle name="Nota 10 2 7 4" xfId="12833"/>
    <cellStyle name="Nota 10 2 7 4 2" xfId="42014"/>
    <cellStyle name="Nota 10 2 7 5" xfId="30645"/>
    <cellStyle name="Nota 10 2 8" xfId="2362"/>
    <cellStyle name="Nota 10 2 8 2" xfId="7527"/>
    <cellStyle name="Nota 10 2 8 2 2" xfId="18872"/>
    <cellStyle name="Nota 10 2 8 2 2 2" xfId="48053"/>
    <cellStyle name="Nota 10 2 8 2 3" xfId="36710"/>
    <cellStyle name="Nota 10 2 8 3" xfId="17870"/>
    <cellStyle name="Nota 10 2 8 3 2" xfId="47051"/>
    <cellStyle name="Nota 10 2 8 4" xfId="31545"/>
    <cellStyle name="Nota 10 2 9" xfId="9073"/>
    <cellStyle name="Nota 10 2 9 2" xfId="19810"/>
    <cellStyle name="Nota 10 2 9 2 2" xfId="48991"/>
    <cellStyle name="Nota 10 2 9 3" xfId="38256"/>
    <cellStyle name="Nota 10 3" xfId="484"/>
    <cellStyle name="Nota 10 3 10" xfId="29690"/>
    <cellStyle name="Nota 10 3 2" xfId="837"/>
    <cellStyle name="Nota 10 3 2 2" xfId="1775"/>
    <cellStyle name="Nota 10 3 2 2 2" xfId="3575"/>
    <cellStyle name="Nota 10 3 2 2 2 2" xfId="10302"/>
    <cellStyle name="Nota 10 3 2 2 2 2 2" xfId="20551"/>
    <cellStyle name="Nota 10 3 2 2 2 2 2 2" xfId="49732"/>
    <cellStyle name="Nota 10 3 2 2 2 2 3" xfId="39485"/>
    <cellStyle name="Nota 10 3 2 2 2 3" xfId="11198"/>
    <cellStyle name="Nota 10 3 2 2 2 3 2" xfId="40379"/>
    <cellStyle name="Nota 10 3 2 2 2 4" xfId="32758"/>
    <cellStyle name="Nota 10 3 2 2 3" xfId="9863"/>
    <cellStyle name="Nota 10 3 2 2 3 2" xfId="20288"/>
    <cellStyle name="Nota 10 3 2 2 3 2 2" xfId="49469"/>
    <cellStyle name="Nota 10 3 2 2 3 3" xfId="39046"/>
    <cellStyle name="Nota 10 3 2 2 4" xfId="16386"/>
    <cellStyle name="Nota 10 3 2 2 4 2" xfId="45567"/>
    <cellStyle name="Nota 10 3 2 2 5" xfId="30958"/>
    <cellStyle name="Nota 10 3 2 3" xfId="2675"/>
    <cellStyle name="Nota 10 3 2 3 2" xfId="9088"/>
    <cellStyle name="Nota 10 3 2 3 2 2" xfId="19820"/>
    <cellStyle name="Nota 10 3 2 3 2 2 2" xfId="49001"/>
    <cellStyle name="Nota 10 3 2 3 2 3" xfId="38271"/>
    <cellStyle name="Nota 10 3 2 3 3" xfId="15353"/>
    <cellStyle name="Nota 10 3 2 3 3 2" xfId="44534"/>
    <cellStyle name="Nota 10 3 2 3 4" xfId="31858"/>
    <cellStyle name="Nota 10 3 2 4" xfId="9309"/>
    <cellStyle name="Nota 10 3 2 4 2" xfId="19957"/>
    <cellStyle name="Nota 10 3 2 4 2 2" xfId="49138"/>
    <cellStyle name="Nota 10 3 2 4 3" xfId="38492"/>
    <cellStyle name="Nota 10 3 2 5" xfId="16692"/>
    <cellStyle name="Nota 10 3 2 5 2" xfId="45873"/>
    <cellStyle name="Nota 10 3 2 6" xfId="30034"/>
    <cellStyle name="Nota 10 3 3" xfId="1029"/>
    <cellStyle name="Nota 10 3 3 2" xfId="1939"/>
    <cellStyle name="Nota 10 3 3 2 2" xfId="3739"/>
    <cellStyle name="Nota 10 3 3 2 2 2" xfId="10182"/>
    <cellStyle name="Nota 10 3 3 2 2 2 2" xfId="20479"/>
    <cellStyle name="Nota 10 3 3 2 2 2 2 2" xfId="49660"/>
    <cellStyle name="Nota 10 3 3 2 2 2 3" xfId="39365"/>
    <cellStyle name="Nota 10 3 3 2 2 3" xfId="10642"/>
    <cellStyle name="Nota 10 3 3 2 2 3 2" xfId="39823"/>
    <cellStyle name="Nota 10 3 3 2 2 4" xfId="32922"/>
    <cellStyle name="Nota 10 3 3 2 3" xfId="8941"/>
    <cellStyle name="Nota 10 3 3 2 3 2" xfId="19734"/>
    <cellStyle name="Nota 10 3 3 2 3 2 2" xfId="48915"/>
    <cellStyle name="Nota 10 3 3 2 3 3" xfId="38124"/>
    <cellStyle name="Nota 10 3 3 2 4" xfId="13769"/>
    <cellStyle name="Nota 10 3 3 2 4 2" xfId="42950"/>
    <cellStyle name="Nota 10 3 3 2 5" xfId="31122"/>
    <cellStyle name="Nota 10 3 3 3" xfId="2839"/>
    <cellStyle name="Nota 10 3 3 3 2" xfId="10468"/>
    <cellStyle name="Nota 10 3 3 3 2 2" xfId="20657"/>
    <cellStyle name="Nota 10 3 3 3 2 2 2" xfId="49838"/>
    <cellStyle name="Nota 10 3 3 3 2 3" xfId="39651"/>
    <cellStyle name="Nota 10 3 3 3 3" xfId="12574"/>
    <cellStyle name="Nota 10 3 3 3 3 2" xfId="41755"/>
    <cellStyle name="Nota 10 3 3 3 4" xfId="32022"/>
    <cellStyle name="Nota 10 3 3 4" xfId="7853"/>
    <cellStyle name="Nota 10 3 3 4 2" xfId="19074"/>
    <cellStyle name="Nota 10 3 3 4 2 2" xfId="48255"/>
    <cellStyle name="Nota 10 3 3 4 3" xfId="37036"/>
    <cellStyle name="Nota 10 3 3 5" xfId="17210"/>
    <cellStyle name="Nota 10 3 3 5 2" xfId="46391"/>
    <cellStyle name="Nota 10 3 3 6" xfId="30219"/>
    <cellStyle name="Nota 10 3 4" xfId="1179"/>
    <cellStyle name="Nota 10 3 4 2" xfId="2083"/>
    <cellStyle name="Nota 10 3 4 2 2" xfId="3883"/>
    <cellStyle name="Nota 10 3 4 2 2 2" xfId="10079"/>
    <cellStyle name="Nota 10 3 4 2 2 2 2" xfId="20422"/>
    <cellStyle name="Nota 10 3 4 2 2 2 2 2" xfId="49603"/>
    <cellStyle name="Nota 10 3 4 2 2 2 3" xfId="39262"/>
    <cellStyle name="Nota 10 3 4 2 2 3" xfId="15380"/>
    <cellStyle name="Nota 10 3 4 2 2 3 2" xfId="44561"/>
    <cellStyle name="Nota 10 3 4 2 2 4" xfId="33066"/>
    <cellStyle name="Nota 10 3 4 2 3" xfId="10022"/>
    <cellStyle name="Nota 10 3 4 2 3 2" xfId="20387"/>
    <cellStyle name="Nota 10 3 4 2 3 2 2" xfId="49568"/>
    <cellStyle name="Nota 10 3 4 2 3 3" xfId="39205"/>
    <cellStyle name="Nota 10 3 4 2 4" xfId="18102"/>
    <cellStyle name="Nota 10 3 4 2 4 2" xfId="47283"/>
    <cellStyle name="Nota 10 3 4 2 5" xfId="31266"/>
    <cellStyle name="Nota 10 3 4 3" xfId="2983"/>
    <cellStyle name="Nota 10 3 4 3 2" xfId="9229"/>
    <cellStyle name="Nota 10 3 4 3 2 2" xfId="19909"/>
    <cellStyle name="Nota 10 3 4 3 2 2 2" xfId="49090"/>
    <cellStyle name="Nota 10 3 4 3 2 3" xfId="38412"/>
    <cellStyle name="Nota 10 3 4 3 3" xfId="14185"/>
    <cellStyle name="Nota 10 3 4 3 3 2" xfId="43366"/>
    <cellStyle name="Nota 10 3 4 3 4" xfId="32166"/>
    <cellStyle name="Nota 10 3 4 4" xfId="7804"/>
    <cellStyle name="Nota 10 3 4 4 2" xfId="19044"/>
    <cellStyle name="Nota 10 3 4 4 2 2" xfId="48225"/>
    <cellStyle name="Nota 10 3 4 4 3" xfId="36987"/>
    <cellStyle name="Nota 10 3 4 5" xfId="10759"/>
    <cellStyle name="Nota 10 3 4 5 2" xfId="39940"/>
    <cellStyle name="Nota 10 3 4 6" xfId="30366"/>
    <cellStyle name="Nota 10 3 5" xfId="1325"/>
    <cellStyle name="Nota 10 3 5 2" xfId="2227"/>
    <cellStyle name="Nota 10 3 5 2 2" xfId="4027"/>
    <cellStyle name="Nota 10 3 5 2 2 2" xfId="7053"/>
    <cellStyle name="Nota 10 3 5 2 2 2 2" xfId="18602"/>
    <cellStyle name="Nota 10 3 5 2 2 2 2 2" xfId="47783"/>
    <cellStyle name="Nota 10 3 5 2 2 2 3" xfId="36236"/>
    <cellStyle name="Nota 10 3 5 2 2 3" xfId="15743"/>
    <cellStyle name="Nota 10 3 5 2 2 3 2" xfId="44924"/>
    <cellStyle name="Nota 10 3 5 2 2 4" xfId="33210"/>
    <cellStyle name="Nota 10 3 5 2 3" xfId="7958"/>
    <cellStyle name="Nota 10 3 5 2 3 2" xfId="19137"/>
    <cellStyle name="Nota 10 3 5 2 3 2 2" xfId="48318"/>
    <cellStyle name="Nota 10 3 5 2 3 3" xfId="37141"/>
    <cellStyle name="Nota 10 3 5 2 4" xfId="15032"/>
    <cellStyle name="Nota 10 3 5 2 4 2" xfId="44213"/>
    <cellStyle name="Nota 10 3 5 2 5" xfId="31410"/>
    <cellStyle name="Nota 10 3 5 3" xfId="3127"/>
    <cellStyle name="Nota 10 3 5 3 2" xfId="8731"/>
    <cellStyle name="Nota 10 3 5 3 2 2" xfId="19607"/>
    <cellStyle name="Nota 10 3 5 3 2 2 2" xfId="48788"/>
    <cellStyle name="Nota 10 3 5 3 2 3" xfId="37914"/>
    <cellStyle name="Nota 10 3 5 3 3" xfId="14417"/>
    <cellStyle name="Nota 10 3 5 3 3 2" xfId="43598"/>
    <cellStyle name="Nota 10 3 5 3 4" xfId="32310"/>
    <cellStyle name="Nota 10 3 5 4" xfId="10524"/>
    <cellStyle name="Nota 10 3 5 4 2" xfId="20693"/>
    <cellStyle name="Nota 10 3 5 4 2 2" xfId="49874"/>
    <cellStyle name="Nota 10 3 5 4 3" xfId="39707"/>
    <cellStyle name="Nota 10 3 5 5" xfId="16633"/>
    <cellStyle name="Nota 10 3 5 5 2" xfId="45814"/>
    <cellStyle name="Nota 10 3 5 6" xfId="30510"/>
    <cellStyle name="Nota 10 3 6" xfId="1507"/>
    <cellStyle name="Nota 10 3 6 2" xfId="3307"/>
    <cellStyle name="Nota 10 3 6 2 2" xfId="9081"/>
    <cellStyle name="Nota 10 3 6 2 2 2" xfId="19816"/>
    <cellStyle name="Nota 10 3 6 2 2 2 2" xfId="48997"/>
    <cellStyle name="Nota 10 3 6 2 2 3" xfId="38264"/>
    <cellStyle name="Nota 10 3 6 2 3" xfId="14441"/>
    <cellStyle name="Nota 10 3 6 2 3 2" xfId="43622"/>
    <cellStyle name="Nota 10 3 6 2 4" xfId="32490"/>
    <cellStyle name="Nota 10 3 6 3" xfId="7638"/>
    <cellStyle name="Nota 10 3 6 3 2" xfId="18942"/>
    <cellStyle name="Nota 10 3 6 3 2 2" xfId="48123"/>
    <cellStyle name="Nota 10 3 6 3 3" xfId="36821"/>
    <cellStyle name="Nota 10 3 6 4" xfId="10705"/>
    <cellStyle name="Nota 10 3 6 4 2" xfId="39886"/>
    <cellStyle name="Nota 10 3 6 5" xfId="30690"/>
    <cellStyle name="Nota 10 3 7" xfId="2407"/>
    <cellStyle name="Nota 10 3 7 2" xfId="7251"/>
    <cellStyle name="Nota 10 3 7 2 2" xfId="18711"/>
    <cellStyle name="Nota 10 3 7 2 2 2" xfId="47892"/>
    <cellStyle name="Nota 10 3 7 2 3" xfId="36434"/>
    <cellStyle name="Nota 10 3 7 3" xfId="14980"/>
    <cellStyle name="Nota 10 3 7 3 2" xfId="44161"/>
    <cellStyle name="Nota 10 3 7 4" xfId="31590"/>
    <cellStyle name="Nota 10 3 8" xfId="10416"/>
    <cellStyle name="Nota 10 3 8 2" xfId="20623"/>
    <cellStyle name="Nota 10 3 8 2 2" xfId="49804"/>
    <cellStyle name="Nota 10 3 8 3" xfId="39599"/>
    <cellStyle name="Nota 10 3 9" xfId="13186"/>
    <cellStyle name="Nota 10 3 9 2" xfId="42367"/>
    <cellStyle name="Nota 10 4" xfId="700"/>
    <cellStyle name="Nota 10 4 2" xfId="1667"/>
    <cellStyle name="Nota 10 4 2 2" xfId="3467"/>
    <cellStyle name="Nota 10 4 2 2 2" xfId="9079"/>
    <cellStyle name="Nota 10 4 2 2 2 2" xfId="19814"/>
    <cellStyle name="Nota 10 4 2 2 2 2 2" xfId="48995"/>
    <cellStyle name="Nota 10 4 2 2 2 3" xfId="38262"/>
    <cellStyle name="Nota 10 4 2 2 3" xfId="10815"/>
    <cellStyle name="Nota 10 4 2 2 3 2" xfId="39996"/>
    <cellStyle name="Nota 10 4 2 2 4" xfId="32650"/>
    <cellStyle name="Nota 10 4 2 3" xfId="7965"/>
    <cellStyle name="Nota 10 4 2 3 2" xfId="19141"/>
    <cellStyle name="Nota 10 4 2 3 2 2" xfId="48322"/>
    <cellStyle name="Nota 10 4 2 3 3" xfId="37148"/>
    <cellStyle name="Nota 10 4 2 4" xfId="14723"/>
    <cellStyle name="Nota 10 4 2 4 2" xfId="43904"/>
    <cellStyle name="Nota 10 4 2 5" xfId="30850"/>
    <cellStyle name="Nota 10 4 3" xfId="2567"/>
    <cellStyle name="Nota 10 4 3 2" xfId="8738"/>
    <cellStyle name="Nota 10 4 3 2 2" xfId="19611"/>
    <cellStyle name="Nota 10 4 3 2 2 2" xfId="48792"/>
    <cellStyle name="Nota 10 4 3 2 3" xfId="37921"/>
    <cellStyle name="Nota 10 4 3 3" xfId="14080"/>
    <cellStyle name="Nota 10 4 3 3 2" xfId="43261"/>
    <cellStyle name="Nota 10 4 3 4" xfId="31750"/>
    <cellStyle name="Nota 10 4 4" xfId="8376"/>
    <cellStyle name="Nota 10 4 4 2" xfId="19393"/>
    <cellStyle name="Nota 10 4 4 2 2" xfId="48574"/>
    <cellStyle name="Nota 10 4 4 3" xfId="37559"/>
    <cellStyle name="Nota 10 4 5" xfId="11094"/>
    <cellStyle name="Nota 10 4 5 2" xfId="40275"/>
    <cellStyle name="Nota 10 4 6" xfId="29901"/>
    <cellStyle name="Nota 10 5" xfId="578"/>
    <cellStyle name="Nota 10 5 2" xfId="1594"/>
    <cellStyle name="Nota 10 5 2 2" xfId="3394"/>
    <cellStyle name="Nota 10 5 2 2 2" xfId="9574"/>
    <cellStyle name="Nota 10 5 2 2 2 2" xfId="20113"/>
    <cellStyle name="Nota 10 5 2 2 2 2 2" xfId="49294"/>
    <cellStyle name="Nota 10 5 2 2 2 3" xfId="38757"/>
    <cellStyle name="Nota 10 5 2 2 3" xfId="11799"/>
    <cellStyle name="Nota 10 5 2 2 3 2" xfId="40980"/>
    <cellStyle name="Nota 10 5 2 2 4" xfId="32577"/>
    <cellStyle name="Nota 10 5 2 3" xfId="7313"/>
    <cellStyle name="Nota 10 5 2 3 2" xfId="18745"/>
    <cellStyle name="Nota 10 5 2 3 2 2" xfId="47926"/>
    <cellStyle name="Nota 10 5 2 3 3" xfId="36496"/>
    <cellStyle name="Nota 10 5 2 4" xfId="13495"/>
    <cellStyle name="Nota 10 5 2 4 2" xfId="42676"/>
    <cellStyle name="Nota 10 5 2 5" xfId="30777"/>
    <cellStyle name="Nota 10 5 3" xfId="2494"/>
    <cellStyle name="Nota 10 5 3 2" xfId="7386"/>
    <cellStyle name="Nota 10 5 3 2 2" xfId="18787"/>
    <cellStyle name="Nota 10 5 3 2 2 2" xfId="47968"/>
    <cellStyle name="Nota 10 5 3 2 3" xfId="36569"/>
    <cellStyle name="Nota 10 5 3 3" xfId="17745"/>
    <cellStyle name="Nota 10 5 3 3 2" xfId="46926"/>
    <cellStyle name="Nota 10 5 3 4" xfId="31677"/>
    <cellStyle name="Nota 10 5 4" xfId="7695"/>
    <cellStyle name="Nota 10 5 4 2" xfId="18976"/>
    <cellStyle name="Nota 10 5 4 2 2" xfId="48157"/>
    <cellStyle name="Nota 10 5 4 3" xfId="36878"/>
    <cellStyle name="Nota 10 5 5" xfId="15957"/>
    <cellStyle name="Nota 10 5 5 2" xfId="45138"/>
    <cellStyle name="Nota 10 5 6" xfId="29783"/>
    <cellStyle name="Nota 10 6" xfId="743"/>
    <cellStyle name="Nota 10 6 2" xfId="1685"/>
    <cellStyle name="Nota 10 6 2 2" xfId="3485"/>
    <cellStyle name="Nota 10 6 2 2 2" xfId="7740"/>
    <cellStyle name="Nota 10 6 2 2 2 2" xfId="19005"/>
    <cellStyle name="Nota 10 6 2 2 2 2 2" xfId="48186"/>
    <cellStyle name="Nota 10 6 2 2 2 3" xfId="36923"/>
    <cellStyle name="Nota 10 6 2 2 3" xfId="12233"/>
    <cellStyle name="Nota 10 6 2 2 3 2" xfId="41414"/>
    <cellStyle name="Nota 10 6 2 2 4" xfId="32668"/>
    <cellStyle name="Nota 10 6 2 3" xfId="7678"/>
    <cellStyle name="Nota 10 6 2 3 2" xfId="18966"/>
    <cellStyle name="Nota 10 6 2 3 2 2" xfId="48147"/>
    <cellStyle name="Nota 10 6 2 3 3" xfId="36861"/>
    <cellStyle name="Nota 10 6 2 4" xfId="12772"/>
    <cellStyle name="Nota 10 6 2 4 2" xfId="41953"/>
    <cellStyle name="Nota 10 6 2 5" xfId="30868"/>
    <cellStyle name="Nota 10 6 3" xfId="2585"/>
    <cellStyle name="Nota 10 6 3 2" xfId="8464"/>
    <cellStyle name="Nota 10 6 3 2 2" xfId="19452"/>
    <cellStyle name="Nota 10 6 3 2 2 2" xfId="48633"/>
    <cellStyle name="Nota 10 6 3 2 3" xfId="37647"/>
    <cellStyle name="Nota 10 6 3 3" xfId="13882"/>
    <cellStyle name="Nota 10 6 3 3 2" xfId="43063"/>
    <cellStyle name="Nota 10 6 3 4" xfId="31768"/>
    <cellStyle name="Nota 10 6 4" xfId="7362"/>
    <cellStyle name="Nota 10 6 4 2" xfId="18774"/>
    <cellStyle name="Nota 10 6 4 2 2" xfId="47955"/>
    <cellStyle name="Nota 10 6 4 3" xfId="36545"/>
    <cellStyle name="Nota 10 6 5" xfId="15803"/>
    <cellStyle name="Nota 10 6 5 2" xfId="44984"/>
    <cellStyle name="Nota 10 6 6" xfId="29941"/>
    <cellStyle name="Nota 10 7" xfId="935"/>
    <cellStyle name="Nota 10 7 2" xfId="1849"/>
    <cellStyle name="Nota 10 7 2 2" xfId="3649"/>
    <cellStyle name="Nota 10 7 2 2 2" xfId="8267"/>
    <cellStyle name="Nota 10 7 2 2 2 2" xfId="19323"/>
    <cellStyle name="Nota 10 7 2 2 2 2 2" xfId="48504"/>
    <cellStyle name="Nota 10 7 2 2 2 3" xfId="37450"/>
    <cellStyle name="Nota 10 7 2 2 3" xfId="18005"/>
    <cellStyle name="Nota 10 7 2 2 3 2" xfId="47186"/>
    <cellStyle name="Nota 10 7 2 2 4" xfId="32832"/>
    <cellStyle name="Nota 10 7 2 3" xfId="7503"/>
    <cellStyle name="Nota 10 7 2 3 2" xfId="18856"/>
    <cellStyle name="Nota 10 7 2 3 2 2" xfId="48037"/>
    <cellStyle name="Nota 10 7 2 3 3" xfId="36686"/>
    <cellStyle name="Nota 10 7 2 4" xfId="17584"/>
    <cellStyle name="Nota 10 7 2 4 2" xfId="46765"/>
    <cellStyle name="Nota 10 7 2 5" xfId="31032"/>
    <cellStyle name="Nota 10 7 3" xfId="2749"/>
    <cellStyle name="Nota 10 7 3 2" xfId="8408"/>
    <cellStyle name="Nota 10 7 3 2 2" xfId="19412"/>
    <cellStyle name="Nota 10 7 3 2 2 2" xfId="48593"/>
    <cellStyle name="Nota 10 7 3 2 3" xfId="37591"/>
    <cellStyle name="Nota 10 7 3 3" xfId="11087"/>
    <cellStyle name="Nota 10 7 3 3 2" xfId="40268"/>
    <cellStyle name="Nota 10 7 3 4" xfId="31932"/>
    <cellStyle name="Nota 10 7 4" xfId="7974"/>
    <cellStyle name="Nota 10 7 4 2" xfId="19147"/>
    <cellStyle name="Nota 10 7 4 2 2" xfId="48328"/>
    <cellStyle name="Nota 10 7 4 3" xfId="37157"/>
    <cellStyle name="Nota 10 7 5" xfId="18096"/>
    <cellStyle name="Nota 10 7 5 2" xfId="47277"/>
    <cellStyle name="Nota 10 7 6" xfId="30126"/>
    <cellStyle name="Nota 10 8" xfId="1417"/>
    <cellStyle name="Nota 10 8 2" xfId="3217"/>
    <cellStyle name="Nota 10 8 2 2" xfId="8443"/>
    <cellStyle name="Nota 10 8 2 2 2" xfId="19437"/>
    <cellStyle name="Nota 10 8 2 2 2 2" xfId="48618"/>
    <cellStyle name="Nota 10 8 2 2 3" xfId="37626"/>
    <cellStyle name="Nota 10 8 2 3" xfId="13626"/>
    <cellStyle name="Nota 10 8 2 3 2" xfId="42807"/>
    <cellStyle name="Nota 10 8 2 4" xfId="32400"/>
    <cellStyle name="Nota 10 8 3" xfId="10145"/>
    <cellStyle name="Nota 10 8 3 2" xfId="20460"/>
    <cellStyle name="Nota 10 8 3 2 2" xfId="49641"/>
    <cellStyle name="Nota 10 8 3 3" xfId="39328"/>
    <cellStyle name="Nota 10 8 4" xfId="10787"/>
    <cellStyle name="Nota 10 8 4 2" xfId="39968"/>
    <cellStyle name="Nota 10 8 5" xfId="30600"/>
    <cellStyle name="Nota 10 9" xfId="2317"/>
    <cellStyle name="Nota 10 9 2" xfId="7280"/>
    <cellStyle name="Nota 10 9 2 2" xfId="18732"/>
    <cellStyle name="Nota 10 9 2 2 2" xfId="47913"/>
    <cellStyle name="Nota 10 9 2 3" xfId="36463"/>
    <cellStyle name="Nota 10 9 3" xfId="17082"/>
    <cellStyle name="Nota 10 9 3 2" xfId="46263"/>
    <cellStyle name="Nota 10 9 4" xfId="31500"/>
    <cellStyle name="Nota 2" xfId="327"/>
    <cellStyle name="Nota 2 10" xfId="11279"/>
    <cellStyle name="Nota 2 10 2" xfId="40460"/>
    <cellStyle name="Nota 2 11" xfId="58738"/>
    <cellStyle name="Nota 2 12" xfId="29600"/>
    <cellStyle name="Nota 2 2" xfId="440"/>
    <cellStyle name="Nota 2 2 10" xfId="16620"/>
    <cellStyle name="Nota 2 2 10 2" xfId="45801"/>
    <cellStyle name="Nota 2 2 11" xfId="58783"/>
    <cellStyle name="Nota 2 2 12" xfId="29646"/>
    <cellStyle name="Nota 2 2 2" xfId="530"/>
    <cellStyle name="Nota 2 2 2 10" xfId="29736"/>
    <cellStyle name="Nota 2 2 2 2" xfId="883"/>
    <cellStyle name="Nota 2 2 2 2 2" xfId="1821"/>
    <cellStyle name="Nota 2 2 2 2 2 2" xfId="3621"/>
    <cellStyle name="Nota 2 2 2 2 2 2 2" xfId="8427"/>
    <cellStyle name="Nota 2 2 2 2 2 2 2 2" xfId="19426"/>
    <cellStyle name="Nota 2 2 2 2 2 2 2 2 2" xfId="48607"/>
    <cellStyle name="Nota 2 2 2 2 2 2 2 3" xfId="37610"/>
    <cellStyle name="Nota 2 2 2 2 2 2 3" xfId="11904"/>
    <cellStyle name="Nota 2 2 2 2 2 2 3 2" xfId="41085"/>
    <cellStyle name="Nota 2 2 2 2 2 2 4" xfId="32804"/>
    <cellStyle name="Nota 2 2 2 2 2 3" xfId="10398"/>
    <cellStyle name="Nota 2 2 2 2 2 3 2" xfId="20613"/>
    <cellStyle name="Nota 2 2 2 2 2 3 2 2" xfId="49794"/>
    <cellStyle name="Nota 2 2 2 2 2 3 3" xfId="39581"/>
    <cellStyle name="Nota 2 2 2 2 2 4" xfId="13535"/>
    <cellStyle name="Nota 2 2 2 2 2 4 2" xfId="42716"/>
    <cellStyle name="Nota 2 2 2 2 2 5" xfId="31004"/>
    <cellStyle name="Nota 2 2 2 2 3" xfId="2721"/>
    <cellStyle name="Nota 2 2 2 2 3 2" xfId="9621"/>
    <cellStyle name="Nota 2 2 2 2 3 2 2" xfId="20143"/>
    <cellStyle name="Nota 2 2 2 2 3 2 2 2" xfId="49324"/>
    <cellStyle name="Nota 2 2 2 2 3 2 3" xfId="38804"/>
    <cellStyle name="Nota 2 2 2 2 3 3" xfId="16737"/>
    <cellStyle name="Nota 2 2 2 2 3 3 2" xfId="45918"/>
    <cellStyle name="Nota 2 2 2 2 3 4" xfId="31904"/>
    <cellStyle name="Nota 2 2 2 2 4" xfId="9874"/>
    <cellStyle name="Nota 2 2 2 2 4 2" xfId="20294"/>
    <cellStyle name="Nota 2 2 2 2 4 2 2" xfId="49475"/>
    <cellStyle name="Nota 2 2 2 2 4 3" xfId="39057"/>
    <cellStyle name="Nota 2 2 2 2 5" xfId="11657"/>
    <cellStyle name="Nota 2 2 2 2 5 2" xfId="40838"/>
    <cellStyle name="Nota 2 2 2 2 6" xfId="30080"/>
    <cellStyle name="Nota 2 2 2 3" xfId="1075"/>
    <cellStyle name="Nota 2 2 2 3 2" xfId="1985"/>
    <cellStyle name="Nota 2 2 2 3 2 2" xfId="3785"/>
    <cellStyle name="Nota 2 2 2 3 2 2 2" xfId="8430"/>
    <cellStyle name="Nota 2 2 2 3 2 2 2 2" xfId="19429"/>
    <cellStyle name="Nota 2 2 2 3 2 2 2 2 2" xfId="48610"/>
    <cellStyle name="Nota 2 2 2 3 2 2 2 3" xfId="37613"/>
    <cellStyle name="Nota 2 2 2 3 2 2 3" xfId="12096"/>
    <cellStyle name="Nota 2 2 2 3 2 2 3 2" xfId="41277"/>
    <cellStyle name="Nota 2 2 2 3 2 2 4" xfId="32968"/>
    <cellStyle name="Nota 2 2 2 3 2 3" xfId="10279"/>
    <cellStyle name="Nota 2 2 2 3 2 3 2" xfId="20537"/>
    <cellStyle name="Nota 2 2 2 3 2 3 2 2" xfId="49718"/>
    <cellStyle name="Nota 2 2 2 3 2 3 3" xfId="39462"/>
    <cellStyle name="Nota 2 2 2 3 2 4" xfId="16447"/>
    <cellStyle name="Nota 2 2 2 3 2 4 2" xfId="45628"/>
    <cellStyle name="Nota 2 2 2 3 2 5" xfId="31168"/>
    <cellStyle name="Nota 2 2 2 3 3" xfId="2885"/>
    <cellStyle name="Nota 2 2 2 3 3 2" xfId="9503"/>
    <cellStyle name="Nota 2 2 2 3 3 2 2" xfId="20069"/>
    <cellStyle name="Nota 2 2 2 3 3 2 2 2" xfId="49250"/>
    <cellStyle name="Nota 2 2 2 3 3 2 3" xfId="38686"/>
    <cellStyle name="Nota 2 2 2 3 3 3" xfId="14979"/>
    <cellStyle name="Nota 2 2 2 3 3 3 2" xfId="44160"/>
    <cellStyle name="Nota 2 2 2 3 3 4" xfId="32068"/>
    <cellStyle name="Nota 2 2 2 3 4" xfId="8677"/>
    <cellStyle name="Nota 2 2 2 3 4 2" xfId="19577"/>
    <cellStyle name="Nota 2 2 2 3 4 2 2" xfId="48758"/>
    <cellStyle name="Nota 2 2 2 3 4 3" xfId="37860"/>
    <cellStyle name="Nota 2 2 2 3 5" xfId="15912"/>
    <cellStyle name="Nota 2 2 2 3 5 2" xfId="45093"/>
    <cellStyle name="Nota 2 2 2 3 6" xfId="30265"/>
    <cellStyle name="Nota 2 2 2 4" xfId="1225"/>
    <cellStyle name="Nota 2 2 2 4 2" xfId="2129"/>
    <cellStyle name="Nota 2 2 2 4 2 2" xfId="3929"/>
    <cellStyle name="Nota 2 2 2 4 2 2 2" xfId="7151"/>
    <cellStyle name="Nota 2 2 2 4 2 2 2 2" xfId="18655"/>
    <cellStyle name="Nota 2 2 2 4 2 2 2 2 2" xfId="47836"/>
    <cellStyle name="Nota 2 2 2 4 2 2 2 3" xfId="36334"/>
    <cellStyle name="Nota 2 2 2 4 2 2 3" xfId="16574"/>
    <cellStyle name="Nota 2 2 2 4 2 2 3 2" xfId="45755"/>
    <cellStyle name="Nota 2 2 2 4 2 2 4" xfId="33112"/>
    <cellStyle name="Nota 2 2 2 4 2 3" xfId="9295"/>
    <cellStyle name="Nota 2 2 2 4 2 3 2" xfId="19949"/>
    <cellStyle name="Nota 2 2 2 4 2 3 2 2" xfId="49130"/>
    <cellStyle name="Nota 2 2 2 4 2 3 3" xfId="38478"/>
    <cellStyle name="Nota 2 2 2 4 2 4" xfId="11308"/>
    <cellStyle name="Nota 2 2 2 4 2 4 2" xfId="40489"/>
    <cellStyle name="Nota 2 2 2 4 2 5" xfId="31312"/>
    <cellStyle name="Nota 2 2 2 4 3" xfId="3029"/>
    <cellStyle name="Nota 2 2 2 4 3 2" xfId="7873"/>
    <cellStyle name="Nota 2 2 2 4 3 2 2" xfId="19087"/>
    <cellStyle name="Nota 2 2 2 4 3 2 2 2" xfId="48268"/>
    <cellStyle name="Nota 2 2 2 4 3 2 3" xfId="37056"/>
    <cellStyle name="Nota 2 2 2 4 3 3" xfId="16008"/>
    <cellStyle name="Nota 2 2 2 4 3 3 2" xfId="45189"/>
    <cellStyle name="Nota 2 2 2 4 3 4" xfId="32212"/>
    <cellStyle name="Nota 2 2 2 4 4" xfId="9679"/>
    <cellStyle name="Nota 2 2 2 4 4 2" xfId="20177"/>
    <cellStyle name="Nota 2 2 2 4 4 2 2" xfId="49358"/>
    <cellStyle name="Nota 2 2 2 4 4 3" xfId="38862"/>
    <cellStyle name="Nota 2 2 2 4 5" xfId="11531"/>
    <cellStyle name="Nota 2 2 2 4 5 2" xfId="40712"/>
    <cellStyle name="Nota 2 2 2 4 6" xfId="30412"/>
    <cellStyle name="Nota 2 2 2 5" xfId="1371"/>
    <cellStyle name="Nota 2 2 2 5 2" xfId="2273"/>
    <cellStyle name="Nota 2 2 2 5 2 2" xfId="4073"/>
    <cellStyle name="Nota 2 2 2 5 2 2 2" xfId="7007"/>
    <cellStyle name="Nota 2 2 2 5 2 2 2 2" xfId="18574"/>
    <cellStyle name="Nota 2 2 2 5 2 2 2 2 2" xfId="47755"/>
    <cellStyle name="Nota 2 2 2 5 2 2 2 3" xfId="36190"/>
    <cellStyle name="Nota 2 2 2 5 2 2 3" xfId="14070"/>
    <cellStyle name="Nota 2 2 2 5 2 2 3 2" xfId="43251"/>
    <cellStyle name="Nota 2 2 2 5 2 2 4" xfId="33256"/>
    <cellStyle name="Nota 2 2 2 5 2 3" xfId="7513"/>
    <cellStyle name="Nota 2 2 2 5 2 3 2" xfId="18863"/>
    <cellStyle name="Nota 2 2 2 5 2 3 2 2" xfId="48044"/>
    <cellStyle name="Nota 2 2 2 5 2 3 3" xfId="36696"/>
    <cellStyle name="Nota 2 2 2 5 2 4" xfId="16736"/>
    <cellStyle name="Nota 2 2 2 5 2 4 2" xfId="45917"/>
    <cellStyle name="Nota 2 2 2 5 2 5" xfId="31456"/>
    <cellStyle name="Nota 2 2 2 5 3" xfId="3173"/>
    <cellStyle name="Nota 2 2 2 5 3 2" xfId="7196"/>
    <cellStyle name="Nota 2 2 2 5 3 2 2" xfId="18679"/>
    <cellStyle name="Nota 2 2 2 5 3 2 2 2" xfId="47860"/>
    <cellStyle name="Nota 2 2 2 5 3 2 3" xfId="36379"/>
    <cellStyle name="Nota 2 2 2 5 3 3" xfId="12193"/>
    <cellStyle name="Nota 2 2 2 5 3 3 2" xfId="41374"/>
    <cellStyle name="Nota 2 2 2 5 3 4" xfId="32356"/>
    <cellStyle name="Nota 2 2 2 5 4" xfId="8828"/>
    <cellStyle name="Nota 2 2 2 5 4 2" xfId="19666"/>
    <cellStyle name="Nota 2 2 2 5 4 2 2" xfId="48847"/>
    <cellStyle name="Nota 2 2 2 5 4 3" xfId="38011"/>
    <cellStyle name="Nota 2 2 2 5 5" xfId="16851"/>
    <cellStyle name="Nota 2 2 2 5 5 2" xfId="46032"/>
    <cellStyle name="Nota 2 2 2 5 6" xfId="30556"/>
    <cellStyle name="Nota 2 2 2 6" xfId="1553"/>
    <cellStyle name="Nota 2 2 2 6 2" xfId="3353"/>
    <cellStyle name="Nota 2 2 2 6 2 2" xfId="9614"/>
    <cellStyle name="Nota 2 2 2 6 2 2 2" xfId="20139"/>
    <cellStyle name="Nota 2 2 2 6 2 2 2 2" xfId="49320"/>
    <cellStyle name="Nota 2 2 2 6 2 2 3" xfId="38797"/>
    <cellStyle name="Nota 2 2 2 6 2 3" xfId="12127"/>
    <cellStyle name="Nota 2 2 2 6 2 3 2" xfId="41308"/>
    <cellStyle name="Nota 2 2 2 6 2 4" xfId="32536"/>
    <cellStyle name="Nota 2 2 2 6 3" xfId="7434"/>
    <cellStyle name="Nota 2 2 2 6 3 2" xfId="18814"/>
    <cellStyle name="Nota 2 2 2 6 3 2 2" xfId="47995"/>
    <cellStyle name="Nota 2 2 2 6 3 3" xfId="36617"/>
    <cellStyle name="Nota 2 2 2 6 4" xfId="10672"/>
    <cellStyle name="Nota 2 2 2 6 4 2" xfId="39853"/>
    <cellStyle name="Nota 2 2 2 6 5" xfId="30736"/>
    <cellStyle name="Nota 2 2 2 7" xfId="2453"/>
    <cellStyle name="Nota 2 2 2 7 2" xfId="7752"/>
    <cellStyle name="Nota 2 2 2 7 2 2" xfId="19012"/>
    <cellStyle name="Nota 2 2 2 7 2 2 2" xfId="48193"/>
    <cellStyle name="Nota 2 2 2 7 2 3" xfId="36935"/>
    <cellStyle name="Nota 2 2 2 7 3" xfId="13464"/>
    <cellStyle name="Nota 2 2 2 7 3 2" xfId="42645"/>
    <cellStyle name="Nota 2 2 2 7 4" xfId="31636"/>
    <cellStyle name="Nota 2 2 2 8" xfId="9450"/>
    <cellStyle name="Nota 2 2 2 8 2" xfId="20040"/>
    <cellStyle name="Nota 2 2 2 8 2 2" xfId="49221"/>
    <cellStyle name="Nota 2 2 2 8 3" xfId="38633"/>
    <cellStyle name="Nota 2 2 2 9" xfId="17536"/>
    <cellStyle name="Nota 2 2 2 9 2" xfId="46717"/>
    <cellStyle name="Nota 2 2 3" xfId="793"/>
    <cellStyle name="Nota 2 2 3 2" xfId="1731"/>
    <cellStyle name="Nota 2 2 3 2 2" xfId="3531"/>
    <cellStyle name="Nota 2 2 3 2 2 2" xfId="9214"/>
    <cellStyle name="Nota 2 2 3 2 2 2 2" xfId="19898"/>
    <cellStyle name="Nota 2 2 3 2 2 2 2 2" xfId="49079"/>
    <cellStyle name="Nota 2 2 3 2 2 2 3" xfId="38397"/>
    <cellStyle name="Nota 2 2 3 2 2 3" xfId="15809"/>
    <cellStyle name="Nota 2 2 3 2 2 3 2" xfId="44990"/>
    <cellStyle name="Nota 2 2 3 2 2 4" xfId="32714"/>
    <cellStyle name="Nota 2 2 3 2 3" xfId="8530"/>
    <cellStyle name="Nota 2 2 3 2 3 2" xfId="19494"/>
    <cellStyle name="Nota 2 2 3 2 3 2 2" xfId="48675"/>
    <cellStyle name="Nota 2 2 3 2 3 3" xfId="37713"/>
    <cellStyle name="Nota 2 2 3 2 4" xfId="15255"/>
    <cellStyle name="Nota 2 2 3 2 4 2" xfId="44436"/>
    <cellStyle name="Nota 2 2 3 2 5" xfId="30914"/>
    <cellStyle name="Nota 2 2 3 3" xfId="2631"/>
    <cellStyle name="Nota 2 2 3 3 2" xfId="10057"/>
    <cellStyle name="Nota 2 2 3 3 2 2" xfId="20408"/>
    <cellStyle name="Nota 2 2 3 3 2 2 2" xfId="49589"/>
    <cellStyle name="Nota 2 2 3 3 2 3" xfId="39240"/>
    <cellStyle name="Nota 2 2 3 3 3" xfId="11054"/>
    <cellStyle name="Nota 2 2 3 3 3 2" xfId="40235"/>
    <cellStyle name="Nota 2 2 3 3 4" xfId="31814"/>
    <cellStyle name="Nota 2 2 3 4" xfId="7690"/>
    <cellStyle name="Nota 2 2 3 4 2" xfId="18973"/>
    <cellStyle name="Nota 2 2 3 4 2 2" xfId="48154"/>
    <cellStyle name="Nota 2 2 3 4 3" xfId="36873"/>
    <cellStyle name="Nota 2 2 3 5" xfId="15692"/>
    <cellStyle name="Nota 2 2 3 5 2" xfId="44873"/>
    <cellStyle name="Nota 2 2 3 6" xfId="29990"/>
    <cellStyle name="Nota 2 2 4" xfId="985"/>
    <cellStyle name="Nota 2 2 4 2" xfId="1895"/>
    <cellStyle name="Nota 2 2 4 2 2" xfId="3695"/>
    <cellStyle name="Nota 2 2 4 2 2 2" xfId="9189"/>
    <cellStyle name="Nota 2 2 4 2 2 2 2" xfId="19881"/>
    <cellStyle name="Nota 2 2 4 2 2 2 2 2" xfId="49062"/>
    <cellStyle name="Nota 2 2 4 2 2 2 3" xfId="38372"/>
    <cellStyle name="Nota 2 2 4 2 2 3" xfId="13624"/>
    <cellStyle name="Nota 2 2 4 2 2 3 2" xfId="42805"/>
    <cellStyle name="Nota 2 2 4 2 2 4" xfId="32878"/>
    <cellStyle name="Nota 2 2 4 2 3" xfId="8363"/>
    <cellStyle name="Nota 2 2 4 2 3 2" xfId="19385"/>
    <cellStyle name="Nota 2 2 4 2 3 2 2" xfId="48566"/>
    <cellStyle name="Nota 2 2 4 2 3 3" xfId="37546"/>
    <cellStyle name="Nota 2 2 4 2 4" xfId="12477"/>
    <cellStyle name="Nota 2 2 4 2 4 2" xfId="41658"/>
    <cellStyle name="Nota 2 2 4 2 5" xfId="31078"/>
    <cellStyle name="Nota 2 2 4 3" xfId="2795"/>
    <cellStyle name="Nota 2 2 4 3 2" xfId="9891"/>
    <cellStyle name="Nota 2 2 4 3 2 2" xfId="20304"/>
    <cellStyle name="Nota 2 2 4 3 2 2 2" xfId="49485"/>
    <cellStyle name="Nota 2 2 4 3 2 3" xfId="39074"/>
    <cellStyle name="Nota 2 2 4 3 3" xfId="16520"/>
    <cellStyle name="Nota 2 2 4 3 3 2" xfId="45701"/>
    <cellStyle name="Nota 2 2 4 3 4" xfId="31978"/>
    <cellStyle name="Nota 2 2 4 4" xfId="9682"/>
    <cellStyle name="Nota 2 2 4 4 2" xfId="20179"/>
    <cellStyle name="Nota 2 2 4 4 2 2" xfId="49360"/>
    <cellStyle name="Nota 2 2 4 4 3" xfId="38865"/>
    <cellStyle name="Nota 2 2 4 5" xfId="12834"/>
    <cellStyle name="Nota 2 2 4 5 2" xfId="42015"/>
    <cellStyle name="Nota 2 2 4 6" xfId="30175"/>
    <cellStyle name="Nota 2 2 5" xfId="1135"/>
    <cellStyle name="Nota 2 2 5 2" xfId="2039"/>
    <cellStyle name="Nota 2 2 5 2 2" xfId="3839"/>
    <cellStyle name="Nota 2 2 5 2 2 2" xfId="8723"/>
    <cellStyle name="Nota 2 2 5 2 2 2 2" xfId="19602"/>
    <cellStyle name="Nota 2 2 5 2 2 2 2 2" xfId="48783"/>
    <cellStyle name="Nota 2 2 5 2 2 2 3" xfId="37906"/>
    <cellStyle name="Nota 2 2 5 2 2 3" xfId="10912"/>
    <cellStyle name="Nota 2 2 5 2 2 3 2" xfId="40093"/>
    <cellStyle name="Nota 2 2 5 2 2 4" xfId="33022"/>
    <cellStyle name="Nota 2 2 5 2 3" xfId="8901"/>
    <cellStyle name="Nota 2 2 5 2 3 2" xfId="19708"/>
    <cellStyle name="Nota 2 2 5 2 3 2 2" xfId="48889"/>
    <cellStyle name="Nota 2 2 5 2 3 3" xfId="38084"/>
    <cellStyle name="Nota 2 2 5 2 4" xfId="14501"/>
    <cellStyle name="Nota 2 2 5 2 4 2" xfId="43682"/>
    <cellStyle name="Nota 2 2 5 2 5" xfId="31222"/>
    <cellStyle name="Nota 2 2 5 3" xfId="2939"/>
    <cellStyle name="Nota 2 2 5 3 2" xfId="10428"/>
    <cellStyle name="Nota 2 2 5 3 2 2" xfId="20632"/>
    <cellStyle name="Nota 2 2 5 3 2 2 2" xfId="49813"/>
    <cellStyle name="Nota 2 2 5 3 2 3" xfId="39611"/>
    <cellStyle name="Nota 2 2 5 3 3" xfId="12830"/>
    <cellStyle name="Nota 2 2 5 3 3 2" xfId="42011"/>
    <cellStyle name="Nota 2 2 5 3 4" xfId="32122"/>
    <cellStyle name="Nota 2 2 5 4" xfId="8714"/>
    <cellStyle name="Nota 2 2 5 4 2" xfId="19596"/>
    <cellStyle name="Nota 2 2 5 4 2 2" xfId="48777"/>
    <cellStyle name="Nota 2 2 5 4 3" xfId="37897"/>
    <cellStyle name="Nota 2 2 5 5" xfId="17749"/>
    <cellStyle name="Nota 2 2 5 5 2" xfId="46930"/>
    <cellStyle name="Nota 2 2 5 6" xfId="30322"/>
    <cellStyle name="Nota 2 2 6" xfId="1281"/>
    <cellStyle name="Nota 2 2 6 2" xfId="2183"/>
    <cellStyle name="Nota 2 2 6 2 2" xfId="3983"/>
    <cellStyle name="Nota 2 2 6 2 2 2" xfId="7097"/>
    <cellStyle name="Nota 2 2 6 2 2 2 2" xfId="18628"/>
    <cellStyle name="Nota 2 2 6 2 2 2 2 2" xfId="47809"/>
    <cellStyle name="Nota 2 2 6 2 2 2 3" xfId="36280"/>
    <cellStyle name="Nota 2 2 6 2 2 3" xfId="17515"/>
    <cellStyle name="Nota 2 2 6 2 2 3 2" xfId="46696"/>
    <cellStyle name="Nota 2 2 6 2 2 4" xfId="33166"/>
    <cellStyle name="Nota 2 2 6 2 3" xfId="8818"/>
    <cellStyle name="Nota 2 2 6 2 3 2" xfId="19659"/>
    <cellStyle name="Nota 2 2 6 2 3 2 2" xfId="48840"/>
    <cellStyle name="Nota 2 2 6 2 3 3" xfId="38001"/>
    <cellStyle name="Nota 2 2 6 2 4" xfId="14325"/>
    <cellStyle name="Nota 2 2 6 2 4 2" xfId="43506"/>
    <cellStyle name="Nota 2 2 6 2 5" xfId="31366"/>
    <cellStyle name="Nota 2 2 6 3" xfId="3083"/>
    <cellStyle name="Nota 2 2 6 3 2" xfId="10345"/>
    <cellStyle name="Nota 2 2 6 3 2 2" xfId="20580"/>
    <cellStyle name="Nota 2 2 6 3 2 2 2" xfId="49761"/>
    <cellStyle name="Nota 2 2 6 3 2 3" xfId="39528"/>
    <cellStyle name="Nota 2 2 6 3 3" xfId="13211"/>
    <cellStyle name="Nota 2 2 6 3 3 2" xfId="42392"/>
    <cellStyle name="Nota 2 2 6 3 4" xfId="32266"/>
    <cellStyle name="Nota 2 2 6 4" xfId="7645"/>
    <cellStyle name="Nota 2 2 6 4 2" xfId="18946"/>
    <cellStyle name="Nota 2 2 6 4 2 2" xfId="48127"/>
    <cellStyle name="Nota 2 2 6 4 3" xfId="36828"/>
    <cellStyle name="Nota 2 2 6 5" xfId="11275"/>
    <cellStyle name="Nota 2 2 6 5 2" xfId="40456"/>
    <cellStyle name="Nota 2 2 6 6" xfId="30466"/>
    <cellStyle name="Nota 2 2 7" xfId="1463"/>
    <cellStyle name="Nota 2 2 7 2" xfId="3263"/>
    <cellStyle name="Nota 2 2 7 2 2" xfId="10050"/>
    <cellStyle name="Nota 2 2 7 2 2 2" xfId="20402"/>
    <cellStyle name="Nota 2 2 7 2 2 2 2" xfId="49583"/>
    <cellStyle name="Nota 2 2 7 2 2 3" xfId="39233"/>
    <cellStyle name="Nota 2 2 7 2 3" xfId="12908"/>
    <cellStyle name="Nota 2 2 7 2 3 2" xfId="42089"/>
    <cellStyle name="Nota 2 2 7 2 4" xfId="32446"/>
    <cellStyle name="Nota 2 2 7 3" xfId="9829"/>
    <cellStyle name="Nota 2 2 7 3 2" xfId="20266"/>
    <cellStyle name="Nota 2 2 7 3 2 2" xfId="49447"/>
    <cellStyle name="Nota 2 2 7 3 3" xfId="39012"/>
    <cellStyle name="Nota 2 2 7 4" xfId="11562"/>
    <cellStyle name="Nota 2 2 7 4 2" xfId="40743"/>
    <cellStyle name="Nota 2 2 7 5" xfId="30646"/>
    <cellStyle name="Nota 2 2 8" xfId="2363"/>
    <cellStyle name="Nota 2 2 8 2" xfId="7608"/>
    <cellStyle name="Nota 2 2 8 2 2" xfId="18924"/>
    <cellStyle name="Nota 2 2 8 2 2 2" xfId="48105"/>
    <cellStyle name="Nota 2 2 8 2 3" xfId="36791"/>
    <cellStyle name="Nota 2 2 8 3" xfId="14352"/>
    <cellStyle name="Nota 2 2 8 3 2" xfId="43533"/>
    <cellStyle name="Nota 2 2 8 4" xfId="31546"/>
    <cellStyle name="Nota 2 2 9" xfId="9839"/>
    <cellStyle name="Nota 2 2 9 2" xfId="20272"/>
    <cellStyle name="Nota 2 2 9 2 2" xfId="49453"/>
    <cellStyle name="Nota 2 2 9 3" xfId="39022"/>
    <cellStyle name="Nota 2 3" xfId="485"/>
    <cellStyle name="Nota 2 3 10" xfId="29691"/>
    <cellStyle name="Nota 2 3 2" xfId="838"/>
    <cellStyle name="Nota 2 3 2 2" xfId="1776"/>
    <cellStyle name="Nota 2 3 2 2 2" xfId="3576"/>
    <cellStyle name="Nota 2 3 2 2 2 2" xfId="8766"/>
    <cellStyle name="Nota 2 3 2 2 2 2 2" xfId="19629"/>
    <cellStyle name="Nota 2 3 2 2 2 2 2 2" xfId="48810"/>
    <cellStyle name="Nota 2 3 2 2 2 2 3" xfId="37949"/>
    <cellStyle name="Nota 2 3 2 2 2 3" xfId="16424"/>
    <cellStyle name="Nota 2 3 2 2 2 3 2" xfId="45605"/>
    <cellStyle name="Nota 2 3 2 2 2 4" xfId="32759"/>
    <cellStyle name="Nota 2 3 2 2 3" xfId="8325"/>
    <cellStyle name="Nota 2 3 2 2 3 2" xfId="19361"/>
    <cellStyle name="Nota 2 3 2 2 3 2 2" xfId="48542"/>
    <cellStyle name="Nota 2 3 2 2 3 3" xfId="37508"/>
    <cellStyle name="Nota 2 3 2 2 4" xfId="14291"/>
    <cellStyle name="Nota 2 3 2 2 4 2" xfId="43472"/>
    <cellStyle name="Nota 2 3 2 2 5" xfId="30959"/>
    <cellStyle name="Nota 2 3 2 3" xfId="2676"/>
    <cellStyle name="Nota 2 3 2 3 2" xfId="9854"/>
    <cellStyle name="Nota 2 3 2 3 2 2" xfId="20282"/>
    <cellStyle name="Nota 2 3 2 3 2 2 2" xfId="49463"/>
    <cellStyle name="Nota 2 3 2 3 2 3" xfId="39037"/>
    <cellStyle name="Nota 2 3 2 3 3" xfId="13076"/>
    <cellStyle name="Nota 2 3 2 3 3 2" xfId="42257"/>
    <cellStyle name="Nota 2 3 2 3 4" xfId="31859"/>
    <cellStyle name="Nota 2 3 2 4" xfId="10075"/>
    <cellStyle name="Nota 2 3 2 4 2" xfId="20419"/>
    <cellStyle name="Nota 2 3 2 4 2 2" xfId="49600"/>
    <cellStyle name="Nota 2 3 2 4 3" xfId="39258"/>
    <cellStyle name="Nota 2 3 2 5" xfId="12607"/>
    <cellStyle name="Nota 2 3 2 5 2" xfId="41788"/>
    <cellStyle name="Nota 2 3 2 6" xfId="30035"/>
    <cellStyle name="Nota 2 3 3" xfId="1030"/>
    <cellStyle name="Nota 2 3 3 2" xfId="1940"/>
    <cellStyle name="Nota 2 3 3 2 2" xfId="3740"/>
    <cellStyle name="Nota 2 3 3 2 2 2" xfId="8647"/>
    <cellStyle name="Nota 2 3 3 2 2 2 2" xfId="19559"/>
    <cellStyle name="Nota 2 3 3 2 2 2 2 2" xfId="48740"/>
    <cellStyle name="Nota 2 3 3 2 2 2 3" xfId="37830"/>
    <cellStyle name="Nota 2 3 3 2 2 3" xfId="10641"/>
    <cellStyle name="Nota 2 3 3 2 2 3 2" xfId="39822"/>
    <cellStyle name="Nota 2 3 3 2 2 4" xfId="32923"/>
    <cellStyle name="Nota 2 3 3 2 3" xfId="8167"/>
    <cellStyle name="Nota 2 3 3 2 3 2" xfId="19265"/>
    <cellStyle name="Nota 2 3 3 2 3 2 2" xfId="48446"/>
    <cellStyle name="Nota 2 3 3 2 3 3" xfId="37350"/>
    <cellStyle name="Nota 2 3 3 2 4" xfId="17631"/>
    <cellStyle name="Nota 2 3 3 2 4 2" xfId="46812"/>
    <cellStyle name="Nota 2 3 3 2 5" xfId="31123"/>
    <cellStyle name="Nota 2 3 3 3" xfId="2840"/>
    <cellStyle name="Nota 2 3 3 3 2" xfId="8932"/>
    <cellStyle name="Nota 2 3 3 3 2 2" xfId="19729"/>
    <cellStyle name="Nota 2 3 3 3 2 2 2" xfId="48910"/>
    <cellStyle name="Nota 2 3 3 3 2 3" xfId="38115"/>
    <cellStyle name="Nota 2 3 3 3 3" xfId="16501"/>
    <cellStyle name="Nota 2 3 3 3 3 2" xfId="45682"/>
    <cellStyle name="Nota 2 3 3 3 4" xfId="32023"/>
    <cellStyle name="Nota 2 3 3 4" xfId="9269"/>
    <cellStyle name="Nota 2 3 3 4 2" xfId="19930"/>
    <cellStyle name="Nota 2 3 3 4 2 2" xfId="49111"/>
    <cellStyle name="Nota 2 3 3 4 3" xfId="38452"/>
    <cellStyle name="Nota 2 3 3 5" xfId="12415"/>
    <cellStyle name="Nota 2 3 3 5 2" xfId="41596"/>
    <cellStyle name="Nota 2 3 3 6" xfId="30220"/>
    <cellStyle name="Nota 2 3 4" xfId="1180"/>
    <cellStyle name="Nota 2 3 4 2" xfId="2084"/>
    <cellStyle name="Nota 2 3 4 2 2" xfId="3884"/>
    <cellStyle name="Nota 2 3 4 2 2 2" xfId="8544"/>
    <cellStyle name="Nota 2 3 4 2 2 2 2" xfId="19502"/>
    <cellStyle name="Nota 2 3 4 2 2 2 2 2" xfId="48683"/>
    <cellStyle name="Nota 2 3 4 2 2 2 3" xfId="37727"/>
    <cellStyle name="Nota 2 3 4 2 2 3" xfId="13110"/>
    <cellStyle name="Nota 2 3 4 2 2 3 2" xfId="42291"/>
    <cellStyle name="Nota 2 3 4 2 2 4" xfId="33067"/>
    <cellStyle name="Nota 2 3 4 2 3" xfId="8486"/>
    <cellStyle name="Nota 2 3 4 2 3 2" xfId="19466"/>
    <cellStyle name="Nota 2 3 4 2 3 2 2" xfId="48647"/>
    <cellStyle name="Nota 2 3 4 2 3 3" xfId="37669"/>
    <cellStyle name="Nota 2 3 4 2 4" xfId="13528"/>
    <cellStyle name="Nota 2 3 4 2 4 2" xfId="42709"/>
    <cellStyle name="Nota 2 3 4 2 5" xfId="31267"/>
    <cellStyle name="Nota 2 3 4 3" xfId="2984"/>
    <cellStyle name="Nota 2 3 4 3 2" xfId="9995"/>
    <cellStyle name="Nota 2 3 4 3 2 2" xfId="20371"/>
    <cellStyle name="Nota 2 3 4 3 2 2 2" xfId="49552"/>
    <cellStyle name="Nota 2 3 4 3 2 3" xfId="39178"/>
    <cellStyle name="Nota 2 3 4 3 3" xfId="16035"/>
    <cellStyle name="Nota 2 3 4 3 3 2" xfId="45216"/>
    <cellStyle name="Nota 2 3 4 3 4" xfId="32167"/>
    <cellStyle name="Nota 2 3 4 4" xfId="7477"/>
    <cellStyle name="Nota 2 3 4 4 2" xfId="18840"/>
    <cellStyle name="Nota 2 3 4 4 2 2" xfId="48021"/>
    <cellStyle name="Nota 2 3 4 4 3" xfId="36660"/>
    <cellStyle name="Nota 2 3 4 5" xfId="10724"/>
    <cellStyle name="Nota 2 3 4 5 2" xfId="39905"/>
    <cellStyle name="Nota 2 3 4 6" xfId="30367"/>
    <cellStyle name="Nota 2 3 5" xfId="1326"/>
    <cellStyle name="Nota 2 3 5 2" xfId="2228"/>
    <cellStyle name="Nota 2 3 5 2 2" xfId="4028"/>
    <cellStyle name="Nota 2 3 5 2 2 2" xfId="7052"/>
    <cellStyle name="Nota 2 3 5 2 2 2 2" xfId="18601"/>
    <cellStyle name="Nota 2 3 5 2 2 2 2 2" xfId="47782"/>
    <cellStyle name="Nota 2 3 5 2 2 2 3" xfId="36235"/>
    <cellStyle name="Nota 2 3 5 2 2 3" xfId="15055"/>
    <cellStyle name="Nota 2 3 5 2 2 3 2" xfId="44236"/>
    <cellStyle name="Nota 2 3 5 2 2 4" xfId="33211"/>
    <cellStyle name="Nota 2 3 5 2 3" xfId="9370"/>
    <cellStyle name="Nota 2 3 5 2 3 2" xfId="19992"/>
    <cellStyle name="Nota 2 3 5 2 3 2 2" xfId="49173"/>
    <cellStyle name="Nota 2 3 5 2 3 3" xfId="38553"/>
    <cellStyle name="Nota 2 3 5 2 4" xfId="12707"/>
    <cellStyle name="Nota 2 3 5 2 4 2" xfId="41888"/>
    <cellStyle name="Nota 2 3 5 2 5" xfId="31411"/>
    <cellStyle name="Nota 2 3 5 3" xfId="3128"/>
    <cellStyle name="Nota 2 3 5 3 2" xfId="7949"/>
    <cellStyle name="Nota 2 3 5 3 2 2" xfId="19131"/>
    <cellStyle name="Nota 2 3 5 3 2 2 2" xfId="48312"/>
    <cellStyle name="Nota 2 3 5 3 2 3" xfId="37132"/>
    <cellStyle name="Nota 2 3 5 3 3" xfId="15698"/>
    <cellStyle name="Nota 2 3 5 3 3 2" xfId="44879"/>
    <cellStyle name="Nota 2 3 5 3 4" xfId="32311"/>
    <cellStyle name="Nota 2 3 5 4" xfId="8988"/>
    <cellStyle name="Nota 2 3 5 4 2" xfId="19763"/>
    <cellStyle name="Nota 2 3 5 4 2 2" xfId="48944"/>
    <cellStyle name="Nota 2 3 5 4 3" xfId="38171"/>
    <cellStyle name="Nota 2 3 5 5" xfId="13147"/>
    <cellStyle name="Nota 2 3 5 5 2" xfId="42328"/>
    <cellStyle name="Nota 2 3 5 6" xfId="30511"/>
    <cellStyle name="Nota 2 3 6" xfId="1508"/>
    <cellStyle name="Nota 2 3 6 2" xfId="3308"/>
    <cellStyle name="Nota 2 3 6 2 2" xfId="9847"/>
    <cellStyle name="Nota 2 3 6 2 2 2" xfId="20278"/>
    <cellStyle name="Nota 2 3 6 2 2 2 2" xfId="49459"/>
    <cellStyle name="Nota 2 3 6 2 2 3" xfId="39030"/>
    <cellStyle name="Nota 2 3 6 2 3" xfId="15671"/>
    <cellStyle name="Nota 2 3 6 2 3 2" xfId="44852"/>
    <cellStyle name="Nota 2 3 6 2 4" xfId="32491"/>
    <cellStyle name="Nota 2 3 6 3" xfId="7314"/>
    <cellStyle name="Nota 2 3 6 3 2" xfId="18746"/>
    <cellStyle name="Nota 2 3 6 3 2 2" xfId="47927"/>
    <cellStyle name="Nota 2 3 6 3 3" xfId="36497"/>
    <cellStyle name="Nota 2 3 6 4" xfId="10704"/>
    <cellStyle name="Nota 2 3 6 4 2" xfId="39885"/>
    <cellStyle name="Nota 2 3 6 5" xfId="30691"/>
    <cellStyle name="Nota 2 3 7" xfId="2408"/>
    <cellStyle name="Nota 2 3 7 2" xfId="7250"/>
    <cellStyle name="Nota 2 3 7 2 2" xfId="18710"/>
    <cellStyle name="Nota 2 3 7 2 2 2" xfId="47891"/>
    <cellStyle name="Nota 2 3 7 2 3" xfId="36433"/>
    <cellStyle name="Nota 2 3 7 3" xfId="12646"/>
    <cellStyle name="Nota 2 3 7 3 2" xfId="41827"/>
    <cellStyle name="Nota 2 3 7 4" xfId="31591"/>
    <cellStyle name="Nota 2 3 8" xfId="8880"/>
    <cellStyle name="Nota 2 3 8 2" xfId="19694"/>
    <cellStyle name="Nota 2 3 8 2 2" xfId="48875"/>
    <cellStyle name="Nota 2 3 8 3" xfId="38063"/>
    <cellStyle name="Nota 2 3 9" xfId="11910"/>
    <cellStyle name="Nota 2 3 9 2" xfId="41091"/>
    <cellStyle name="Nota 2 4" xfId="701"/>
    <cellStyle name="Nota 2 4 2" xfId="1668"/>
    <cellStyle name="Nota 2 4 2 2" xfId="3468"/>
    <cellStyle name="Nota 2 4 2 2 2" xfId="9845"/>
    <cellStyle name="Nota 2 4 2 2 2 2" xfId="20276"/>
    <cellStyle name="Nota 2 4 2 2 2 2 2" xfId="49457"/>
    <cellStyle name="Nota 2 4 2 2 2 3" xfId="39028"/>
    <cellStyle name="Nota 2 4 2 2 3" xfId="17942"/>
    <cellStyle name="Nota 2 4 2 2 3 2" xfId="47123"/>
    <cellStyle name="Nota 2 4 2 2 4" xfId="32651"/>
    <cellStyle name="Nota 2 4 2 3" xfId="9377"/>
    <cellStyle name="Nota 2 4 2 3 2" xfId="19996"/>
    <cellStyle name="Nota 2 4 2 3 2 2" xfId="49177"/>
    <cellStyle name="Nota 2 4 2 3 3" xfId="38560"/>
    <cellStyle name="Nota 2 4 2 4" xfId="12355"/>
    <cellStyle name="Nota 2 4 2 4 2" xfId="41536"/>
    <cellStyle name="Nota 2 4 2 5" xfId="30851"/>
    <cellStyle name="Nota 2 4 3" xfId="2568"/>
    <cellStyle name="Nota 2 4 3 2" xfId="7956"/>
    <cellStyle name="Nota 2 4 3 2 2" xfId="19135"/>
    <cellStyle name="Nota 2 4 3 2 2 2" xfId="48316"/>
    <cellStyle name="Nota 2 4 3 2 3" xfId="37139"/>
    <cellStyle name="Nota 2 4 3 3" xfId="16622"/>
    <cellStyle name="Nota 2 4 3 3 2" xfId="45803"/>
    <cellStyle name="Nota 2 4 3 4" xfId="31751"/>
    <cellStyle name="Nota 2 4 4" xfId="9761"/>
    <cellStyle name="Nota 2 4 4 2" xfId="20227"/>
    <cellStyle name="Nota 2 4 4 2 2" xfId="49408"/>
    <cellStyle name="Nota 2 4 4 3" xfId="38944"/>
    <cellStyle name="Nota 2 4 5" xfId="10824"/>
    <cellStyle name="Nota 2 4 5 2" xfId="40005"/>
    <cellStyle name="Nota 2 4 6" xfId="29902"/>
    <cellStyle name="Nota 2 5" xfId="577"/>
    <cellStyle name="Nota 2 5 2" xfId="1593"/>
    <cellStyle name="Nota 2 5 2 2" xfId="3393"/>
    <cellStyle name="Nota 2 5 2 2 2" xfId="8152"/>
    <cellStyle name="Nota 2 5 2 2 2 2" xfId="19255"/>
    <cellStyle name="Nota 2 5 2 2 2 2 2" xfId="48436"/>
    <cellStyle name="Nota 2 5 2 2 2 3" xfId="37335"/>
    <cellStyle name="Nota 2 5 2 2 3" xfId="13074"/>
    <cellStyle name="Nota 2 5 2 2 3 2" xfId="42255"/>
    <cellStyle name="Nota 2 5 2 2 4" xfId="32576"/>
    <cellStyle name="Nota 2 5 2 3" xfId="7395"/>
    <cellStyle name="Nota 2 5 2 3 2" xfId="18791"/>
    <cellStyle name="Nota 2 5 2 3 2 2" xfId="47972"/>
    <cellStyle name="Nota 2 5 2 3 3" xfId="36578"/>
    <cellStyle name="Nota 2 5 2 4" xfId="16810"/>
    <cellStyle name="Nota 2 5 2 4 2" xfId="45991"/>
    <cellStyle name="Nota 2 5 2 5" xfId="30776"/>
    <cellStyle name="Nota 2 5 3" xfId="2493"/>
    <cellStyle name="Nota 2 5 3 2" xfId="7463"/>
    <cellStyle name="Nota 2 5 3 2 2" xfId="18832"/>
    <cellStyle name="Nota 2 5 3 2 2 2" xfId="48013"/>
    <cellStyle name="Nota 2 5 3 2 3" xfId="36646"/>
    <cellStyle name="Nota 2 5 3 3" xfId="14289"/>
    <cellStyle name="Nota 2 5 3 3 2" xfId="43470"/>
    <cellStyle name="Nota 2 5 3 4" xfId="31676"/>
    <cellStyle name="Nota 2 5 4" xfId="8504"/>
    <cellStyle name="Nota 2 5 4 2" xfId="19476"/>
    <cellStyle name="Nota 2 5 4 2 2" xfId="48657"/>
    <cellStyle name="Nota 2 5 4 3" xfId="37687"/>
    <cellStyle name="Nota 2 5 5" xfId="12280"/>
    <cellStyle name="Nota 2 5 5 2" xfId="41461"/>
    <cellStyle name="Nota 2 5 6" xfId="29782"/>
    <cellStyle name="Nota 2 6" xfId="744"/>
    <cellStyle name="Nota 2 6 2" xfId="1686"/>
    <cellStyle name="Nota 2 6 2 2" xfId="3486"/>
    <cellStyle name="Nota 2 6 2 2 2" xfId="7413"/>
    <cellStyle name="Nota 2 6 2 2 2 2" xfId="18802"/>
    <cellStyle name="Nota 2 6 2 2 2 2 2" xfId="47983"/>
    <cellStyle name="Nota 2 6 2 2 2 3" xfId="36596"/>
    <cellStyle name="Nota 2 6 2 2 3" xfId="17781"/>
    <cellStyle name="Nota 2 6 2 2 3 2" xfId="46962"/>
    <cellStyle name="Nota 2 6 2 2 4" xfId="32669"/>
    <cellStyle name="Nota 2 6 2 3" xfId="9158"/>
    <cellStyle name="Nota 2 6 2 3 2" xfId="19863"/>
    <cellStyle name="Nota 2 6 2 3 2 2" xfId="49044"/>
    <cellStyle name="Nota 2 6 2 3 3" xfId="38341"/>
    <cellStyle name="Nota 2 6 2 4" xfId="11502"/>
    <cellStyle name="Nota 2 6 2 4 2" xfId="40683"/>
    <cellStyle name="Nota 2 6 2 5" xfId="30869"/>
    <cellStyle name="Nota 2 6 3" xfId="2586"/>
    <cellStyle name="Nota 2 6 3 2" xfId="7601"/>
    <cellStyle name="Nota 2 6 3 2 2" xfId="18921"/>
    <cellStyle name="Nota 2 6 3 2 2 2" xfId="48102"/>
    <cellStyle name="Nota 2 6 3 2 3" xfId="36784"/>
    <cellStyle name="Nota 2 6 3 3" xfId="18025"/>
    <cellStyle name="Nota 2 6 3 3 2" xfId="47206"/>
    <cellStyle name="Nota 2 6 3 4" xfId="31769"/>
    <cellStyle name="Nota 2 6 4" xfId="7361"/>
    <cellStyle name="Nota 2 6 4 2" xfId="18773"/>
    <cellStyle name="Nota 2 6 4 2 2" xfId="47954"/>
    <cellStyle name="Nota 2 6 4 3" xfId="36544"/>
    <cellStyle name="Nota 2 6 5" xfId="12167"/>
    <cellStyle name="Nota 2 6 5 2" xfId="41348"/>
    <cellStyle name="Nota 2 6 6" xfId="29942"/>
    <cellStyle name="Nota 2 7" xfId="936"/>
    <cellStyle name="Nota 2 7 2" xfId="1850"/>
    <cellStyle name="Nota 2 7 2 2" xfId="3650"/>
    <cellStyle name="Nota 2 7 2 2 2" xfId="9652"/>
    <cellStyle name="Nota 2 7 2 2 2 2" xfId="20159"/>
    <cellStyle name="Nota 2 7 2 2 2 2 2" xfId="49340"/>
    <cellStyle name="Nota 2 7 2 2 2 3" xfId="38835"/>
    <cellStyle name="Nota 2 7 2 2 3" xfId="14579"/>
    <cellStyle name="Nota 2 7 2 2 3 2" xfId="43760"/>
    <cellStyle name="Nota 2 7 2 2 4" xfId="32833"/>
    <cellStyle name="Nota 2 7 2 3" xfId="9241"/>
    <cellStyle name="Nota 2 7 2 3 2" xfId="19916"/>
    <cellStyle name="Nota 2 7 2 3 2 2" xfId="49097"/>
    <cellStyle name="Nota 2 7 2 3 3" xfId="38424"/>
    <cellStyle name="Nota 2 7 2 4" xfId="14082"/>
    <cellStyle name="Nota 2 7 2 4 2" xfId="43263"/>
    <cellStyle name="Nota 2 7 2 5" xfId="31033"/>
    <cellStyle name="Nota 2 7 3" xfId="2750"/>
    <cellStyle name="Nota 2 7 3 2" xfId="7545"/>
    <cellStyle name="Nota 2 7 3 2 2" xfId="18881"/>
    <cellStyle name="Nota 2 7 3 2 2 2" xfId="48062"/>
    <cellStyle name="Nota 2 7 3 2 3" xfId="36728"/>
    <cellStyle name="Nota 2 7 3 3" xfId="10817"/>
    <cellStyle name="Nota 2 7 3 3 2" xfId="39998"/>
    <cellStyle name="Nota 2 7 3 4" xfId="31933"/>
    <cellStyle name="Nota 2 7 4" xfId="9386"/>
    <cellStyle name="Nota 2 7 4 2" xfId="20002"/>
    <cellStyle name="Nota 2 7 4 2 2" xfId="49183"/>
    <cellStyle name="Nota 2 7 4 3" xfId="38569"/>
    <cellStyle name="Nota 2 7 5" xfId="17346"/>
    <cellStyle name="Nota 2 7 5 2" xfId="46527"/>
    <cellStyle name="Nota 2 7 6" xfId="30127"/>
    <cellStyle name="Nota 2 8" xfId="1418"/>
    <cellStyle name="Nota 2 8 2" xfId="3218"/>
    <cellStyle name="Nota 2 8 2 2" xfId="7580"/>
    <cellStyle name="Nota 2 8 2 2 2" xfId="18906"/>
    <cellStyle name="Nota 2 8 2 2 2 2" xfId="48087"/>
    <cellStyle name="Nota 2 8 2 2 3" xfId="36763"/>
    <cellStyle name="Nota 2 8 2 3" xfId="16123"/>
    <cellStyle name="Nota 2 8 2 3 2" xfId="45304"/>
    <cellStyle name="Nota 2 8 2 4" xfId="32401"/>
    <cellStyle name="Nota 2 8 3" xfId="8610"/>
    <cellStyle name="Nota 2 8 3 2" xfId="19541"/>
    <cellStyle name="Nota 2 8 3 2 2" xfId="48722"/>
    <cellStyle name="Nota 2 8 3 3" xfId="37793"/>
    <cellStyle name="Nota 2 8 4" xfId="17104"/>
    <cellStyle name="Nota 2 8 4 2" xfId="46285"/>
    <cellStyle name="Nota 2 8 5" xfId="30601"/>
    <cellStyle name="Nota 2 9" xfId="2318"/>
    <cellStyle name="Nota 2 9 2" xfId="7826"/>
    <cellStyle name="Nota 2 9 2 2" xfId="19060"/>
    <cellStyle name="Nota 2 9 2 2 2" xfId="48241"/>
    <cellStyle name="Nota 2 9 2 3" xfId="37009"/>
    <cellStyle name="Nota 2 9 3" xfId="15172"/>
    <cellStyle name="Nota 2 9 3 2" xfId="44353"/>
    <cellStyle name="Nota 2 9 4" xfId="31501"/>
    <cellStyle name="Nota 3" xfId="328"/>
    <cellStyle name="Nota 3 10" xfId="16895"/>
    <cellStyle name="Nota 3 10 2" xfId="46076"/>
    <cellStyle name="Nota 3 11" xfId="58739"/>
    <cellStyle name="Nota 3 12" xfId="29601"/>
    <cellStyle name="Nota 3 2" xfId="441"/>
    <cellStyle name="Nota 3 2 10" xfId="12580"/>
    <cellStyle name="Nota 3 2 10 2" xfId="41761"/>
    <cellStyle name="Nota 3 2 11" xfId="58784"/>
    <cellStyle name="Nota 3 2 12" xfId="29647"/>
    <cellStyle name="Nota 3 2 2" xfId="531"/>
    <cellStyle name="Nota 3 2 2 10" xfId="29737"/>
    <cellStyle name="Nota 3 2 2 2" xfId="884"/>
    <cellStyle name="Nota 3 2 2 2 2" xfId="1822"/>
    <cellStyle name="Nota 3 2 2 2 2 2" xfId="3622"/>
    <cellStyle name="Nota 3 2 2 2 2 2 2" xfId="7564"/>
    <cellStyle name="Nota 3 2 2 2 2 2 2 2" xfId="18895"/>
    <cellStyle name="Nota 3 2 2 2 2 2 2 2 2" xfId="48076"/>
    <cellStyle name="Nota 3 2 2 2 2 2 2 3" xfId="36747"/>
    <cellStyle name="Nota 3 2 2 2 2 2 3" xfId="11272"/>
    <cellStyle name="Nota 3 2 2 2 2 2 3 2" xfId="40453"/>
    <cellStyle name="Nota 3 2 2 2 2 2 4" xfId="32805"/>
    <cellStyle name="Nota 3 2 2 2 2 3" xfId="8862"/>
    <cellStyle name="Nota 3 2 2 2 2 3 2" xfId="19684"/>
    <cellStyle name="Nota 3 2 2 2 2 3 2 2" xfId="48865"/>
    <cellStyle name="Nota 3 2 2 2 2 3 3" xfId="38045"/>
    <cellStyle name="Nota 3 2 2 2 2 4" xfId="17407"/>
    <cellStyle name="Nota 3 2 2 2 2 4 2" xfId="46588"/>
    <cellStyle name="Nota 3 2 2 2 2 5" xfId="31005"/>
    <cellStyle name="Nota 3 2 2 2 3" xfId="2722"/>
    <cellStyle name="Nota 3 2 2 2 3 2" xfId="10389"/>
    <cellStyle name="Nota 3 2 2 2 3 2 2" xfId="20608"/>
    <cellStyle name="Nota 3 2 2 2 3 2 2 2" xfId="49789"/>
    <cellStyle name="Nota 3 2 2 2 3 2 3" xfId="39572"/>
    <cellStyle name="Nota 3 2 2 2 3 3" xfId="15501"/>
    <cellStyle name="Nota 3 2 2 2 3 3 2" xfId="44682"/>
    <cellStyle name="Nota 3 2 2 2 3 4" xfId="31905"/>
    <cellStyle name="Nota 3 2 2 2 4" xfId="8336"/>
    <cellStyle name="Nota 3 2 2 2 4 2" xfId="19368"/>
    <cellStyle name="Nota 3 2 2 2 4 2 2" xfId="48549"/>
    <cellStyle name="Nota 3 2 2 2 4 3" xfId="37519"/>
    <cellStyle name="Nota 3 2 2 2 5" xfId="10993"/>
    <cellStyle name="Nota 3 2 2 2 5 2" xfId="40174"/>
    <cellStyle name="Nota 3 2 2 2 6" xfId="30081"/>
    <cellStyle name="Nota 3 2 2 3" xfId="1076"/>
    <cellStyle name="Nota 3 2 2 3 2" xfId="1986"/>
    <cellStyle name="Nota 3 2 2 3 2 2" xfId="3786"/>
    <cellStyle name="Nota 3 2 2 3 2 2 2" xfId="7567"/>
    <cellStyle name="Nota 3 2 2 3 2 2 2 2" xfId="18898"/>
    <cellStyle name="Nota 3 2 2 3 2 2 2 2 2" xfId="48079"/>
    <cellStyle name="Nota 3 2 2 3 2 2 2 3" xfId="36750"/>
    <cellStyle name="Nota 3 2 2 3 2 2 3" xfId="16478"/>
    <cellStyle name="Nota 3 2 2 3 2 2 3 2" xfId="45659"/>
    <cellStyle name="Nota 3 2 2 3 2 2 4" xfId="32969"/>
    <cellStyle name="Nota 3 2 2 3 2 3" xfId="8743"/>
    <cellStyle name="Nota 3 2 2 3 2 3 2" xfId="19615"/>
    <cellStyle name="Nota 3 2 2 3 2 3 2 2" xfId="48796"/>
    <cellStyle name="Nota 3 2 2 3 2 3 3" xfId="37926"/>
    <cellStyle name="Nota 3 2 2 3 2 4" xfId="13909"/>
    <cellStyle name="Nota 3 2 2 3 2 4 2" xfId="43090"/>
    <cellStyle name="Nota 3 2 2 3 2 5" xfId="31169"/>
    <cellStyle name="Nota 3 2 2 3 3" xfId="2886"/>
    <cellStyle name="Nota 3 2 2 3 3 2" xfId="10270"/>
    <cellStyle name="Nota 3 2 2 3 3 2 2" xfId="20531"/>
    <cellStyle name="Nota 3 2 2 3 3 2 2 2" xfId="49712"/>
    <cellStyle name="Nota 3 2 2 3 3 2 3" xfId="39453"/>
    <cellStyle name="Nota 3 2 2 3 3 3" xfId="12645"/>
    <cellStyle name="Nota 3 2 2 3 3 3 2" xfId="41826"/>
    <cellStyle name="Nota 3 2 2 3 3 4" xfId="32069"/>
    <cellStyle name="Nota 3 2 2 3 4" xfId="7895"/>
    <cellStyle name="Nota 3 2 2 3 4 2" xfId="19100"/>
    <cellStyle name="Nota 3 2 2 3 4 2 2" xfId="48281"/>
    <cellStyle name="Nota 3 2 2 3 4 3" xfId="37078"/>
    <cellStyle name="Nota 3 2 2 3 5" xfId="16650"/>
    <cellStyle name="Nota 3 2 2 3 5 2" xfId="45831"/>
    <cellStyle name="Nota 3 2 2 3 6" xfId="30266"/>
    <cellStyle name="Nota 3 2 2 4" xfId="1226"/>
    <cellStyle name="Nota 3 2 2 4 2" xfId="2130"/>
    <cellStyle name="Nota 3 2 2 4 2 2" xfId="3930"/>
    <cellStyle name="Nota 3 2 2 4 2 2 2" xfId="7150"/>
    <cellStyle name="Nota 3 2 2 4 2 2 2 2" xfId="18654"/>
    <cellStyle name="Nota 3 2 2 4 2 2 2 2 2" xfId="47835"/>
    <cellStyle name="Nota 3 2 2 4 2 2 2 3" xfId="36333"/>
    <cellStyle name="Nota 3 2 2 4 2 2 3" xfId="15443"/>
    <cellStyle name="Nota 3 2 2 4 2 2 3 2" xfId="44624"/>
    <cellStyle name="Nota 3 2 2 4 2 2 4" xfId="33113"/>
    <cellStyle name="Nota 3 2 2 4 2 3" xfId="10061"/>
    <cellStyle name="Nota 3 2 2 4 2 3 2" xfId="20411"/>
    <cellStyle name="Nota 3 2 2 4 2 3 2 2" xfId="49592"/>
    <cellStyle name="Nota 3 2 2 4 2 3 3" xfId="39244"/>
    <cellStyle name="Nota 3 2 2 4 2 4" xfId="17339"/>
    <cellStyle name="Nota 3 2 2 4 2 4 2" xfId="46520"/>
    <cellStyle name="Nota 3 2 2 4 2 5" xfId="31313"/>
    <cellStyle name="Nota 3 2 2 4 3" xfId="3030"/>
    <cellStyle name="Nota 3 2 2 4 3 2" xfId="9286"/>
    <cellStyle name="Nota 3 2 2 4 3 2 2" xfId="19942"/>
    <cellStyle name="Nota 3 2 2 4 3 2 2 2" xfId="49123"/>
    <cellStyle name="Nota 3 2 2 4 3 2 3" xfId="38469"/>
    <cellStyle name="Nota 3 2 2 4 3 3" xfId="14620"/>
    <cellStyle name="Nota 3 2 2 4 3 3 2" xfId="43801"/>
    <cellStyle name="Nota 3 2 2 4 3 4" xfId="32213"/>
    <cellStyle name="Nota 3 2 2 4 4" xfId="10447"/>
    <cellStyle name="Nota 3 2 2 4 4 2" xfId="20644"/>
    <cellStyle name="Nota 3 2 2 4 4 2 2" xfId="49825"/>
    <cellStyle name="Nota 3 2 2 4 4 3" xfId="39630"/>
    <cellStyle name="Nota 3 2 2 4 5" xfId="17043"/>
    <cellStyle name="Nota 3 2 2 4 5 2" xfId="46224"/>
    <cellStyle name="Nota 3 2 2 4 6" xfId="30413"/>
    <cellStyle name="Nota 3 2 2 5" xfId="1372"/>
    <cellStyle name="Nota 3 2 2 5 2" xfId="2274"/>
    <cellStyle name="Nota 3 2 2 5 2 2" xfId="4074"/>
    <cellStyle name="Nota 3 2 2 5 2 2 2" xfId="7006"/>
    <cellStyle name="Nota 3 2 2 5 2 2 2 2" xfId="18573"/>
    <cellStyle name="Nota 3 2 2 5 2 2 2 2 2" xfId="47754"/>
    <cellStyle name="Nota 3 2 2 5 2 2 2 3" xfId="36189"/>
    <cellStyle name="Nota 3 2 2 5 2 2 3" xfId="16375"/>
    <cellStyle name="Nota 3 2 2 5 2 2 3 2" xfId="45556"/>
    <cellStyle name="Nota 3 2 2 5 2 2 4" xfId="33257"/>
    <cellStyle name="Nota 3 2 2 5 2 3" xfId="7622"/>
    <cellStyle name="Nota 3 2 2 5 2 3 2" xfId="18932"/>
    <cellStyle name="Nota 3 2 2 5 2 3 2 2" xfId="48113"/>
    <cellStyle name="Nota 3 2 2 5 2 3 3" xfId="36805"/>
    <cellStyle name="Nota 3 2 2 5 2 4" xfId="10756"/>
    <cellStyle name="Nota 3 2 2 5 2 4 2" xfId="39937"/>
    <cellStyle name="Nota 3 2 2 5 2 5" xfId="31457"/>
    <cellStyle name="Nota 3 2 2 5 3" xfId="3174"/>
    <cellStyle name="Nota 3 2 2 5 3 2" xfId="7195"/>
    <cellStyle name="Nota 3 2 2 5 3 2 2" xfId="18678"/>
    <cellStyle name="Nota 3 2 2 5 3 2 2 2" xfId="47859"/>
    <cellStyle name="Nota 3 2 2 5 3 2 3" xfId="36378"/>
    <cellStyle name="Nota 3 2 2 5 3 3" xfId="17386"/>
    <cellStyle name="Nota 3 2 2 5 3 3 2" xfId="46567"/>
    <cellStyle name="Nota 3 2 2 5 3 4" xfId="32357"/>
    <cellStyle name="Nota 3 2 2 5 4" xfId="8054"/>
    <cellStyle name="Nota 3 2 2 5 4 2" xfId="19195"/>
    <cellStyle name="Nota 3 2 2 5 4 2 2" xfId="48376"/>
    <cellStyle name="Nota 3 2 2 5 4 3" xfId="37237"/>
    <cellStyle name="Nota 3 2 2 5 5" xfId="12278"/>
    <cellStyle name="Nota 3 2 2 5 5 2" xfId="41459"/>
    <cellStyle name="Nota 3 2 2 5 6" xfId="30557"/>
    <cellStyle name="Nota 3 2 2 6" xfId="1554"/>
    <cellStyle name="Nota 3 2 2 6 2" xfId="3354"/>
    <cellStyle name="Nota 3 2 2 6 2 2" xfId="10382"/>
    <cellStyle name="Nota 3 2 2 6 2 2 2" xfId="20604"/>
    <cellStyle name="Nota 3 2 2 6 2 2 2 2" xfId="49785"/>
    <cellStyle name="Nota 3 2 2 6 2 2 3" xfId="39565"/>
    <cellStyle name="Nota 3 2 2 6 2 3" xfId="17933"/>
    <cellStyle name="Nota 3 2 2 6 2 3 2" xfId="47114"/>
    <cellStyle name="Nota 3 2 2 6 2 4" xfId="32537"/>
    <cellStyle name="Nota 3 2 2 6 3" xfId="9062"/>
    <cellStyle name="Nota 3 2 2 6 3 2" xfId="19802"/>
    <cellStyle name="Nota 3 2 2 6 3 2 2" xfId="48983"/>
    <cellStyle name="Nota 3 2 2 6 3 3" xfId="38245"/>
    <cellStyle name="Nota 3 2 2 6 4" xfId="10671"/>
    <cellStyle name="Nota 3 2 2 6 4 2" xfId="39852"/>
    <cellStyle name="Nota 3 2 2 6 5" xfId="30737"/>
    <cellStyle name="Nota 3 2 2 7" xfId="2454"/>
    <cellStyle name="Nota 3 2 2 7 2" xfId="7425"/>
    <cellStyle name="Nota 3 2 2 7 2 2" xfId="18809"/>
    <cellStyle name="Nota 3 2 2 7 2 2 2" xfId="47990"/>
    <cellStyle name="Nota 3 2 2 7 2 3" xfId="36608"/>
    <cellStyle name="Nota 3 2 2 7 3" xfId="16827"/>
    <cellStyle name="Nota 3 2 2 7 3 2" xfId="46008"/>
    <cellStyle name="Nota 3 2 2 7 4" xfId="31637"/>
    <cellStyle name="Nota 3 2 2 8" xfId="10217"/>
    <cellStyle name="Nota 3 2 2 8 2" xfId="20501"/>
    <cellStyle name="Nota 3 2 2 8 2 2" xfId="49682"/>
    <cellStyle name="Nota 3 2 2 8 3" xfId="39400"/>
    <cellStyle name="Nota 3 2 2 9" xfId="13149"/>
    <cellStyle name="Nota 3 2 2 9 2" xfId="42330"/>
    <cellStyle name="Nota 3 2 3" xfId="794"/>
    <cellStyle name="Nota 3 2 3 2" xfId="1732"/>
    <cellStyle name="Nota 3 2 3 2 2" xfId="3532"/>
    <cellStyle name="Nota 3 2 3 2 2 2" xfId="9980"/>
    <cellStyle name="Nota 3 2 3 2 2 2 2" xfId="20360"/>
    <cellStyle name="Nota 3 2 3 2 2 2 2 2" xfId="49541"/>
    <cellStyle name="Nota 3 2 3 2 2 2 3" xfId="39163"/>
    <cellStyle name="Nota 3 2 3 2 2 3" xfId="14554"/>
    <cellStyle name="Nota 3 2 3 2 2 3 2" xfId="43735"/>
    <cellStyle name="Nota 3 2 3 2 2 4" xfId="32715"/>
    <cellStyle name="Nota 3 2 3 2 3" xfId="7721"/>
    <cellStyle name="Nota 3 2 3 2 3 2" xfId="18994"/>
    <cellStyle name="Nota 3 2 3 2 3 2 2" xfId="48175"/>
    <cellStyle name="Nota 3 2 3 2 3 3" xfId="36904"/>
    <cellStyle name="Nota 3 2 3 2 4" xfId="12961"/>
    <cellStyle name="Nota 3 2 3 2 4 2" xfId="42142"/>
    <cellStyle name="Nota 3 2 3 2 5" xfId="30915"/>
    <cellStyle name="Nota 3 2 3 3" xfId="2632"/>
    <cellStyle name="Nota 3 2 3 3 2" xfId="8521"/>
    <cellStyle name="Nota 3 2 3 3 2 2" xfId="19487"/>
    <cellStyle name="Nota 3 2 3 3 2 2 2" xfId="48668"/>
    <cellStyle name="Nota 3 2 3 3 2 3" xfId="37704"/>
    <cellStyle name="Nota 3 2 3 3 3" xfId="10785"/>
    <cellStyle name="Nota 3 2 3 3 3 2" xfId="39966"/>
    <cellStyle name="Nota 3 2 3 3 4" xfId="31815"/>
    <cellStyle name="Nota 3 2 3 4" xfId="9392"/>
    <cellStyle name="Nota 3 2 3 4 2" xfId="20006"/>
    <cellStyle name="Nota 3 2 3 4 2 2" xfId="49187"/>
    <cellStyle name="Nota 3 2 3 4 3" xfId="38575"/>
    <cellStyle name="Nota 3 2 3 5" xfId="13289"/>
    <cellStyle name="Nota 3 2 3 5 2" xfId="42470"/>
    <cellStyle name="Nota 3 2 3 6" xfId="29991"/>
    <cellStyle name="Nota 3 2 4" xfId="986"/>
    <cellStyle name="Nota 3 2 4 2" xfId="1896"/>
    <cellStyle name="Nota 3 2 4 2 2" xfId="3696"/>
    <cellStyle name="Nota 3 2 4 2 2 2" xfId="9955"/>
    <cellStyle name="Nota 3 2 4 2 2 2 2" xfId="20343"/>
    <cellStyle name="Nota 3 2 4 2 2 2 2 2" xfId="49524"/>
    <cellStyle name="Nota 3 2 4 2 2 2 3" xfId="39138"/>
    <cellStyle name="Nota 3 2 4 2 2 3" xfId="17799"/>
    <cellStyle name="Nota 3 2 4 2 2 3 2" xfId="46980"/>
    <cellStyle name="Nota 3 2 4 2 2 4" xfId="32879"/>
    <cellStyle name="Nota 3 2 4 2 3" xfId="9748"/>
    <cellStyle name="Nota 3 2 4 2 3 2" xfId="20219"/>
    <cellStyle name="Nota 3 2 4 2 3 2 2" xfId="49400"/>
    <cellStyle name="Nota 3 2 4 2 3 3" xfId="38931"/>
    <cellStyle name="Nota 3 2 4 2 4" xfId="17550"/>
    <cellStyle name="Nota 3 2 4 2 4 2" xfId="46731"/>
    <cellStyle name="Nota 3 2 4 2 5" xfId="31079"/>
    <cellStyle name="Nota 3 2 4 3" xfId="2796"/>
    <cellStyle name="Nota 3 2 4 3 2" xfId="8354"/>
    <cellStyle name="Nota 3 2 4 3 2 2" xfId="19378"/>
    <cellStyle name="Nota 3 2 4 3 2 2 2" xfId="48559"/>
    <cellStyle name="Nota 3 2 4 3 2 3" xfId="37537"/>
    <cellStyle name="Nota 3 2 4 3 3" xfId="15174"/>
    <cellStyle name="Nota 3 2 4 3 3 2" xfId="44355"/>
    <cellStyle name="Nota 3 2 4 3 4" xfId="31979"/>
    <cellStyle name="Nota 3 2 4 4" xfId="10450"/>
    <cellStyle name="Nota 3 2 4 4 2" xfId="20646"/>
    <cellStyle name="Nota 3 2 4 4 2 2" xfId="49827"/>
    <cellStyle name="Nota 3 2 4 4 3" xfId="39633"/>
    <cellStyle name="Nota 3 2 4 5" xfId="11563"/>
    <cellStyle name="Nota 3 2 4 5 2" xfId="40744"/>
    <cellStyle name="Nota 3 2 4 6" xfId="30176"/>
    <cellStyle name="Nota 3 2 5" xfId="1136"/>
    <cellStyle name="Nota 3 2 5 2" xfId="2040"/>
    <cellStyle name="Nota 3 2 5 2 2" xfId="3840"/>
    <cellStyle name="Nota 3 2 5 2 2 2" xfId="7941"/>
    <cellStyle name="Nota 3 2 5 2 2 2 2" xfId="19126"/>
    <cellStyle name="Nota 3 2 5 2 2 2 2 2" xfId="48307"/>
    <cellStyle name="Nota 3 2 5 2 2 2 3" xfId="37124"/>
    <cellStyle name="Nota 3 2 5 2 2 3" xfId="17866"/>
    <cellStyle name="Nota 3 2 5 2 2 3 2" xfId="47047"/>
    <cellStyle name="Nota 3 2 5 2 2 4" xfId="33023"/>
    <cellStyle name="Nota 3 2 5 2 3" xfId="8127"/>
    <cellStyle name="Nota 3 2 5 2 3 2" xfId="19239"/>
    <cellStyle name="Nota 3 2 5 2 3 2 2" xfId="48420"/>
    <cellStyle name="Nota 3 2 5 2 3 3" xfId="37310"/>
    <cellStyle name="Nota 3 2 5 2 4" xfId="12101"/>
    <cellStyle name="Nota 3 2 5 2 4 2" xfId="41282"/>
    <cellStyle name="Nota 3 2 5 2 5" xfId="31223"/>
    <cellStyle name="Nota 3 2 5 3" xfId="2940"/>
    <cellStyle name="Nota 3 2 5 3 2" xfId="8892"/>
    <cellStyle name="Nota 3 2 5 3 2 2" xfId="19702"/>
    <cellStyle name="Nota 3 2 5 3 2 2 2" xfId="48883"/>
    <cellStyle name="Nota 3 2 5 3 2 3" xfId="38075"/>
    <cellStyle name="Nota 3 2 5 3 3" xfId="11559"/>
    <cellStyle name="Nota 3 2 5 3 3 2" xfId="40740"/>
    <cellStyle name="Nota 3 2 5 3 4" xfId="32123"/>
    <cellStyle name="Nota 3 2 5 4" xfId="7932"/>
    <cellStyle name="Nota 3 2 5 4 2" xfId="19119"/>
    <cellStyle name="Nota 3 2 5 4 2 2" xfId="48300"/>
    <cellStyle name="Nota 3 2 5 4 3" xfId="37115"/>
    <cellStyle name="Nota 3 2 5 5" xfId="12963"/>
    <cellStyle name="Nota 3 2 5 5 2" xfId="42144"/>
    <cellStyle name="Nota 3 2 5 6" xfId="30323"/>
    <cellStyle name="Nota 3 2 6" xfId="1282"/>
    <cellStyle name="Nota 3 2 6 2" xfId="2184"/>
    <cellStyle name="Nota 3 2 6 2 2" xfId="3984"/>
    <cellStyle name="Nota 3 2 6 2 2 2" xfId="7096"/>
    <cellStyle name="Nota 3 2 6 2 2 2 2" xfId="18627"/>
    <cellStyle name="Nota 3 2 6 2 2 2 2 2" xfId="47808"/>
    <cellStyle name="Nota 3 2 6 2 2 2 3" xfId="36279"/>
    <cellStyle name="Nota 3 2 6 2 2 3" xfId="14938"/>
    <cellStyle name="Nota 3 2 6 2 2 3 2" xfId="44119"/>
    <cellStyle name="Nota 3 2 6 2 2 4" xfId="33167"/>
    <cellStyle name="Nota 3 2 6 2 3" xfId="8044"/>
    <cellStyle name="Nota 3 2 6 2 3 2" xfId="19189"/>
    <cellStyle name="Nota 3 2 6 2 3 2 2" xfId="48370"/>
    <cellStyle name="Nota 3 2 6 2 3 3" xfId="37227"/>
    <cellStyle name="Nota 3 2 6 2 4" xfId="16930"/>
    <cellStyle name="Nota 3 2 6 2 4 2" xfId="46111"/>
    <cellStyle name="Nota 3 2 6 2 5" xfId="31367"/>
    <cellStyle name="Nota 3 2 6 3" xfId="3084"/>
    <cellStyle name="Nota 3 2 6 3 2" xfId="8809"/>
    <cellStyle name="Nota 3 2 6 3 2 2" xfId="19654"/>
    <cellStyle name="Nota 3 2 6 3 2 2 2" xfId="48835"/>
    <cellStyle name="Nota 3 2 6 3 2 3" xfId="37992"/>
    <cellStyle name="Nota 3 2 6 3 3" xfId="11936"/>
    <cellStyle name="Nota 3 2 6 3 3 2" xfId="41117"/>
    <cellStyle name="Nota 3 2 6 3 4" xfId="32267"/>
    <cellStyle name="Nota 3 2 6 4" xfId="9103"/>
    <cellStyle name="Nota 3 2 6 4 2" xfId="19830"/>
    <cellStyle name="Nota 3 2 6 4 2 2" xfId="49011"/>
    <cellStyle name="Nota 3 2 6 4 3" xfId="38286"/>
    <cellStyle name="Nota 3 2 6 5" xfId="17531"/>
    <cellStyle name="Nota 3 2 6 5 2" xfId="46712"/>
    <cellStyle name="Nota 3 2 6 6" xfId="30467"/>
    <cellStyle name="Nota 3 2 7" xfId="1464"/>
    <cellStyle name="Nota 3 2 7 2" xfId="3264"/>
    <cellStyle name="Nota 3 2 7 2 2" xfId="8514"/>
    <cellStyle name="Nota 3 2 7 2 2 2" xfId="19481"/>
    <cellStyle name="Nota 3 2 7 2 2 2 2" xfId="48662"/>
    <cellStyle name="Nota 3 2 7 2 2 3" xfId="37697"/>
    <cellStyle name="Nota 3 2 7 2 3" xfId="11635"/>
    <cellStyle name="Nota 3 2 7 2 3 2" xfId="40816"/>
    <cellStyle name="Nota 3 2 7 2 4" xfId="32447"/>
    <cellStyle name="Nota 3 2 7 3" xfId="8291"/>
    <cellStyle name="Nota 3 2 7 3 2" xfId="19340"/>
    <cellStyle name="Nota 3 2 7 3 2 2" xfId="48521"/>
    <cellStyle name="Nota 3 2 7 3 3" xfId="37474"/>
    <cellStyle name="Nota 3 2 7 4" xfId="18011"/>
    <cellStyle name="Nota 3 2 7 4 2" xfId="47192"/>
    <cellStyle name="Nota 3 2 7 5" xfId="30647"/>
    <cellStyle name="Nota 3 2 8" xfId="2364"/>
    <cellStyle name="Nota 3 2 8 2" xfId="7270"/>
    <cellStyle name="Nota 3 2 8 2 2" xfId="18726"/>
    <cellStyle name="Nota 3 2 8 2 2 2" xfId="47907"/>
    <cellStyle name="Nota 3 2 8 2 3" xfId="36453"/>
    <cellStyle name="Nota 3 2 8 3" xfId="17912"/>
    <cellStyle name="Nota 3 2 8 3 2" xfId="47093"/>
    <cellStyle name="Nota 3 2 8 4" xfId="31547"/>
    <cellStyle name="Nota 3 2 9" xfId="8301"/>
    <cellStyle name="Nota 3 2 9 2" xfId="19346"/>
    <cellStyle name="Nota 3 2 9 2 2" xfId="48527"/>
    <cellStyle name="Nota 3 2 9 3" xfId="37484"/>
    <cellStyle name="Nota 3 3" xfId="486"/>
    <cellStyle name="Nota 3 3 10" xfId="29692"/>
    <cellStyle name="Nota 3 3 2" xfId="839"/>
    <cellStyle name="Nota 3 3 2 2" xfId="1777"/>
    <cellStyle name="Nota 3 3 2 2 2" xfId="3577"/>
    <cellStyle name="Nota 3 3 2 2 2 2" xfId="7992"/>
    <cellStyle name="Nota 3 3 2 2 2 2 2" xfId="19158"/>
    <cellStyle name="Nota 3 3 2 2 2 2 2 2" xfId="48339"/>
    <cellStyle name="Nota 3 3 2 2 2 2 3" xfId="37175"/>
    <cellStyle name="Nota 3 3 2 2 2 3" xfId="13597"/>
    <cellStyle name="Nota 3 3 2 2 2 3 2" xfId="42778"/>
    <cellStyle name="Nota 3 3 2 2 2 4" xfId="32760"/>
    <cellStyle name="Nota 3 3 2 2 3" xfId="9710"/>
    <cellStyle name="Nota 3 3 2 2 3 2" xfId="20196"/>
    <cellStyle name="Nota 3 3 2 2 3 2 2" xfId="49377"/>
    <cellStyle name="Nota 3 3 2 2 3 3" xfId="38893"/>
    <cellStyle name="Nota 3 3 2 2 4" xfId="17195"/>
    <cellStyle name="Nota 3 3 2 2 4 2" xfId="46376"/>
    <cellStyle name="Nota 3 3 2 2 5" xfId="30960"/>
    <cellStyle name="Nota 3 3 2 3" xfId="2677"/>
    <cellStyle name="Nota 3 3 2 3 2" xfId="8316"/>
    <cellStyle name="Nota 3 3 2 3 2 2" xfId="19355"/>
    <cellStyle name="Nota 3 3 2 3 2 2 2" xfId="48536"/>
    <cellStyle name="Nota 3 3 2 3 2 3" xfId="37499"/>
    <cellStyle name="Nota 3 3 2 3 3" xfId="11801"/>
    <cellStyle name="Nota 3 3 2 3 3 2" xfId="40982"/>
    <cellStyle name="Nota 3 3 2 3 4" xfId="31860"/>
    <cellStyle name="Nota 3 3 2 4" xfId="8540"/>
    <cellStyle name="Nota 3 3 2 4 2" xfId="19499"/>
    <cellStyle name="Nota 3 3 2 4 2 2" xfId="48680"/>
    <cellStyle name="Nota 3 3 2 4 3" xfId="37723"/>
    <cellStyle name="Nota 3 3 2 5" xfId="16127"/>
    <cellStyle name="Nota 3 3 2 5 2" xfId="45308"/>
    <cellStyle name="Nota 3 3 2 6" xfId="30036"/>
    <cellStyle name="Nota 3 3 3" xfId="1031"/>
    <cellStyle name="Nota 3 3 3 2" xfId="1941"/>
    <cellStyle name="Nota 3 3 3 2 2" xfId="3741"/>
    <cellStyle name="Nota 3 3 3 2 2 2" xfId="7865"/>
    <cellStyle name="Nota 3 3 3 2 2 2 2" xfId="19081"/>
    <cellStyle name="Nota 3 3 3 2 2 2 2 2" xfId="48262"/>
    <cellStyle name="Nota 3 3 3 2 2 2 3" xfId="37048"/>
    <cellStyle name="Nota 3 3 3 2 2 3" xfId="10640"/>
    <cellStyle name="Nota 3 3 3 2 2 3 2" xfId="39821"/>
    <cellStyle name="Nota 3 3 3 2 2 4" xfId="32924"/>
    <cellStyle name="Nota 3 3 3 2 3" xfId="9589"/>
    <cellStyle name="Nota 3 3 3 2 3 2" xfId="20123"/>
    <cellStyle name="Nota 3 3 3 2 3 2 2" xfId="49304"/>
    <cellStyle name="Nota 3 3 3 2 3 3" xfId="38772"/>
    <cellStyle name="Nota 3 3 3 2 4" xfId="14888"/>
    <cellStyle name="Nota 3 3 3 2 4 2" xfId="44069"/>
    <cellStyle name="Nota 3 3 3 2 5" xfId="31124"/>
    <cellStyle name="Nota 3 3 3 3" xfId="2841"/>
    <cellStyle name="Nota 3 3 3 3 2" xfId="8158"/>
    <cellStyle name="Nota 3 3 3 3 2 2" xfId="19259"/>
    <cellStyle name="Nota 3 3 3 3 2 2 2" xfId="48440"/>
    <cellStyle name="Nota 3 3 3 3 2 3" xfId="37341"/>
    <cellStyle name="Nota 3 3 3 3 3" xfId="14351"/>
    <cellStyle name="Nota 3 3 3 3 3 2" xfId="43532"/>
    <cellStyle name="Nota 3 3 3 3 4" xfId="32024"/>
    <cellStyle name="Nota 3 3 3 4" xfId="10035"/>
    <cellStyle name="Nota 3 3 3 4 2" xfId="20392"/>
    <cellStyle name="Nota 3 3 3 4 2 2" xfId="49573"/>
    <cellStyle name="Nota 3 3 3 4 3" xfId="39218"/>
    <cellStyle name="Nota 3 3 3 5" xfId="17766"/>
    <cellStyle name="Nota 3 3 3 5 2" xfId="46947"/>
    <cellStyle name="Nota 3 3 3 6" xfId="30221"/>
    <cellStyle name="Nota 3 3 4" xfId="1181"/>
    <cellStyle name="Nota 3 3 4 2" xfId="2085"/>
    <cellStyle name="Nota 3 3 4 2 2" xfId="3885"/>
    <cellStyle name="Nota 3 3 4 2 2 2" xfId="7735"/>
    <cellStyle name="Nota 3 3 4 2 2 2 2" xfId="19002"/>
    <cellStyle name="Nota 3 3 4 2 2 2 2 2" xfId="48183"/>
    <cellStyle name="Nota 3 3 4 2 2 2 3" xfId="36918"/>
    <cellStyle name="Nota 3 3 4 2 2 3" xfId="11834"/>
    <cellStyle name="Nota 3 3 4 2 2 3 2" xfId="41015"/>
    <cellStyle name="Nota 3 3 4 2 2 4" xfId="33068"/>
    <cellStyle name="Nota 3 3 4 2 3" xfId="7673"/>
    <cellStyle name="Nota 3 3 4 2 3 2" xfId="18963"/>
    <cellStyle name="Nota 3 3 4 2 3 2 2" xfId="48144"/>
    <cellStyle name="Nota 3 3 4 2 3 3" xfId="36856"/>
    <cellStyle name="Nota 3 3 4 2 4" xfId="17687"/>
    <cellStyle name="Nota 3 3 4 2 4 2" xfId="46868"/>
    <cellStyle name="Nota 3 3 4 2 5" xfId="31268"/>
    <cellStyle name="Nota 3 3 4 3" xfId="2985"/>
    <cellStyle name="Nota 3 3 4 3 2" xfId="8459"/>
    <cellStyle name="Nota 3 3 4 3 2 2" xfId="19449"/>
    <cellStyle name="Nota 3 3 4 3 2 2 2" xfId="48630"/>
    <cellStyle name="Nota 3 3 4 3 2 3" xfId="37642"/>
    <cellStyle name="Nota 3 3 4 3 3" xfId="15307"/>
    <cellStyle name="Nota 3 3 4 3 3 2" xfId="44488"/>
    <cellStyle name="Nota 3 3 4 3 4" xfId="32168"/>
    <cellStyle name="Nota 3 3 4 4" xfId="7400"/>
    <cellStyle name="Nota 3 3 4 4 2" xfId="18794"/>
    <cellStyle name="Nota 3 3 4 4 2 2" xfId="47975"/>
    <cellStyle name="Nota 3 3 4 4 3" xfId="36583"/>
    <cellStyle name="Nota 3 3 4 5" xfId="16200"/>
    <cellStyle name="Nota 3 3 4 5 2" xfId="45381"/>
    <cellStyle name="Nota 3 3 4 6" xfId="30368"/>
    <cellStyle name="Nota 3 3 5" xfId="1327"/>
    <cellStyle name="Nota 3 3 5 2" xfId="2229"/>
    <cellStyle name="Nota 3 3 5 2 2" xfId="4029"/>
    <cellStyle name="Nota 3 3 5 2 2 2" xfId="7051"/>
    <cellStyle name="Nota 3 3 5 2 2 2 2" xfId="18600"/>
    <cellStyle name="Nota 3 3 5 2 2 2 2 2" xfId="47781"/>
    <cellStyle name="Nota 3 3 5 2 2 2 3" xfId="36234"/>
    <cellStyle name="Nota 3 3 5 2 2 3" xfId="12736"/>
    <cellStyle name="Nota 3 3 5 2 2 3 2" xfId="41917"/>
    <cellStyle name="Nota 3 3 5 2 2 4" xfId="33212"/>
    <cellStyle name="Nota 3 3 5 2 3" xfId="10135"/>
    <cellStyle name="Nota 3 3 5 2 3 2" xfId="20454"/>
    <cellStyle name="Nota 3 3 5 2 3 2 2" xfId="49635"/>
    <cellStyle name="Nota 3 3 5 2 3 3" xfId="39318"/>
    <cellStyle name="Nota 3 3 5 2 4" xfId="16063"/>
    <cellStyle name="Nota 3 3 5 2 4 2" xfId="45244"/>
    <cellStyle name="Nota 3 3 5 2 5" xfId="31412"/>
    <cellStyle name="Nota 3 3 5 3" xfId="3129"/>
    <cellStyle name="Nota 3 3 5 3 2" xfId="9361"/>
    <cellStyle name="Nota 3 3 5 3 2 2" xfId="19987"/>
    <cellStyle name="Nota 3 3 5 3 2 2 2" xfId="49168"/>
    <cellStyle name="Nota 3 3 5 3 2 3" xfId="38544"/>
    <cellStyle name="Nota 3 3 5 3 3" xfId="15538"/>
    <cellStyle name="Nota 3 3 5 3 3 2" xfId="44719"/>
    <cellStyle name="Nota 3 3 5 3 4" xfId="32312"/>
    <cellStyle name="Nota 3 3 5 4" xfId="8214"/>
    <cellStyle name="Nota 3 3 5 4 2" xfId="19294"/>
    <cellStyle name="Nota 3 3 5 4 2 2" xfId="48475"/>
    <cellStyle name="Nota 3 3 5 4 3" xfId="37397"/>
    <cellStyle name="Nota 3 3 5 5" xfId="11871"/>
    <cellStyle name="Nota 3 3 5 5 2" xfId="41052"/>
    <cellStyle name="Nota 3 3 5 6" xfId="30512"/>
    <cellStyle name="Nota 3 3 6" xfId="1509"/>
    <cellStyle name="Nota 3 3 6 2" xfId="3309"/>
    <cellStyle name="Nota 3 3 6 2 2" xfId="8309"/>
    <cellStyle name="Nota 3 3 6 2 2 2" xfId="19351"/>
    <cellStyle name="Nota 3 3 6 2 2 2 2" xfId="48532"/>
    <cellStyle name="Nota 3 3 6 2 2 3" xfId="37492"/>
    <cellStyle name="Nota 3 3 6 2 3" xfId="15561"/>
    <cellStyle name="Nota 3 3 6 2 3 2" xfId="44742"/>
    <cellStyle name="Nota 3 3 6 2 4" xfId="32492"/>
    <cellStyle name="Nota 3 3 6 3" xfId="7317"/>
    <cellStyle name="Nota 3 3 6 3 2" xfId="18749"/>
    <cellStyle name="Nota 3 3 6 3 2 2" xfId="47930"/>
    <cellStyle name="Nota 3 3 6 3 3" xfId="36500"/>
    <cellStyle name="Nota 3 3 6 4" xfId="10703"/>
    <cellStyle name="Nota 3 3 6 4 2" xfId="39884"/>
    <cellStyle name="Nota 3 3 6 5" xfId="30692"/>
    <cellStyle name="Nota 3 3 7" xfId="2409"/>
    <cellStyle name="Nota 3 3 7 2" xfId="7249"/>
    <cellStyle name="Nota 3 3 7 2 2" xfId="18709"/>
    <cellStyle name="Nota 3 3 7 2 2 2" xfId="47890"/>
    <cellStyle name="Nota 3 3 7 2 3" xfId="36432"/>
    <cellStyle name="Nota 3 3 7 3" xfId="18091"/>
    <cellStyle name="Nota 3 3 7 3 2" xfId="47272"/>
    <cellStyle name="Nota 3 3 7 4" xfId="31592"/>
    <cellStyle name="Nota 3 3 8" xfId="8106"/>
    <cellStyle name="Nota 3 3 8 2" xfId="19226"/>
    <cellStyle name="Nota 3 3 8 2 2" xfId="48407"/>
    <cellStyle name="Nota 3 3 8 3" xfId="37289"/>
    <cellStyle name="Nota 3 3 9" xfId="11278"/>
    <cellStyle name="Nota 3 3 9 2" xfId="40459"/>
    <cellStyle name="Nota 3 4" xfId="702"/>
    <cellStyle name="Nota 3 4 2" xfId="1669"/>
    <cellStyle name="Nota 3 4 2 2" xfId="3469"/>
    <cellStyle name="Nota 3 4 2 2 2" xfId="8307"/>
    <cellStyle name="Nota 3 4 2 2 2 2" xfId="19349"/>
    <cellStyle name="Nota 3 4 2 2 2 2 2" xfId="48530"/>
    <cellStyle name="Nota 3 4 2 2 2 3" xfId="37490"/>
    <cellStyle name="Nota 3 4 2 2 3" xfId="10752"/>
    <cellStyle name="Nota 3 4 2 2 3 2" xfId="39933"/>
    <cellStyle name="Nota 3 4 2 2 4" xfId="32652"/>
    <cellStyle name="Nota 3 4 2 3" xfId="10142"/>
    <cellStyle name="Nota 3 4 2 3 2" xfId="20457"/>
    <cellStyle name="Nota 3 4 2 3 2 2" xfId="49638"/>
    <cellStyle name="Nota 3 4 2 3 3" xfId="39325"/>
    <cellStyle name="Nota 3 4 2 4" xfId="17118"/>
    <cellStyle name="Nota 3 4 2 4 2" xfId="46299"/>
    <cellStyle name="Nota 3 4 2 5" xfId="30852"/>
    <cellStyle name="Nota 3 4 3" xfId="2569"/>
    <cellStyle name="Nota 3 4 3 2" xfId="9368"/>
    <cellStyle name="Nota 3 4 3 2 2" xfId="19990"/>
    <cellStyle name="Nota 3 4 3 2 2 2" xfId="49171"/>
    <cellStyle name="Nota 3 4 3 2 3" xfId="38551"/>
    <cellStyle name="Nota 3 4 3 3" xfId="15204"/>
    <cellStyle name="Nota 3 4 3 3 2" xfId="44385"/>
    <cellStyle name="Nota 3 4 3 4" xfId="31752"/>
    <cellStyle name="Nota 3 4 4" xfId="10530"/>
    <cellStyle name="Nota 3 4 4 2" xfId="20696"/>
    <cellStyle name="Nota 3 4 4 2 2" xfId="49877"/>
    <cellStyle name="Nota 3 4 4 3" xfId="39713"/>
    <cellStyle name="Nota 3 4 5" xfId="10761"/>
    <cellStyle name="Nota 3 4 5 2" xfId="39942"/>
    <cellStyle name="Nota 3 4 6" xfId="29903"/>
    <cellStyle name="Nota 3 5" xfId="576"/>
    <cellStyle name="Nota 3 5 2" xfId="1592"/>
    <cellStyle name="Nota 3 5 2 2" xfId="3392"/>
    <cellStyle name="Nota 3 5 2 2 2" xfId="8926"/>
    <cellStyle name="Nota 3 5 2 2 2 2" xfId="19725"/>
    <cellStyle name="Nota 3 5 2 2 2 2 2" xfId="48906"/>
    <cellStyle name="Nota 3 5 2 2 2 3" xfId="38109"/>
    <cellStyle name="Nota 3 5 2 2 3" xfId="15352"/>
    <cellStyle name="Nota 3 5 2 2 3 2" xfId="44533"/>
    <cellStyle name="Nota 3 5 2 2 4" xfId="32575"/>
    <cellStyle name="Nota 3 5 2 3" xfId="7472"/>
    <cellStyle name="Nota 3 5 2 3 2" xfId="18837"/>
    <cellStyle name="Nota 3 5 2 3 2 2" xfId="48018"/>
    <cellStyle name="Nota 3 5 2 3 3" xfId="36655"/>
    <cellStyle name="Nota 3 5 2 4" xfId="10932"/>
    <cellStyle name="Nota 3 5 2 4 2" xfId="40113"/>
    <cellStyle name="Nota 3 5 2 5" xfId="30775"/>
    <cellStyle name="Nota 3 5 3" xfId="2492"/>
    <cellStyle name="Nota 3 5 3 2" xfId="7790"/>
    <cellStyle name="Nota 3 5 3 2 2" xfId="19036"/>
    <cellStyle name="Nota 3 5 3 2 2 2" xfId="48217"/>
    <cellStyle name="Nota 3 5 3 2 3" xfId="36973"/>
    <cellStyle name="Nota 3 5 3 3" xfId="17489"/>
    <cellStyle name="Nota 3 5 3 3 2" xfId="46670"/>
    <cellStyle name="Nota 3 5 3 4" xfId="31675"/>
    <cellStyle name="Nota 3 5 4" xfId="10040"/>
    <cellStyle name="Nota 3 5 4 2" xfId="20396"/>
    <cellStyle name="Nota 3 5 4 2 2" xfId="49577"/>
    <cellStyle name="Nota 3 5 4 3" xfId="39223"/>
    <cellStyle name="Nota 3 5 5" xfId="16177"/>
    <cellStyle name="Nota 3 5 5 2" xfId="45358"/>
    <cellStyle name="Nota 3 5 6" xfId="29781"/>
    <cellStyle name="Nota 3 6" xfId="745"/>
    <cellStyle name="Nota 3 6 2" xfId="1687"/>
    <cellStyle name="Nota 3 6 2 2" xfId="3487"/>
    <cellStyle name="Nota 3 6 2 2 2" xfId="9041"/>
    <cellStyle name="Nota 3 6 2 2 2 2" xfId="19790"/>
    <cellStyle name="Nota 3 6 2 2 2 2 2" xfId="48971"/>
    <cellStyle name="Nota 3 6 2 2 2 3" xfId="38224"/>
    <cellStyle name="Nota 3 6 2 2 3" xfId="14047"/>
    <cellStyle name="Nota 3 6 2 2 3 2" xfId="43228"/>
    <cellStyle name="Nota 3 6 2 2 4" xfId="32670"/>
    <cellStyle name="Nota 3 6 2 3" xfId="9924"/>
    <cellStyle name="Nota 3 6 2 3 2" xfId="20325"/>
    <cellStyle name="Nota 3 6 2 3 2 2" xfId="49506"/>
    <cellStyle name="Nota 3 6 2 3 3" xfId="39107"/>
    <cellStyle name="Nota 3 6 2 4" xfId="17770"/>
    <cellStyle name="Nota 3 6 2 4 2" xfId="46951"/>
    <cellStyle name="Nota 3 6 2 5" xfId="30870"/>
    <cellStyle name="Nota 3 6 3" xfId="2587"/>
    <cellStyle name="Nota 3 6 3 2" xfId="9176"/>
    <cellStyle name="Nota 3 6 3 2 2" xfId="19872"/>
    <cellStyle name="Nota 3 6 3 2 2 2" xfId="49053"/>
    <cellStyle name="Nota 3 6 3 2 3" xfId="38359"/>
    <cellStyle name="Nota 3 6 3 3" xfId="15005"/>
    <cellStyle name="Nota 3 6 3 3 2" xfId="44186"/>
    <cellStyle name="Nota 3 6 3 4" xfId="31770"/>
    <cellStyle name="Nota 3 6 4" xfId="7360"/>
    <cellStyle name="Nota 3 6 4 2" xfId="18772"/>
    <cellStyle name="Nota 3 6 4 2 2" xfId="47953"/>
    <cellStyle name="Nota 3 6 4 3" xfId="36543"/>
    <cellStyle name="Nota 3 6 5" xfId="16073"/>
    <cellStyle name="Nota 3 6 5 2" xfId="45254"/>
    <cellStyle name="Nota 3 6 6" xfId="29943"/>
    <cellStyle name="Nota 3 7" xfId="937"/>
    <cellStyle name="Nota 3 7 2" xfId="1851"/>
    <cellStyle name="Nota 3 7 2 2" xfId="3651"/>
    <cellStyle name="Nota 3 7 2 2 2" xfId="10420"/>
    <cellStyle name="Nota 3 7 2 2 2 2" xfId="20626"/>
    <cellStyle name="Nota 3 7 2 2 2 2 2" xfId="49807"/>
    <cellStyle name="Nota 3 7 2 2 2 3" xfId="39603"/>
    <cellStyle name="Nota 3 7 2 2 3" xfId="12191"/>
    <cellStyle name="Nota 3 7 2 2 3 2" xfId="41372"/>
    <cellStyle name="Nota 3 7 2 2 4" xfId="32834"/>
    <cellStyle name="Nota 3 7 2 3" xfId="10007"/>
    <cellStyle name="Nota 3 7 2 3 2" xfId="20378"/>
    <cellStyle name="Nota 3 7 2 3 2 2" xfId="49559"/>
    <cellStyle name="Nota 3 7 2 3 3" xfId="39190"/>
    <cellStyle name="Nota 3 7 2 4" xfId="17747"/>
    <cellStyle name="Nota 3 7 2 4 2" xfId="46928"/>
    <cellStyle name="Nota 3 7 2 5" xfId="31034"/>
    <cellStyle name="Nota 3 7 3" xfId="2751"/>
    <cellStyle name="Nota 3 7 3 2" xfId="9223"/>
    <cellStyle name="Nota 3 7 3 2 2" xfId="19905"/>
    <cellStyle name="Nota 3 7 3 2 2 2" xfId="49086"/>
    <cellStyle name="Nota 3 7 3 2 3" xfId="38406"/>
    <cellStyle name="Nota 3 7 3 3" xfId="17302"/>
    <cellStyle name="Nota 3 7 3 3 2" xfId="46483"/>
    <cellStyle name="Nota 3 7 3 4" xfId="31934"/>
    <cellStyle name="Nota 3 7 4" xfId="10151"/>
    <cellStyle name="Nota 3 7 4 2" xfId="20463"/>
    <cellStyle name="Nota 3 7 4 2 2" xfId="49644"/>
    <cellStyle name="Nota 3 7 4 3" xfId="39334"/>
    <cellStyle name="Nota 3 7 5" xfId="12993"/>
    <cellStyle name="Nota 3 7 5 2" xfId="42174"/>
    <cellStyle name="Nota 3 7 6" xfId="30128"/>
    <cellStyle name="Nota 3 8" xfId="1419"/>
    <cellStyle name="Nota 3 8 2" xfId="3219"/>
    <cellStyle name="Nota 3 8 2 2" xfId="9192"/>
    <cellStyle name="Nota 3 8 2 2 2" xfId="19884"/>
    <cellStyle name="Nota 3 8 2 2 2 2" xfId="49065"/>
    <cellStyle name="Nota 3 8 2 2 3" xfId="38375"/>
    <cellStyle name="Nota 3 8 2 3" xfId="14749"/>
    <cellStyle name="Nota 3 8 2 3 2" xfId="43930"/>
    <cellStyle name="Nota 3 8 2 4" xfId="32402"/>
    <cellStyle name="Nota 3 8 3" xfId="7801"/>
    <cellStyle name="Nota 3 8 3 2" xfId="19043"/>
    <cellStyle name="Nota 3 8 3 2 2" xfId="48224"/>
    <cellStyle name="Nota 3 8 3 3" xfId="36984"/>
    <cellStyle name="Nota 3 8 4" xfId="15994"/>
    <cellStyle name="Nota 3 8 4 2" xfId="45175"/>
    <cellStyle name="Nota 3 8 5" xfId="30602"/>
    <cellStyle name="Nota 3 9" xfId="2319"/>
    <cellStyle name="Nota 3 9 2" xfId="7660"/>
    <cellStyle name="Nota 3 9 2 2" xfId="18954"/>
    <cellStyle name="Nota 3 9 2 2 2" xfId="48135"/>
    <cellStyle name="Nota 3 9 2 3" xfId="36843"/>
    <cellStyle name="Nota 3 9 3" xfId="12873"/>
    <cellStyle name="Nota 3 9 3 2" xfId="42054"/>
    <cellStyle name="Nota 3 9 4" xfId="31502"/>
    <cellStyle name="Nota 4" xfId="329"/>
    <cellStyle name="Nota 4 10" xfId="17481"/>
    <cellStyle name="Nota 4 10 2" xfId="46662"/>
    <cellStyle name="Nota 4 11" xfId="58740"/>
    <cellStyle name="Nota 4 12" xfId="29602"/>
    <cellStyle name="Nota 4 2" xfId="442"/>
    <cellStyle name="Nota 4 2 10" xfId="15980"/>
    <cellStyle name="Nota 4 2 10 2" xfId="45161"/>
    <cellStyle name="Nota 4 2 11" xfId="58785"/>
    <cellStyle name="Nota 4 2 12" xfId="29648"/>
    <cellStyle name="Nota 4 2 2" xfId="532"/>
    <cellStyle name="Nota 4 2 2 10" xfId="29738"/>
    <cellStyle name="Nota 4 2 2 2" xfId="885"/>
    <cellStyle name="Nota 4 2 2 2 2" xfId="1823"/>
    <cellStyle name="Nota 4 2 2 2 2 2" xfId="3623"/>
    <cellStyle name="Nota 4 2 2 2 2 2 2" xfId="9202"/>
    <cellStyle name="Nota 4 2 2 2 2 2 2 2" xfId="19890"/>
    <cellStyle name="Nota 4 2 2 2 2 2 2 2 2" xfId="49071"/>
    <cellStyle name="Nota 4 2 2 2 2 2 2 3" xfId="38385"/>
    <cellStyle name="Nota 4 2 2 2 2 2 3" xfId="16839"/>
    <cellStyle name="Nota 4 2 2 2 2 2 3 2" xfId="46020"/>
    <cellStyle name="Nota 4 2 2 2 2 2 4" xfId="32806"/>
    <cellStyle name="Nota 4 2 2 2 2 3" xfId="8088"/>
    <cellStyle name="Nota 4 2 2 2 2 3 2" xfId="19213"/>
    <cellStyle name="Nota 4 2 2 2 2 3 2 2" xfId="48394"/>
    <cellStyle name="Nota 4 2 2 2 2 3 3" xfId="37271"/>
    <cellStyle name="Nota 4 2 2 2 2 4" xfId="14656"/>
    <cellStyle name="Nota 4 2 2 2 2 4 2" xfId="43837"/>
    <cellStyle name="Nota 4 2 2 2 2 5" xfId="31006"/>
    <cellStyle name="Nota 4 2 2 2 3" xfId="2723"/>
    <cellStyle name="Nota 4 2 2 2 3 2" xfId="8853"/>
    <cellStyle name="Nota 4 2 2 2 3 2 2" xfId="19679"/>
    <cellStyle name="Nota 4 2 2 2 3 2 2 2" xfId="48860"/>
    <cellStyle name="Nota 4 2 2 2 3 2 3" xfId="38036"/>
    <cellStyle name="Nota 4 2 2 2 3 3" xfId="13243"/>
    <cellStyle name="Nota 4 2 2 2 3 3 2" xfId="42424"/>
    <cellStyle name="Nota 4 2 2 2 3 4" xfId="31906"/>
    <cellStyle name="Nota 4 2 2 2 4" xfId="9721"/>
    <cellStyle name="Nota 4 2 2 2 4 2" xfId="20203"/>
    <cellStyle name="Nota 4 2 2 2 4 2 2" xfId="49384"/>
    <cellStyle name="Nota 4 2 2 2 4 3" xfId="38904"/>
    <cellStyle name="Nota 4 2 2 2 5" xfId="17247"/>
    <cellStyle name="Nota 4 2 2 2 5 2" xfId="46428"/>
    <cellStyle name="Nota 4 2 2 2 6" xfId="30082"/>
    <cellStyle name="Nota 4 2 2 3" xfId="1077"/>
    <cellStyle name="Nota 4 2 2 3 2" xfId="1987"/>
    <cellStyle name="Nota 4 2 2 3 2 2" xfId="3787"/>
    <cellStyle name="Nota 4 2 2 3 2 2 2" xfId="9075"/>
    <cellStyle name="Nota 4 2 2 3 2 2 2 2" xfId="19812"/>
    <cellStyle name="Nota 4 2 2 3 2 2 2 2 2" xfId="48993"/>
    <cellStyle name="Nota 4 2 2 3 2 2 2 3" xfId="38258"/>
    <cellStyle name="Nota 4 2 2 3 2 2 3" xfId="13932"/>
    <cellStyle name="Nota 4 2 2 3 2 2 3 2" xfId="43113"/>
    <cellStyle name="Nota 4 2 2 3 2 2 4" xfId="32970"/>
    <cellStyle name="Nota 4 2 2 3 2 3" xfId="7961"/>
    <cellStyle name="Nota 4 2 2 3 2 3 2" xfId="19139"/>
    <cellStyle name="Nota 4 2 2 3 2 3 2 2" xfId="48320"/>
    <cellStyle name="Nota 4 2 2 3 2 3 3" xfId="37144"/>
    <cellStyle name="Nota 4 2 2 3 2 4" xfId="15770"/>
    <cellStyle name="Nota 4 2 2 3 2 4 2" xfId="44951"/>
    <cellStyle name="Nota 4 2 2 3 2 5" xfId="31170"/>
    <cellStyle name="Nota 4 2 2 3 3" xfId="2887"/>
    <cellStyle name="Nota 4 2 2 3 3 2" xfId="8734"/>
    <cellStyle name="Nota 4 2 2 3 3 2 2" xfId="19609"/>
    <cellStyle name="Nota 4 2 2 3 3 2 2 2" xfId="48790"/>
    <cellStyle name="Nota 4 2 2 3 3 2 3" xfId="37917"/>
    <cellStyle name="Nota 4 2 2 3 3 3" xfId="16555"/>
    <cellStyle name="Nota 4 2 2 3 3 3 2" xfId="45736"/>
    <cellStyle name="Nota 4 2 2 3 3 4" xfId="32070"/>
    <cellStyle name="Nota 4 2 2 3 4" xfId="9307"/>
    <cellStyle name="Nota 4 2 2 3 4 2" xfId="19956"/>
    <cellStyle name="Nota 4 2 2 3 4 2 2" xfId="49137"/>
    <cellStyle name="Nota 4 2 2 3 4 3" xfId="38490"/>
    <cellStyle name="Nota 4 2 2 3 5" xfId="12579"/>
    <cellStyle name="Nota 4 2 2 3 5 2" xfId="41760"/>
    <cellStyle name="Nota 4 2 2 3 6" xfId="30267"/>
    <cellStyle name="Nota 4 2 2 4" xfId="1227"/>
    <cellStyle name="Nota 4 2 2 4 2" xfId="2131"/>
    <cellStyle name="Nota 4 2 2 4 2 2" xfId="3931"/>
    <cellStyle name="Nota 4 2 2 4 2 2 2" xfId="7149"/>
    <cellStyle name="Nota 4 2 2 4 2 2 2 2" xfId="18653"/>
    <cellStyle name="Nota 4 2 2 4 2 2 2 2 2" xfId="47834"/>
    <cellStyle name="Nota 4 2 2 4 2 2 2 3" xfId="36332"/>
    <cellStyle name="Nota 4 2 2 4 2 2 3" xfId="13178"/>
    <cellStyle name="Nota 4 2 2 4 2 2 3 2" xfId="42359"/>
    <cellStyle name="Nota 4 2 2 4 2 2 4" xfId="33114"/>
    <cellStyle name="Nota 4 2 2 4 2 3" xfId="8525"/>
    <cellStyle name="Nota 4 2 2 4 2 3 2" xfId="19490"/>
    <cellStyle name="Nota 4 2 2 4 2 3 2 2" xfId="48671"/>
    <cellStyle name="Nota 4 2 2 4 2 3 3" xfId="37708"/>
    <cellStyle name="Nota 4 2 2 4 2 4" xfId="13704"/>
    <cellStyle name="Nota 4 2 2 4 2 4 2" xfId="42885"/>
    <cellStyle name="Nota 4 2 2 4 2 5" xfId="31314"/>
    <cellStyle name="Nota 4 2 2 4 3" xfId="3031"/>
    <cellStyle name="Nota 4 2 2 4 3 2" xfId="10052"/>
    <cellStyle name="Nota 4 2 2 4 3 2 2" xfId="20404"/>
    <cellStyle name="Nota 4 2 2 4 3 2 2 2" xfId="49585"/>
    <cellStyle name="Nota 4 2 2 4 3 2 3" xfId="39235"/>
    <cellStyle name="Nota 4 2 2 4 3 3" xfId="12239"/>
    <cellStyle name="Nota 4 2 2 4 3 3 2" xfId="41420"/>
    <cellStyle name="Nota 4 2 2 4 3 4" xfId="32214"/>
    <cellStyle name="Nota 4 2 2 4 4" xfId="8911"/>
    <cellStyle name="Nota 4 2 2 4 4 2" xfId="19715"/>
    <cellStyle name="Nota 4 2 2 4 4 2 2" xfId="48896"/>
    <cellStyle name="Nota 4 2 2 4 4 3" xfId="38094"/>
    <cellStyle name="Nota 4 2 2 4 5" xfId="16291"/>
    <cellStyle name="Nota 4 2 2 4 5 2" xfId="45472"/>
    <cellStyle name="Nota 4 2 2 4 6" xfId="30414"/>
    <cellStyle name="Nota 4 2 2 5" xfId="1373"/>
    <cellStyle name="Nota 4 2 2 5 2" xfId="2275"/>
    <cellStyle name="Nota 4 2 2 5 2 2" xfId="4075"/>
    <cellStyle name="Nota 4 2 2 5 2 2 2" xfId="7005"/>
    <cellStyle name="Nota 4 2 2 5 2 2 2 2" xfId="18572"/>
    <cellStyle name="Nota 4 2 2 5 2 2 2 2 2" xfId="47753"/>
    <cellStyle name="Nota 4 2 2 5 2 2 2 3" xfId="36188"/>
    <cellStyle name="Nota 4 2 2 5 2 2 3" xfId="15193"/>
    <cellStyle name="Nota 4 2 2 5 2 2 3 2" xfId="44374"/>
    <cellStyle name="Nota 4 2 2 5 2 2 4" xfId="33258"/>
    <cellStyle name="Nota 4 2 2 5 2 3" xfId="7293"/>
    <cellStyle name="Nota 4 2 2 5 2 3 2" xfId="18735"/>
    <cellStyle name="Nota 4 2 2 5 2 3 2 2" xfId="47916"/>
    <cellStyle name="Nota 4 2 2 5 2 3 3" xfId="36476"/>
    <cellStyle name="Nota 4 2 2 5 2 4" xfId="13379"/>
    <cellStyle name="Nota 4 2 2 5 2 4 2" xfId="42560"/>
    <cellStyle name="Nota 4 2 2 5 2 5" xfId="31458"/>
    <cellStyle name="Nota 4 2 2 5 3" xfId="3175"/>
    <cellStyle name="Nota 4 2 2 5 3 2" xfId="7194"/>
    <cellStyle name="Nota 4 2 2 5 3 2 2" xfId="18677"/>
    <cellStyle name="Nota 4 2 2 5 3 2 2 2" xfId="47858"/>
    <cellStyle name="Nota 4 2 2 5 3 2 3" xfId="36377"/>
    <cellStyle name="Nota 4 2 2 5 3 3" xfId="14014"/>
    <cellStyle name="Nota 4 2 2 5 3 3 2" xfId="43195"/>
    <cellStyle name="Nota 4 2 2 5 3 4" xfId="32358"/>
    <cellStyle name="Nota 4 2 2 5 4" xfId="9480"/>
    <cellStyle name="Nota 4 2 2 5 4 2" xfId="20055"/>
    <cellStyle name="Nota 4 2 2 5 4 2 2" xfId="49236"/>
    <cellStyle name="Nota 4 2 2 5 4 3" xfId="38663"/>
    <cellStyle name="Nota 4 2 2 5 5" xfId="16300"/>
    <cellStyle name="Nota 4 2 2 5 5 2" xfId="45481"/>
    <cellStyle name="Nota 4 2 2 5 6" xfId="30558"/>
    <cellStyle name="Nota 4 2 2 6" xfId="1555"/>
    <cellStyle name="Nota 4 2 2 6 2" xfId="3355"/>
    <cellStyle name="Nota 4 2 2 6 2 2" xfId="8846"/>
    <cellStyle name="Nota 4 2 2 6 2 2 2" xfId="19676"/>
    <cellStyle name="Nota 4 2 2 6 2 2 2 2" xfId="48857"/>
    <cellStyle name="Nota 4 2 2 6 2 2 3" xfId="38029"/>
    <cellStyle name="Nota 4 2 2 6 2 3" xfId="13957"/>
    <cellStyle name="Nota 4 2 2 6 2 3 2" xfId="43138"/>
    <cellStyle name="Nota 4 2 2 6 2 4" xfId="32538"/>
    <cellStyle name="Nota 4 2 2 6 3" xfId="9828"/>
    <cellStyle name="Nota 4 2 2 6 3 2" xfId="20265"/>
    <cellStyle name="Nota 4 2 2 6 3 2 2" xfId="49446"/>
    <cellStyle name="Nota 4 2 2 6 3 3" xfId="39011"/>
    <cellStyle name="Nota 4 2 2 6 4" xfId="10670"/>
    <cellStyle name="Nota 4 2 2 6 4 2" xfId="39851"/>
    <cellStyle name="Nota 4 2 2 6 5" xfId="30738"/>
    <cellStyle name="Nota 4 2 2 7" xfId="2455"/>
    <cellStyle name="Nota 4 2 2 7 2" xfId="9053"/>
    <cellStyle name="Nota 4 2 2 7 2 2" xfId="19797"/>
    <cellStyle name="Nota 4 2 2 7 2 2 2" xfId="48978"/>
    <cellStyle name="Nota 4 2 2 7 2 3" xfId="38236"/>
    <cellStyle name="Nota 4 2 2 7 3" xfId="14583"/>
    <cellStyle name="Nota 4 2 2 7 3 2" xfId="43764"/>
    <cellStyle name="Nota 4 2 2 7 4" xfId="31638"/>
    <cellStyle name="Nota 4 2 2 8" xfId="8681"/>
    <cellStyle name="Nota 4 2 2 8 2" xfId="19580"/>
    <cellStyle name="Nota 4 2 2 8 2 2" xfId="48761"/>
    <cellStyle name="Nota 4 2 2 8 3" xfId="37864"/>
    <cellStyle name="Nota 4 2 2 9" xfId="11873"/>
    <cellStyle name="Nota 4 2 2 9 2" xfId="41054"/>
    <cellStyle name="Nota 4 2 3" xfId="795"/>
    <cellStyle name="Nota 4 2 3 2" xfId="1733"/>
    <cellStyle name="Nota 4 2 3 2 2" xfId="3533"/>
    <cellStyle name="Nota 4 2 3 2 2 2" xfId="8444"/>
    <cellStyle name="Nota 4 2 3 2 2 2 2" xfId="19438"/>
    <cellStyle name="Nota 4 2 3 2 2 2 2 2" xfId="48619"/>
    <cellStyle name="Nota 4 2 3 2 2 2 3" xfId="37627"/>
    <cellStyle name="Nota 4 2 3 2 2 3" xfId="12162"/>
    <cellStyle name="Nota 4 2 3 2 2 3 2" xfId="41343"/>
    <cellStyle name="Nota 4 2 3 2 2 4" xfId="32716"/>
    <cellStyle name="Nota 4 2 3 2 3" xfId="9136"/>
    <cellStyle name="Nota 4 2 3 2 3 2" xfId="19851"/>
    <cellStyle name="Nota 4 2 3 2 3 2 2" xfId="49032"/>
    <cellStyle name="Nota 4 2 3 2 3 3" xfId="38319"/>
    <cellStyle name="Nota 4 2 3 2 4" xfId="11687"/>
    <cellStyle name="Nota 4 2 3 2 4 2" xfId="40868"/>
    <cellStyle name="Nota 4 2 3 2 5" xfId="30916"/>
    <cellStyle name="Nota 4 2 3 3" xfId="2633"/>
    <cellStyle name="Nota 4 2 3 3 2" xfId="7712"/>
    <cellStyle name="Nota 4 2 3 3 2 2" xfId="18987"/>
    <cellStyle name="Nota 4 2 3 3 2 2 2" xfId="48168"/>
    <cellStyle name="Nota 4 2 3 3 2 3" xfId="36895"/>
    <cellStyle name="Nota 4 2 3 3 3" xfId="13404"/>
    <cellStyle name="Nota 4 2 3 3 3 2" xfId="42585"/>
    <cellStyle name="Nota 4 2 3 3 4" xfId="31816"/>
    <cellStyle name="Nota 4 2 3 4" xfId="10158"/>
    <cellStyle name="Nota 4 2 3 4 2" xfId="20467"/>
    <cellStyle name="Nota 4 2 3 4 2 2" xfId="49648"/>
    <cellStyle name="Nota 4 2 3 4 3" xfId="39341"/>
    <cellStyle name="Nota 4 2 3 5" xfId="12013"/>
    <cellStyle name="Nota 4 2 3 5 2" xfId="41194"/>
    <cellStyle name="Nota 4 2 3 6" xfId="29992"/>
    <cellStyle name="Nota 4 2 4" xfId="987"/>
    <cellStyle name="Nota 4 2 4 2" xfId="1897"/>
    <cellStyle name="Nota 4 2 4 2 2" xfId="3697"/>
    <cellStyle name="Nota 4 2 4 2 2 2" xfId="8419"/>
    <cellStyle name="Nota 4 2 4 2 2 2 2" xfId="19420"/>
    <cellStyle name="Nota 4 2 4 2 2 2 2 2" xfId="48601"/>
    <cellStyle name="Nota 4 2 4 2 2 2 3" xfId="37602"/>
    <cellStyle name="Nota 4 2 4 2 2 3" xfId="14747"/>
    <cellStyle name="Nota 4 2 4 2 2 3 2" xfId="43928"/>
    <cellStyle name="Nota 4 2 4 2 2 4" xfId="32880"/>
    <cellStyle name="Nota 4 2 4 2 3" xfId="10517"/>
    <cellStyle name="Nota 4 2 4 2 3 2" xfId="20688"/>
    <cellStyle name="Nota 4 2 4 2 3 2 2" xfId="49869"/>
    <cellStyle name="Nota 4 2 4 2 3 3" xfId="39700"/>
    <cellStyle name="Nota 4 2 4 2 4" xfId="14262"/>
    <cellStyle name="Nota 4 2 4 2 4 2" xfId="43443"/>
    <cellStyle name="Nota 4 2 4 2 5" xfId="31080"/>
    <cellStyle name="Nota 4 2 4 3" xfId="2797"/>
    <cellStyle name="Nota 4 2 4 3 2" xfId="9739"/>
    <cellStyle name="Nota 4 2 4 3 2 2" xfId="20212"/>
    <cellStyle name="Nota 4 2 4 3 2 2 2" xfId="49393"/>
    <cellStyle name="Nota 4 2 4 3 2 3" xfId="38922"/>
    <cellStyle name="Nota 4 2 4 3 3" xfId="12875"/>
    <cellStyle name="Nota 4 2 4 3 3 2" xfId="42056"/>
    <cellStyle name="Nota 4 2 4 3 4" xfId="31980"/>
    <cellStyle name="Nota 4 2 4 4" xfId="8914"/>
    <cellStyle name="Nota 4 2 4 4 2" xfId="19717"/>
    <cellStyle name="Nota 4 2 4 4 2 2" xfId="48898"/>
    <cellStyle name="Nota 4 2 4 4 3" xfId="38097"/>
    <cellStyle name="Nota 4 2 4 5" xfId="17387"/>
    <cellStyle name="Nota 4 2 4 5 2" xfId="46568"/>
    <cellStyle name="Nota 4 2 4 6" xfId="30177"/>
    <cellStyle name="Nota 4 2 5" xfId="1137"/>
    <cellStyle name="Nota 4 2 5 2" xfId="2041"/>
    <cellStyle name="Nota 4 2 5 2 2" xfId="3841"/>
    <cellStyle name="Nota 4 2 5 2 2 2" xfId="9353"/>
    <cellStyle name="Nota 4 2 5 2 2 2 2" xfId="19983"/>
    <cellStyle name="Nota 4 2 5 2 2 2 2 2" xfId="49164"/>
    <cellStyle name="Nota 4 2 5 2 2 2 3" xfId="38536"/>
    <cellStyle name="Nota 4 2 5 2 2 3" xfId="13432"/>
    <cellStyle name="Nota 4 2 5 2 2 3 2" xfId="42613"/>
    <cellStyle name="Nota 4 2 5 2 2 4" xfId="33024"/>
    <cellStyle name="Nota 4 2 5 2 3" xfId="9550"/>
    <cellStyle name="Nota 4 2 5 2 3 2" xfId="20098"/>
    <cellStyle name="Nota 4 2 5 2 3 2 2" xfId="49279"/>
    <cellStyle name="Nota 4 2 5 2 3 3" xfId="38733"/>
    <cellStyle name="Nota 4 2 5 2 4" xfId="16861"/>
    <cellStyle name="Nota 4 2 5 2 4 2" xfId="46042"/>
    <cellStyle name="Nota 4 2 5 2 5" xfId="31224"/>
    <cellStyle name="Nota 4 2 5 3" xfId="2941"/>
    <cellStyle name="Nota 4 2 5 3 2" xfId="8118"/>
    <cellStyle name="Nota 4 2 5 3 2 2" xfId="19234"/>
    <cellStyle name="Nota 4 2 5 3 2 2 2" xfId="48415"/>
    <cellStyle name="Nota 4 2 5 3 2 3" xfId="37301"/>
    <cellStyle name="Nota 4 2 5 3 3" xfId="16562"/>
    <cellStyle name="Nota 4 2 5 3 3 2" xfId="45743"/>
    <cellStyle name="Nota 4 2 5 3 4" xfId="32124"/>
    <cellStyle name="Nota 4 2 5 4" xfId="9344"/>
    <cellStyle name="Nota 4 2 5 4 2" xfId="19976"/>
    <cellStyle name="Nota 4 2 5 4 2 2" xfId="49157"/>
    <cellStyle name="Nota 4 2 5 4 3" xfId="38527"/>
    <cellStyle name="Nota 4 2 5 5" xfId="11689"/>
    <cellStyle name="Nota 4 2 5 5 2" xfId="40870"/>
    <cellStyle name="Nota 4 2 5 6" xfId="30324"/>
    <cellStyle name="Nota 4 2 6" xfId="1283"/>
    <cellStyle name="Nota 4 2 6 2" xfId="2185"/>
    <cellStyle name="Nota 4 2 6 2 2" xfId="3985"/>
    <cellStyle name="Nota 4 2 6 2 2 2" xfId="7095"/>
    <cellStyle name="Nota 4 2 6 2 2 2 2" xfId="18626"/>
    <cellStyle name="Nota 4 2 6 2 2 2 2 2" xfId="47807"/>
    <cellStyle name="Nota 4 2 6 2 2 2 3" xfId="36278"/>
    <cellStyle name="Nota 4 2 6 2 2 3" xfId="12602"/>
    <cellStyle name="Nota 4 2 6 2 2 3 2" xfId="41783"/>
    <cellStyle name="Nota 4 2 6 2 2 4" xfId="33168"/>
    <cellStyle name="Nota 4 2 6 2 3" xfId="9470"/>
    <cellStyle name="Nota 4 2 6 2 3 2" xfId="20049"/>
    <cellStyle name="Nota 4 2 6 2 3 2 2" xfId="49230"/>
    <cellStyle name="Nota 4 2 6 2 3 3" xfId="38653"/>
    <cellStyle name="Nota 4 2 6 2 4" xfId="15446"/>
    <cellStyle name="Nota 4 2 6 2 4 2" xfId="44627"/>
    <cellStyle name="Nota 4 2 6 2 5" xfId="31368"/>
    <cellStyle name="Nota 4 2 6 3" xfId="3085"/>
    <cellStyle name="Nota 4 2 6 3 2" xfId="8035"/>
    <cellStyle name="Nota 4 2 6 3 2 2" xfId="19184"/>
    <cellStyle name="Nota 4 2 6 3 2 2 2" xfId="48365"/>
    <cellStyle name="Nota 4 2 6 3 2 3" xfId="37218"/>
    <cellStyle name="Nota 4 2 6 3 3" xfId="11305"/>
    <cellStyle name="Nota 4 2 6 3 3 2" xfId="40486"/>
    <cellStyle name="Nota 4 2 6 3 4" xfId="32268"/>
    <cellStyle name="Nota 4 2 6 4" xfId="9869"/>
    <cellStyle name="Nota 4 2 6 4 2" xfId="20292"/>
    <cellStyle name="Nota 4 2 6 4 2 2" xfId="49473"/>
    <cellStyle name="Nota 4 2 6 4 3" xfId="39052"/>
    <cellStyle name="Nota 4 2 6 5" xfId="17685"/>
    <cellStyle name="Nota 4 2 6 5 2" xfId="46866"/>
    <cellStyle name="Nota 4 2 6 6" xfId="30468"/>
    <cellStyle name="Nota 4 2 7" xfId="1465"/>
    <cellStyle name="Nota 4 2 7 2" xfId="3265"/>
    <cellStyle name="Nota 4 2 7 2 2" xfId="7705"/>
    <cellStyle name="Nota 4 2 7 2 2 2" xfId="18981"/>
    <cellStyle name="Nota 4 2 7 2 2 2 2" xfId="48162"/>
    <cellStyle name="Nota 4 2 7 2 2 3" xfId="36888"/>
    <cellStyle name="Nota 4 2 7 2 3" xfId="10926"/>
    <cellStyle name="Nota 4 2 7 2 3 2" xfId="40107"/>
    <cellStyle name="Nota 4 2 7 2 4" xfId="32448"/>
    <cellStyle name="Nota 4 2 7 3" xfId="9676"/>
    <cellStyle name="Nota 4 2 7 3 2" xfId="20176"/>
    <cellStyle name="Nota 4 2 7 3 2 2" xfId="49357"/>
    <cellStyle name="Nota 4 2 7 3 3" xfId="38859"/>
    <cellStyle name="Nota 4 2 7 4" xfId="15769"/>
    <cellStyle name="Nota 4 2 7 4 2" xfId="44950"/>
    <cellStyle name="Nota 4 2 7 5" xfId="30648"/>
    <cellStyle name="Nota 4 2 8" xfId="2365"/>
    <cellStyle name="Nota 4 2 8 2" xfId="7269"/>
    <cellStyle name="Nota 4 2 8 2 2" xfId="18725"/>
    <cellStyle name="Nota 4 2 8 2 2 2" xfId="47906"/>
    <cellStyle name="Nota 4 2 8 2 3" xfId="36452"/>
    <cellStyle name="Nota 4 2 8 3" xfId="15474"/>
    <cellStyle name="Nota 4 2 8 3 2" xfId="44655"/>
    <cellStyle name="Nota 4 2 8 4" xfId="31548"/>
    <cellStyle name="Nota 4 2 9" xfId="9686"/>
    <cellStyle name="Nota 4 2 9 2" xfId="20182"/>
    <cellStyle name="Nota 4 2 9 2 2" xfId="49363"/>
    <cellStyle name="Nota 4 2 9 3" xfId="38869"/>
    <cellStyle name="Nota 4 3" xfId="487"/>
    <cellStyle name="Nota 4 3 10" xfId="29693"/>
    <cellStyle name="Nota 4 3 2" xfId="840"/>
    <cellStyle name="Nota 4 3 2 2" xfId="1778"/>
    <cellStyle name="Nota 4 3 2 2 2" xfId="3578"/>
    <cellStyle name="Nota 4 3 2 2 2 2" xfId="9417"/>
    <cellStyle name="Nota 4 3 2 2 2 2 2" xfId="20019"/>
    <cellStyle name="Nota 4 3 2 2 2 2 2 2" xfId="49200"/>
    <cellStyle name="Nota 4 3 2 2 2 2 3" xfId="38600"/>
    <cellStyle name="Nota 4 3 2 2 2 3" xfId="16047"/>
    <cellStyle name="Nota 4 3 2 2 2 3 2" xfId="45228"/>
    <cellStyle name="Nota 4 3 2 2 2 4" xfId="32761"/>
    <cellStyle name="Nota 4 3 2 2 3" xfId="10479"/>
    <cellStyle name="Nota 4 3 2 2 3 2" xfId="20663"/>
    <cellStyle name="Nota 4 3 2 2 3 2 2" xfId="49844"/>
    <cellStyle name="Nota 4 3 2 2 3 3" xfId="39662"/>
    <cellStyle name="Nota 4 3 2 2 4" xfId="15412"/>
    <cellStyle name="Nota 4 3 2 2 4 2" xfId="44593"/>
    <cellStyle name="Nota 4 3 2 2 5" xfId="30961"/>
    <cellStyle name="Nota 4 3 2 3" xfId="2678"/>
    <cellStyle name="Nota 4 3 2 3 2" xfId="9701"/>
    <cellStyle name="Nota 4 3 2 3 2 2" xfId="20190"/>
    <cellStyle name="Nota 4 3 2 3 2 2 2" xfId="49371"/>
    <cellStyle name="Nota 4 3 2 3 2 3" xfId="38884"/>
    <cellStyle name="Nota 4 3 2 3 3" xfId="11166"/>
    <cellStyle name="Nota 4 3 2 3 3 2" xfId="40347"/>
    <cellStyle name="Nota 4 3 2 3 4" xfId="31861"/>
    <cellStyle name="Nota 4 3 2 4" xfId="7731"/>
    <cellStyle name="Nota 4 3 2 4 2" xfId="18999"/>
    <cellStyle name="Nota 4 3 2 4 2 2" xfId="48180"/>
    <cellStyle name="Nota 4 3 2 4 3" xfId="36914"/>
    <cellStyle name="Nota 4 3 2 5" xfId="15735"/>
    <cellStyle name="Nota 4 3 2 5 2" xfId="44916"/>
    <cellStyle name="Nota 4 3 2 6" xfId="30037"/>
    <cellStyle name="Nota 4 3 3" xfId="1032"/>
    <cellStyle name="Nota 4 3 3 2" xfId="1942"/>
    <cellStyle name="Nota 4 3 3 2 2" xfId="3742"/>
    <cellStyle name="Nota 4 3 3 2 2 2" xfId="9278"/>
    <cellStyle name="Nota 4 3 3 2 2 2 2" xfId="19936"/>
    <cellStyle name="Nota 4 3 3 2 2 2 2 2" xfId="49117"/>
    <cellStyle name="Nota 4 3 3 2 2 2 3" xfId="38461"/>
    <cellStyle name="Nota 4 3 3 2 2 3" xfId="10639"/>
    <cellStyle name="Nota 4 3 3 2 2 3 2" xfId="39820"/>
    <cellStyle name="Nota 4 3 3 2 2 4" xfId="32925"/>
    <cellStyle name="Nota 4 3 3 2 3" xfId="10357"/>
    <cellStyle name="Nota 4 3 3 2 3 2" xfId="20588"/>
    <cellStyle name="Nota 4 3 3 2 3 2 2" xfId="49769"/>
    <cellStyle name="Nota 4 3 3 2 3 3" xfId="39540"/>
    <cellStyle name="Nota 4 3 3 2 4" xfId="12545"/>
    <cellStyle name="Nota 4 3 3 2 4 2" xfId="41726"/>
    <cellStyle name="Nota 4 3 3 2 5" xfId="31125"/>
    <cellStyle name="Nota 4 3 3 3" xfId="2842"/>
    <cellStyle name="Nota 4 3 3 3 2" xfId="9580"/>
    <cellStyle name="Nota 4 3 3 3 2 2" xfId="20117"/>
    <cellStyle name="Nota 4 3 3 3 2 2 2" xfId="49298"/>
    <cellStyle name="Nota 4 3 3 3 2 3" xfId="38763"/>
    <cellStyle name="Nota 4 3 3 3 3" xfId="16343"/>
    <cellStyle name="Nota 4 3 3 3 3 2" xfId="45524"/>
    <cellStyle name="Nota 4 3 3 3 4" xfId="32025"/>
    <cellStyle name="Nota 4 3 3 4" xfId="8499"/>
    <cellStyle name="Nota 4 3 3 4 2" xfId="19472"/>
    <cellStyle name="Nota 4 3 3 4 2 2" xfId="48653"/>
    <cellStyle name="Nota 4 3 3 4 3" xfId="37682"/>
    <cellStyle name="Nota 4 3 3 5" xfId="18053"/>
    <cellStyle name="Nota 4 3 3 5 2" xfId="47234"/>
    <cellStyle name="Nota 4 3 3 6" xfId="30222"/>
    <cellStyle name="Nota 4 3 4" xfId="1182"/>
    <cellStyle name="Nota 4 3 4 2" xfId="2086"/>
    <cellStyle name="Nota 4 3 4 2 2" xfId="3886"/>
    <cellStyle name="Nota 4 3 4 2 2 2" xfId="7408"/>
    <cellStyle name="Nota 4 3 4 2 2 2 2" xfId="18799"/>
    <cellStyle name="Nota 4 3 4 2 2 2 2 2" xfId="47980"/>
    <cellStyle name="Nota 4 3 4 2 2 2 3" xfId="36591"/>
    <cellStyle name="Nota 4 3 4 2 2 3" xfId="11197"/>
    <cellStyle name="Nota 4 3 4 2 2 3 2" xfId="40378"/>
    <cellStyle name="Nota 4 3 4 2 2 4" xfId="33069"/>
    <cellStyle name="Nota 4 3 4 2 3" xfId="9163"/>
    <cellStyle name="Nota 4 3 4 2 3 2" xfId="19866"/>
    <cellStyle name="Nota 4 3 4 2 3 2 2" xfId="49047"/>
    <cellStyle name="Nota 4 3 4 2 3 3" xfId="38346"/>
    <cellStyle name="Nota 4 3 4 2 4" xfId="14649"/>
    <cellStyle name="Nota 4 3 4 2 4 2" xfId="43830"/>
    <cellStyle name="Nota 4 3 4 2 5" xfId="31269"/>
    <cellStyle name="Nota 4 3 4 3" xfId="2986"/>
    <cellStyle name="Nota 4 3 4 3 2" xfId="7596"/>
    <cellStyle name="Nota 4 3 4 3 2 2" xfId="18918"/>
    <cellStyle name="Nota 4 3 4 3 2 2 2" xfId="48099"/>
    <cellStyle name="Nota 4 3 4 3 2 3" xfId="36779"/>
    <cellStyle name="Nota 4 3 4 3 3" xfId="13023"/>
    <cellStyle name="Nota 4 3 4 3 3 2" xfId="42204"/>
    <cellStyle name="Nota 4 3 4 3 4" xfId="32169"/>
    <cellStyle name="Nota 4 3 4 4" xfId="7323"/>
    <cellStyle name="Nota 4 3 4 4 2" xfId="18754"/>
    <cellStyle name="Nota 4 3 4 4 2 2" xfId="47935"/>
    <cellStyle name="Nota 4 3 4 4 3" xfId="36506"/>
    <cellStyle name="Nota 4 3 4 5" xfId="12102"/>
    <cellStyle name="Nota 4 3 4 5 2" xfId="41283"/>
    <cellStyle name="Nota 4 3 4 6" xfId="30369"/>
    <cellStyle name="Nota 4 3 5" xfId="1328"/>
    <cellStyle name="Nota 4 3 5 2" xfId="2230"/>
    <cellStyle name="Nota 4 3 5 2 2" xfId="4030"/>
    <cellStyle name="Nota 4 3 5 2 2 2" xfId="7050"/>
    <cellStyle name="Nota 4 3 5 2 2 2 2" xfId="18599"/>
    <cellStyle name="Nota 4 3 5 2 2 2 2 2" xfId="47780"/>
    <cellStyle name="Nota 4 3 5 2 2 2 3" xfId="36233"/>
    <cellStyle name="Nota 4 3 5 2 2 3" xfId="11466"/>
    <cellStyle name="Nota 4 3 5 2 2 3 2" xfId="40647"/>
    <cellStyle name="Nota 4 3 5 2 2 4" xfId="33213"/>
    <cellStyle name="Nota 4 3 5 2 3" xfId="8600"/>
    <cellStyle name="Nota 4 3 5 2 3 2" xfId="19535"/>
    <cellStyle name="Nota 4 3 5 2 3 2 2" xfId="48716"/>
    <cellStyle name="Nota 4 3 5 2 3 3" xfId="37783"/>
    <cellStyle name="Nota 4 3 5 2 4" xfId="14472"/>
    <cellStyle name="Nota 4 3 5 2 4 2" xfId="43653"/>
    <cellStyle name="Nota 4 3 5 2 5" xfId="31413"/>
    <cellStyle name="Nota 4 3 5 3" xfId="3130"/>
    <cellStyle name="Nota 4 3 5 3 2" xfId="10126"/>
    <cellStyle name="Nota 4 3 5 3 2 2" xfId="20449"/>
    <cellStyle name="Nota 4 3 5 3 2 2 2" xfId="49630"/>
    <cellStyle name="Nota 4 3 5 3 2 3" xfId="39309"/>
    <cellStyle name="Nota 4 3 5 3 3" xfId="13283"/>
    <cellStyle name="Nota 4 3 5 3 3 2" xfId="42464"/>
    <cellStyle name="Nota 4 3 5 3 4" xfId="32313"/>
    <cellStyle name="Nota 4 3 5 4" xfId="9636"/>
    <cellStyle name="Nota 4 3 5 4 2" xfId="20151"/>
    <cellStyle name="Nota 4 3 5 4 2 2" xfId="49332"/>
    <cellStyle name="Nota 4 3 5 4 3" xfId="38819"/>
    <cellStyle name="Nota 4 3 5 5" xfId="11235"/>
    <cellStyle name="Nota 4 3 5 5 2" xfId="40416"/>
    <cellStyle name="Nota 4 3 5 6" xfId="30513"/>
    <cellStyle name="Nota 4 3 6" xfId="1510"/>
    <cellStyle name="Nota 4 3 6 2" xfId="3310"/>
    <cellStyle name="Nota 4 3 6 2 2" xfId="9694"/>
    <cellStyle name="Nota 4 3 6 2 2 2" xfId="20187"/>
    <cellStyle name="Nota 4 3 6 2 2 2 2" xfId="49368"/>
    <cellStyle name="Nota 4 3 6 2 2 3" xfId="38877"/>
    <cellStyle name="Nota 4 3 6 2 3" xfId="13311"/>
    <cellStyle name="Nota 4 3 6 2 3 2" xfId="42492"/>
    <cellStyle name="Nota 4 3 6 2 4" xfId="32493"/>
    <cellStyle name="Nota 4 3 6 3" xfId="7815"/>
    <cellStyle name="Nota 4 3 6 3 2" xfId="19052"/>
    <cellStyle name="Nota 4 3 6 3 2 2" xfId="48233"/>
    <cellStyle name="Nota 4 3 6 3 3" xfId="36998"/>
    <cellStyle name="Nota 4 3 6 4" xfId="10702"/>
    <cellStyle name="Nota 4 3 6 4 2" xfId="39883"/>
    <cellStyle name="Nota 4 3 6 5" xfId="30693"/>
    <cellStyle name="Nota 4 3 7" xfId="2410"/>
    <cellStyle name="Nota 4 3 7 2" xfId="7248"/>
    <cellStyle name="Nota 4 3 7 2 2" xfId="18708"/>
    <cellStyle name="Nota 4 3 7 2 2 2" xfId="47889"/>
    <cellStyle name="Nota 4 3 7 2 3" xfId="36431"/>
    <cellStyle name="Nota 4 3 7 3" xfId="14419"/>
    <cellStyle name="Nota 4 3 7 3 2" xfId="43600"/>
    <cellStyle name="Nota 4 3 7 4" xfId="31593"/>
    <cellStyle name="Nota 4 3 8" xfId="9529"/>
    <cellStyle name="Nota 4 3 8 2" xfId="20084"/>
    <cellStyle name="Nota 4 3 8 2 2" xfId="49265"/>
    <cellStyle name="Nota 4 3 8 3" xfId="38712"/>
    <cellStyle name="Nota 4 3 9" xfId="17991"/>
    <cellStyle name="Nota 4 3 9 2" xfId="47172"/>
    <cellStyle name="Nota 4 4" xfId="703"/>
    <cellStyle name="Nota 4 4 2" xfId="1670"/>
    <cellStyle name="Nota 4 4 2 2" xfId="3470"/>
    <cellStyle name="Nota 4 4 2 2 2" xfId="9692"/>
    <cellStyle name="Nota 4 4 2 2 2 2" xfId="20185"/>
    <cellStyle name="Nota 4 4 2 2 2 2 2" xfId="49366"/>
    <cellStyle name="Nota 4 4 2 2 2 3" xfId="38875"/>
    <cellStyle name="Nota 4 4 2 2 3" xfId="13376"/>
    <cellStyle name="Nota 4 4 2 2 3 2" xfId="42557"/>
    <cellStyle name="Nota 4 4 2 2 4" xfId="32653"/>
    <cellStyle name="Nota 4 4 2 3" xfId="8607"/>
    <cellStyle name="Nota 4 4 2 3 2" xfId="19538"/>
    <cellStyle name="Nota 4 4 2 3 2 2" xfId="48719"/>
    <cellStyle name="Nota 4 4 2 3 3" xfId="37790"/>
    <cellStyle name="Nota 4 4 2 4" xfId="14156"/>
    <cellStyle name="Nota 4 4 2 4 2" xfId="43337"/>
    <cellStyle name="Nota 4 4 2 5" xfId="30853"/>
    <cellStyle name="Nota 4 4 3" xfId="2570"/>
    <cellStyle name="Nota 4 4 3 2" xfId="10133"/>
    <cellStyle name="Nota 4 4 3 2 2" xfId="20452"/>
    <cellStyle name="Nota 4 4 3 2 2 2" xfId="49633"/>
    <cellStyle name="Nota 4 4 3 2 3" xfId="39316"/>
    <cellStyle name="Nota 4 4 3 3" xfId="12905"/>
    <cellStyle name="Nota 4 4 3 3 2" xfId="42086"/>
    <cellStyle name="Nota 4 4 3 4" xfId="31753"/>
    <cellStyle name="Nota 4 4 4" xfId="8994"/>
    <cellStyle name="Nota 4 4 4 2" xfId="19765"/>
    <cellStyle name="Nota 4 4 4 2 2" xfId="48946"/>
    <cellStyle name="Nota 4 4 4 3" xfId="38177"/>
    <cellStyle name="Nota 4 4 5" xfId="10726"/>
    <cellStyle name="Nota 4 4 5 2" xfId="39907"/>
    <cellStyle name="Nota 4 4 6" xfId="29904"/>
    <cellStyle name="Nota 4 5" xfId="575"/>
    <cellStyle name="Nota 4 5 2" xfId="1591"/>
    <cellStyle name="Nota 4 5 2 2" xfId="3391"/>
    <cellStyle name="Nota 4 5 2 2 2" xfId="10462"/>
    <cellStyle name="Nota 4 5 2 2 2 2" xfId="20654"/>
    <cellStyle name="Nota 4 5 2 2 2 2 2" xfId="49835"/>
    <cellStyle name="Nota 4 5 2 2 2 3" xfId="39645"/>
    <cellStyle name="Nota 4 5 2 2 3" xfId="15889"/>
    <cellStyle name="Nota 4 5 2 2 3 2" xfId="45070"/>
    <cellStyle name="Nota 4 5 2 2 4" xfId="32574"/>
    <cellStyle name="Nota 4 5 2 3" xfId="7799"/>
    <cellStyle name="Nota 4 5 2 3 2" xfId="19041"/>
    <cellStyle name="Nota 4 5 2 3 2 2" xfId="48222"/>
    <cellStyle name="Nota 4 5 2 3 3" xfId="36982"/>
    <cellStyle name="Nota 4 5 2 4" xfId="11641"/>
    <cellStyle name="Nota 4 5 2 4 2" xfId="40822"/>
    <cellStyle name="Nota 4 5 2 5" xfId="30774"/>
    <cellStyle name="Nota 4 5 3" xfId="2491"/>
    <cellStyle name="Nota 4 5 3 2" xfId="8599"/>
    <cellStyle name="Nota 4 5 3 2 2" xfId="19534"/>
    <cellStyle name="Nota 4 5 3 2 2 2" xfId="48715"/>
    <cellStyle name="Nota 4 5 3 2 3" xfId="37782"/>
    <cellStyle name="Nota 4 5 3 3" xfId="12505"/>
    <cellStyle name="Nota 4 5 3 3 2" xfId="41686"/>
    <cellStyle name="Nota 4 5 3 4" xfId="31674"/>
    <cellStyle name="Nota 4 5 4" xfId="9274"/>
    <cellStyle name="Nota 4 5 4 2" xfId="19934"/>
    <cellStyle name="Nota 4 5 4 2 2" xfId="49115"/>
    <cellStyle name="Nota 4 5 4 3" xfId="38457"/>
    <cellStyle name="Nota 4 5 5" xfId="17502"/>
    <cellStyle name="Nota 4 5 5 2" xfId="46683"/>
    <cellStyle name="Nota 4 5 6" xfId="29780"/>
    <cellStyle name="Nota 4 6" xfId="746"/>
    <cellStyle name="Nota 4 6 2" xfId="1688"/>
    <cellStyle name="Nota 4 6 2 2" xfId="3488"/>
    <cellStyle name="Nota 4 6 2 2 2" xfId="9807"/>
    <cellStyle name="Nota 4 6 2 2 2 2" xfId="20252"/>
    <cellStyle name="Nota 4 6 2 2 2 2 2" xfId="49433"/>
    <cellStyle name="Nota 4 6 2 2 2 3" xfId="38990"/>
    <cellStyle name="Nota 4 6 2 2 3" xfId="17816"/>
    <cellStyle name="Nota 4 6 2 2 3 2" xfId="46997"/>
    <cellStyle name="Nota 4 6 2 2 4" xfId="32671"/>
    <cellStyle name="Nota 4 6 2 3" xfId="8388"/>
    <cellStyle name="Nota 4 6 2 3 2" xfId="19400"/>
    <cellStyle name="Nota 4 6 2 3 2 2" xfId="48581"/>
    <cellStyle name="Nota 4 6 2 3 3" xfId="37571"/>
    <cellStyle name="Nota 4 6 2 4" xfId="13860"/>
    <cellStyle name="Nota 4 6 2 4 2" xfId="43041"/>
    <cellStyle name="Nota 4 6 2 5" xfId="30871"/>
    <cellStyle name="Nota 4 6 3" xfId="2588"/>
    <cellStyle name="Nota 4 6 3 2" xfId="9942"/>
    <cellStyle name="Nota 4 6 3 2 2" xfId="20334"/>
    <cellStyle name="Nota 4 6 3 2 2 2" xfId="49515"/>
    <cellStyle name="Nota 4 6 3 2 3" xfId="39125"/>
    <cellStyle name="Nota 4 6 3 3" xfId="12675"/>
    <cellStyle name="Nota 4 6 3 3 2" xfId="41856"/>
    <cellStyle name="Nota 4 6 3 4" xfId="31771"/>
    <cellStyle name="Nota 4 6 4" xfId="7359"/>
    <cellStyle name="Nota 4 6 4 2" xfId="18771"/>
    <cellStyle name="Nota 4 6 4 2 2" xfId="47952"/>
    <cellStyle name="Nota 4 6 4 3" xfId="36542"/>
    <cellStyle name="Nota 4 6 5" xfId="18080"/>
    <cellStyle name="Nota 4 6 5 2" xfId="47261"/>
    <cellStyle name="Nota 4 6 6" xfId="29944"/>
    <cellStyle name="Nota 4 7" xfId="938"/>
    <cellStyle name="Nota 4 7 2" xfId="1852"/>
    <cellStyle name="Nota 4 7 2 2" xfId="3652"/>
    <cellStyle name="Nota 4 7 2 2 2" xfId="8884"/>
    <cellStyle name="Nota 4 7 2 2 2 2" xfId="19696"/>
    <cellStyle name="Nota 4 7 2 2 2 2 2" xfId="48877"/>
    <cellStyle name="Nota 4 7 2 2 2 3" xfId="38067"/>
    <cellStyle name="Nota 4 7 2 2 3" xfId="16920"/>
    <cellStyle name="Nota 4 7 2 2 3 2" xfId="46101"/>
    <cellStyle name="Nota 4 7 2 2 4" xfId="32835"/>
    <cellStyle name="Nota 4 7 2 3" xfId="8471"/>
    <cellStyle name="Nota 4 7 2 3 2" xfId="19456"/>
    <cellStyle name="Nota 4 7 2 3 2 2" xfId="48637"/>
    <cellStyle name="Nota 4 7 2 3 3" xfId="37654"/>
    <cellStyle name="Nota 4 7 2 4" xfId="15206"/>
    <cellStyle name="Nota 4 7 2 4 2" xfId="44387"/>
    <cellStyle name="Nota 4 7 2 5" xfId="31035"/>
    <cellStyle name="Nota 4 7 3" xfId="2752"/>
    <cellStyle name="Nota 4 7 3 2" xfId="9989"/>
    <cellStyle name="Nota 4 7 3 2 2" xfId="20366"/>
    <cellStyle name="Nota 4 7 3 2 2 2" xfId="49547"/>
    <cellStyle name="Nota 4 7 3 2 3" xfId="39172"/>
    <cellStyle name="Nota 4 7 3 3" xfId="10754"/>
    <cellStyle name="Nota 4 7 3 3 2" xfId="39935"/>
    <cellStyle name="Nota 4 7 3 4" xfId="31935"/>
    <cellStyle name="Nota 4 7 4" xfId="8616"/>
    <cellStyle name="Nota 4 7 4 2" xfId="19544"/>
    <cellStyle name="Nota 4 7 4 2 2" xfId="48725"/>
    <cellStyle name="Nota 4 7 4 3" xfId="37799"/>
    <cellStyle name="Nota 4 7 5" xfId="11719"/>
    <cellStyle name="Nota 4 7 5 2" xfId="40900"/>
    <cellStyle name="Nota 4 7 6" xfId="30129"/>
    <cellStyle name="Nota 4 8" xfId="1420"/>
    <cellStyle name="Nota 4 8 2" xfId="3220"/>
    <cellStyle name="Nota 4 8 2 2" xfId="9958"/>
    <cellStyle name="Nota 4 8 2 2 2" xfId="20346"/>
    <cellStyle name="Nota 4 8 2 2 2 2" xfId="49527"/>
    <cellStyle name="Nota 4 8 2 2 3" xfId="39141"/>
    <cellStyle name="Nota 4 8 2 3" xfId="12385"/>
    <cellStyle name="Nota 4 8 2 3 2" xfId="41566"/>
    <cellStyle name="Nota 4 8 2 4" xfId="32403"/>
    <cellStyle name="Nota 4 8 3" xfId="7474"/>
    <cellStyle name="Nota 4 8 3 2" xfId="18839"/>
    <cellStyle name="Nota 4 8 3 2 2" xfId="48020"/>
    <cellStyle name="Nota 4 8 3 3" xfId="36657"/>
    <cellStyle name="Nota 4 8 4" xfId="12132"/>
    <cellStyle name="Nota 4 8 4 2" xfId="41313"/>
    <cellStyle name="Nota 4 8 5" xfId="30603"/>
    <cellStyle name="Nota 4 9" xfId="2320"/>
    <cellStyle name="Nota 4 9 2" xfId="7519"/>
    <cellStyle name="Nota 4 9 2 2" xfId="18867"/>
    <cellStyle name="Nota 4 9 2 2 2" xfId="48048"/>
    <cellStyle name="Nota 4 9 2 3" xfId="36702"/>
    <cellStyle name="Nota 4 9 3" xfId="11602"/>
    <cellStyle name="Nota 4 9 3 2" xfId="40783"/>
    <cellStyle name="Nota 4 9 4" xfId="31503"/>
    <cellStyle name="Nota 5" xfId="330"/>
    <cellStyle name="Nota 5 10" xfId="12447"/>
    <cellStyle name="Nota 5 10 2" xfId="41628"/>
    <cellStyle name="Nota 5 11" xfId="58741"/>
    <cellStyle name="Nota 5 12" xfId="29603"/>
    <cellStyle name="Nota 5 2" xfId="443"/>
    <cellStyle name="Nota 5 2 10" xfId="16516"/>
    <cellStyle name="Nota 5 2 10 2" xfId="45697"/>
    <cellStyle name="Nota 5 2 11" xfId="58786"/>
    <cellStyle name="Nota 5 2 12" xfId="29649"/>
    <cellStyle name="Nota 5 2 2" xfId="533"/>
    <cellStyle name="Nota 5 2 2 10" xfId="29739"/>
    <cellStyle name="Nota 5 2 2 2" xfId="886"/>
    <cellStyle name="Nota 5 2 2 2 2" xfId="1824"/>
    <cellStyle name="Nota 5 2 2 2 2 2" xfId="3624"/>
    <cellStyle name="Nota 5 2 2 2 2 2 2" xfId="9968"/>
    <cellStyle name="Nota 5 2 2 2 2 2 2 2" xfId="20352"/>
    <cellStyle name="Nota 5 2 2 2 2 2 2 2 2" xfId="49533"/>
    <cellStyle name="Nota 5 2 2 2 2 2 2 3" xfId="39151"/>
    <cellStyle name="Nota 5 2 2 2 2 2 3" xfId="13673"/>
    <cellStyle name="Nota 5 2 2 2 2 2 3 2" xfId="42854"/>
    <cellStyle name="Nota 5 2 2 2 2 2 4" xfId="32807"/>
    <cellStyle name="Nota 5 2 2 2 2 3" xfId="9514"/>
    <cellStyle name="Nota 5 2 2 2 2 3 2" xfId="20074"/>
    <cellStyle name="Nota 5 2 2 2 2 3 2 2" xfId="49255"/>
    <cellStyle name="Nota 5 2 2 2 2 3 3" xfId="38697"/>
    <cellStyle name="Nota 5 2 2 2 2 4" xfId="12277"/>
    <cellStyle name="Nota 5 2 2 2 2 4 2" xfId="41458"/>
    <cellStyle name="Nota 5 2 2 2 2 5" xfId="31007"/>
    <cellStyle name="Nota 5 2 2 2 3" xfId="2724"/>
    <cellStyle name="Nota 5 2 2 2 3 2" xfId="8079"/>
    <cellStyle name="Nota 5 2 2 2 3 2 2" xfId="19209"/>
    <cellStyle name="Nota 5 2 2 2 3 2 2 2" xfId="48390"/>
    <cellStyle name="Nota 5 2 2 2 3 2 3" xfId="37262"/>
    <cellStyle name="Nota 5 2 2 2 3 3" xfId="11968"/>
    <cellStyle name="Nota 5 2 2 2 3 3 2" xfId="41149"/>
    <cellStyle name="Nota 5 2 2 2 3 4" xfId="31907"/>
    <cellStyle name="Nota 5 2 2 2 4" xfId="10490"/>
    <cellStyle name="Nota 5 2 2 2 4 2" xfId="20672"/>
    <cellStyle name="Nota 5 2 2 2 4 2 2" xfId="49853"/>
    <cellStyle name="Nota 5 2 2 2 4 3" xfId="39673"/>
    <cellStyle name="Nota 5 2 2 2 5" xfId="16749"/>
    <cellStyle name="Nota 5 2 2 2 5 2" xfId="45930"/>
    <cellStyle name="Nota 5 2 2 2 6" xfId="30083"/>
    <cellStyle name="Nota 5 2 2 3" xfId="1078"/>
    <cellStyle name="Nota 5 2 2 3 2" xfId="1988"/>
    <cellStyle name="Nota 5 2 2 3 2 2" xfId="3788"/>
    <cellStyle name="Nota 5 2 2 3 2 2 2" xfId="9841"/>
    <cellStyle name="Nota 5 2 2 3 2 2 2 2" xfId="20274"/>
    <cellStyle name="Nota 5 2 2 3 2 2 2 2 2" xfId="49455"/>
    <cellStyle name="Nota 5 2 2 3 2 2 2 3" xfId="39024"/>
    <cellStyle name="Nota 5 2 2 3 2 2 3" xfId="15742"/>
    <cellStyle name="Nota 5 2 2 3 2 2 3 2" xfId="44923"/>
    <cellStyle name="Nota 5 2 2 3 2 2 4" xfId="32971"/>
    <cellStyle name="Nota 5 2 2 3 2 3" xfId="9373"/>
    <cellStyle name="Nota 5 2 2 3 2 3 2" xfId="19994"/>
    <cellStyle name="Nota 5 2 2 3 2 3 2 2" xfId="49175"/>
    <cellStyle name="Nota 5 2 2 3 2 3 3" xfId="38556"/>
    <cellStyle name="Nota 5 2 2 3 2 4" xfId="15033"/>
    <cellStyle name="Nota 5 2 2 3 2 4 2" xfId="44214"/>
    <cellStyle name="Nota 5 2 2 3 2 5" xfId="31171"/>
    <cellStyle name="Nota 5 2 2 3 3" xfId="2888"/>
    <cellStyle name="Nota 5 2 2 3 3 2" xfId="7952"/>
    <cellStyle name="Nota 5 2 2 3 3 2 2" xfId="19133"/>
    <cellStyle name="Nota 5 2 2 3 3 2 2 2" xfId="48314"/>
    <cellStyle name="Nota 5 2 2 3 3 2 3" xfId="37135"/>
    <cellStyle name="Nota 5 2 2 3 3 3" xfId="14418"/>
    <cellStyle name="Nota 5 2 2 3 3 3 2" xfId="43599"/>
    <cellStyle name="Nota 5 2 2 3 3 4" xfId="32071"/>
    <cellStyle name="Nota 5 2 2 3 4" xfId="10073"/>
    <cellStyle name="Nota 5 2 2 3 4 2" xfId="20418"/>
    <cellStyle name="Nota 5 2 2 3 4 2 2" xfId="49599"/>
    <cellStyle name="Nota 5 2 2 3 4 3" xfId="39256"/>
    <cellStyle name="Nota 5 2 2 3 5" xfId="16099"/>
    <cellStyle name="Nota 5 2 2 3 5 2" xfId="45280"/>
    <cellStyle name="Nota 5 2 2 3 6" xfId="30268"/>
    <cellStyle name="Nota 5 2 2 4" xfId="1228"/>
    <cellStyle name="Nota 5 2 2 4 2" xfId="2132"/>
    <cellStyle name="Nota 5 2 2 4 2 2" xfId="3932"/>
    <cellStyle name="Nota 5 2 2 4 2 2 2" xfId="7148"/>
    <cellStyle name="Nota 5 2 2 4 2 2 2 2" xfId="18652"/>
    <cellStyle name="Nota 5 2 2 4 2 2 2 2 2" xfId="47833"/>
    <cellStyle name="Nota 5 2 2 4 2 2 2 3" xfId="36331"/>
    <cellStyle name="Nota 5 2 2 4 2 2 3" xfId="11903"/>
    <cellStyle name="Nota 5 2 2 4 2 2 3 2" xfId="41084"/>
    <cellStyle name="Nota 5 2 2 4 2 2 4" xfId="33115"/>
    <cellStyle name="Nota 5 2 2 4 2 3" xfId="7716"/>
    <cellStyle name="Nota 5 2 2 4 2 3 2" xfId="18990"/>
    <cellStyle name="Nota 5 2 2 4 2 3 2 2" xfId="48171"/>
    <cellStyle name="Nota 5 2 2 4 2 3 3" xfId="36899"/>
    <cellStyle name="Nota 5 2 2 4 2 4" xfId="17659"/>
    <cellStyle name="Nota 5 2 2 4 2 4 2" xfId="46840"/>
    <cellStyle name="Nota 5 2 2 4 2 5" xfId="31315"/>
    <cellStyle name="Nota 5 2 2 4 3" xfId="3032"/>
    <cellStyle name="Nota 5 2 2 4 3 2" xfId="8516"/>
    <cellStyle name="Nota 5 2 2 4 3 2 2" xfId="19483"/>
    <cellStyle name="Nota 5 2 2 4 3 2 2 2" xfId="48664"/>
    <cellStyle name="Nota 5 2 2 4 3 2 3" xfId="37699"/>
    <cellStyle name="Nota 5 2 2 4 3 3" xfId="17222"/>
    <cellStyle name="Nota 5 2 2 4 3 3 2" xfId="46403"/>
    <cellStyle name="Nota 5 2 2 4 3 4" xfId="32215"/>
    <cellStyle name="Nota 5 2 2 4 4" xfId="8137"/>
    <cellStyle name="Nota 5 2 2 4 4 2" xfId="19246"/>
    <cellStyle name="Nota 5 2 2 4 4 2 2" xfId="48427"/>
    <cellStyle name="Nota 5 2 2 4 4 3" xfId="37320"/>
    <cellStyle name="Nota 5 2 2 4 5" xfId="12679"/>
    <cellStyle name="Nota 5 2 2 4 5 2" xfId="41860"/>
    <cellStyle name="Nota 5 2 2 4 6" xfId="30415"/>
    <cellStyle name="Nota 5 2 2 5" xfId="1374"/>
    <cellStyle name="Nota 5 2 2 5 2" xfId="2276"/>
    <cellStyle name="Nota 5 2 2 5 2 2" xfId="4076"/>
    <cellStyle name="Nota 5 2 2 5 2 2 2" xfId="7004"/>
    <cellStyle name="Nota 5 2 2 5 2 2 2 2" xfId="18571"/>
    <cellStyle name="Nota 5 2 2 5 2 2 2 2 2" xfId="47752"/>
    <cellStyle name="Nota 5 2 2 5 2 2 2 3" xfId="36187"/>
    <cellStyle name="Nota 5 2 2 5 2 2 3" xfId="12894"/>
    <cellStyle name="Nota 5 2 2 5 2 2 3 2" xfId="42075"/>
    <cellStyle name="Nota 5 2 2 5 2 2 4" xfId="33259"/>
    <cellStyle name="Nota 5 2 2 5 2 3" xfId="7829"/>
    <cellStyle name="Nota 5 2 2 5 2 3 2" xfId="19062"/>
    <cellStyle name="Nota 5 2 2 5 2 3 2 2" xfId="48243"/>
    <cellStyle name="Nota 5 2 2 5 2 3 3" xfId="37012"/>
    <cellStyle name="Nota 5 2 2 5 2 4" xfId="10664"/>
    <cellStyle name="Nota 5 2 2 5 2 4 2" xfId="39845"/>
    <cellStyle name="Nota 5 2 2 5 2 5" xfId="31459"/>
    <cellStyle name="Nota 5 2 2 5 3" xfId="3176"/>
    <cellStyle name="Nota 5 2 2 5 3 2" xfId="7193"/>
    <cellStyle name="Nota 5 2 2 5 3 2 2" xfId="18676"/>
    <cellStyle name="Nota 5 2 2 5 3 2 2 2" xfId="47857"/>
    <cellStyle name="Nota 5 2 2 5 3 2 3" xfId="36376"/>
    <cellStyle name="Nota 5 2 2 5 3 3" xfId="16120"/>
    <cellStyle name="Nota 5 2 2 5 3 3 2" xfId="45301"/>
    <cellStyle name="Nota 5 2 2 5 3 4" xfId="32359"/>
    <cellStyle name="Nota 5 2 2 5 4" xfId="10247"/>
    <cellStyle name="Nota 5 2 2 5 4 2" xfId="20516"/>
    <cellStyle name="Nota 5 2 2 5 4 2 2" xfId="49697"/>
    <cellStyle name="Nota 5 2 2 5 4 3" xfId="39430"/>
    <cellStyle name="Nota 5 2 2 5 5" xfId="17107"/>
    <cellStyle name="Nota 5 2 2 5 5 2" xfId="46288"/>
    <cellStyle name="Nota 5 2 2 5 6" xfId="30559"/>
    <cellStyle name="Nota 5 2 2 6" xfId="1556"/>
    <cellStyle name="Nota 5 2 2 6 2" xfId="3356"/>
    <cellStyle name="Nota 5 2 2 6 2 2" xfId="8072"/>
    <cellStyle name="Nota 5 2 2 6 2 2 2" xfId="19206"/>
    <cellStyle name="Nota 5 2 2 6 2 2 2 2" xfId="48387"/>
    <cellStyle name="Nota 5 2 2 6 2 2 3" xfId="37255"/>
    <cellStyle name="Nota 5 2 2 6 2 3" xfId="17431"/>
    <cellStyle name="Nota 5 2 2 6 2 3 2" xfId="46612"/>
    <cellStyle name="Nota 5 2 2 6 2 4" xfId="32539"/>
    <cellStyle name="Nota 5 2 2 6 3" xfId="8290"/>
    <cellStyle name="Nota 5 2 2 6 3 2" xfId="19339"/>
    <cellStyle name="Nota 5 2 2 6 3 2 2" xfId="48520"/>
    <cellStyle name="Nota 5 2 2 6 3 3" xfId="37473"/>
    <cellStyle name="Nota 5 2 2 6 4" xfId="10669"/>
    <cellStyle name="Nota 5 2 2 6 4 2" xfId="39850"/>
    <cellStyle name="Nota 5 2 2 6 5" xfId="30739"/>
    <cellStyle name="Nota 5 2 2 7" xfId="2456"/>
    <cellStyle name="Nota 5 2 2 7 2" xfId="9819"/>
    <cellStyle name="Nota 5 2 2 7 2 2" xfId="20260"/>
    <cellStyle name="Nota 5 2 2 7 2 2 2" xfId="49441"/>
    <cellStyle name="Nota 5 2 2 7 2 3" xfId="39002"/>
    <cellStyle name="Nota 5 2 2 7 3" xfId="12195"/>
    <cellStyle name="Nota 5 2 2 7 3 2" xfId="41376"/>
    <cellStyle name="Nota 5 2 2 7 4" xfId="31639"/>
    <cellStyle name="Nota 5 2 2 8" xfId="7899"/>
    <cellStyle name="Nota 5 2 2 8 2" xfId="19103"/>
    <cellStyle name="Nota 5 2 2 8 2 2" xfId="48284"/>
    <cellStyle name="Nota 5 2 2 8 3" xfId="37082"/>
    <cellStyle name="Nota 5 2 2 9" xfId="11237"/>
    <cellStyle name="Nota 5 2 2 9 2" xfId="40418"/>
    <cellStyle name="Nota 5 2 3" xfId="796"/>
    <cellStyle name="Nota 5 2 3 2" xfId="1734"/>
    <cellStyle name="Nota 5 2 3 2 2" xfId="3534"/>
    <cellStyle name="Nota 5 2 3 2 2 2" xfId="7581"/>
    <cellStyle name="Nota 5 2 3 2 2 2 2" xfId="18907"/>
    <cellStyle name="Nota 5 2 3 2 2 2 2 2" xfId="48088"/>
    <cellStyle name="Nota 5 2 3 2 2 2 3" xfId="36764"/>
    <cellStyle name="Nota 5 2 3 2 2 3" xfId="16755"/>
    <cellStyle name="Nota 5 2 3 2 2 3 2" xfId="45936"/>
    <cellStyle name="Nota 5 2 3 2 2 4" xfId="32717"/>
    <cellStyle name="Nota 5 2 3 2 3" xfId="9902"/>
    <cellStyle name="Nota 5 2 3 2 3 2" xfId="20313"/>
    <cellStyle name="Nota 5 2 3 2 3 2 2" xfId="49494"/>
    <cellStyle name="Nota 5 2 3 2 3 3" xfId="39085"/>
    <cellStyle name="Nota 5 2 3 2 4" xfId="11026"/>
    <cellStyle name="Nota 5 2 3 2 4 2" xfId="40207"/>
    <cellStyle name="Nota 5 2 3 2 5" xfId="30917"/>
    <cellStyle name="Nota 5 2 3 3" xfId="2634"/>
    <cellStyle name="Nota 5 2 3 3 2" xfId="9127"/>
    <cellStyle name="Nota 5 2 3 3 2 2" xfId="19844"/>
    <cellStyle name="Nota 5 2 3 3 2 2 2" xfId="49025"/>
    <cellStyle name="Nota 5 2 3 3 2 3" xfId="38310"/>
    <cellStyle name="Nota 5 2 3 3 3" xfId="15993"/>
    <cellStyle name="Nota 5 2 3 3 3 2" xfId="45174"/>
    <cellStyle name="Nota 5 2 3 3 4" xfId="31817"/>
    <cellStyle name="Nota 5 2 3 4" xfId="8623"/>
    <cellStyle name="Nota 5 2 3 4 2" xfId="19548"/>
    <cellStyle name="Nota 5 2 3 4 2 2" xfId="48729"/>
    <cellStyle name="Nota 5 2 3 4 3" xfId="37806"/>
    <cellStyle name="Nota 5 2 3 5" xfId="11383"/>
    <cellStyle name="Nota 5 2 3 5 2" xfId="40564"/>
    <cellStyle name="Nota 5 2 3 6" xfId="29993"/>
    <cellStyle name="Nota 5 2 4" xfId="988"/>
    <cellStyle name="Nota 5 2 4 2" xfId="1898"/>
    <cellStyle name="Nota 5 2 4 2 2" xfId="3698"/>
    <cellStyle name="Nota 5 2 4 2 2 2" xfId="7556"/>
    <cellStyle name="Nota 5 2 4 2 2 2 2" xfId="18889"/>
    <cellStyle name="Nota 5 2 4 2 2 2 2 2" xfId="48070"/>
    <cellStyle name="Nota 5 2 4 2 2 2 3" xfId="36739"/>
    <cellStyle name="Nota 5 2 4 2 2 3" xfId="12383"/>
    <cellStyle name="Nota 5 2 4 2 2 3 2" xfId="41564"/>
    <cellStyle name="Nota 5 2 4 2 2 4" xfId="32881"/>
    <cellStyle name="Nota 5 2 4 2 3" xfId="8981"/>
    <cellStyle name="Nota 5 2 4 2 3 2" xfId="19758"/>
    <cellStyle name="Nota 5 2 4 2 3 2 2" xfId="48939"/>
    <cellStyle name="Nota 5 2 4 2 3 3" xfId="38164"/>
    <cellStyle name="Nota 5 2 4 2 4" xfId="16320"/>
    <cellStyle name="Nota 5 2 4 2 4 2" xfId="45501"/>
    <cellStyle name="Nota 5 2 4 2 5" xfId="31081"/>
    <cellStyle name="Nota 5 2 4 3" xfId="2798"/>
    <cellStyle name="Nota 5 2 4 3 2" xfId="10508"/>
    <cellStyle name="Nota 5 2 4 3 2 2" xfId="20682"/>
    <cellStyle name="Nota 5 2 4 3 2 2 2" xfId="49863"/>
    <cellStyle name="Nota 5 2 4 3 2 3" xfId="39691"/>
    <cellStyle name="Nota 5 2 4 3 3" xfId="11604"/>
    <cellStyle name="Nota 5 2 4 3 3 2" xfId="40785"/>
    <cellStyle name="Nota 5 2 4 3 4" xfId="31981"/>
    <cellStyle name="Nota 5 2 4 4" xfId="8140"/>
    <cellStyle name="Nota 5 2 4 4 2" xfId="19248"/>
    <cellStyle name="Nota 5 2 4 4 2 2" xfId="48429"/>
    <cellStyle name="Nota 5 2 4 4 3" xfId="37323"/>
    <cellStyle name="Nota 5 2 4 5" xfId="15768"/>
    <cellStyle name="Nota 5 2 4 5 2" xfId="44949"/>
    <cellStyle name="Nota 5 2 4 6" xfId="30178"/>
    <cellStyle name="Nota 5 2 5" xfId="1138"/>
    <cellStyle name="Nota 5 2 5 2" xfId="2042"/>
    <cellStyle name="Nota 5 2 5 2 2" xfId="3842"/>
    <cellStyle name="Nota 5 2 5 2 2 2" xfId="10118"/>
    <cellStyle name="Nota 5 2 5 2 2 2 2" xfId="20444"/>
    <cellStyle name="Nota 5 2 5 2 2 2 2 2" xfId="49625"/>
    <cellStyle name="Nota 5 2 5 2 2 2 3" xfId="39301"/>
    <cellStyle name="Nota 5 2 5 2 2 3" xfId="15810"/>
    <cellStyle name="Nota 5 2 5 2 2 3 2" xfId="44991"/>
    <cellStyle name="Nota 5 2 5 2 2 4" xfId="33025"/>
    <cellStyle name="Nota 5 2 5 2 3" xfId="10318"/>
    <cellStyle name="Nota 5 2 5 2 3 2" xfId="20562"/>
    <cellStyle name="Nota 5 2 5 2 3 2 2" xfId="49743"/>
    <cellStyle name="Nota 5 2 5 2 3 3" xfId="39501"/>
    <cellStyle name="Nota 5 2 5 2 4" xfId="13934"/>
    <cellStyle name="Nota 5 2 5 2 4 2" xfId="43115"/>
    <cellStyle name="Nota 5 2 5 2 5" xfId="31225"/>
    <cellStyle name="Nota 5 2 5 3" xfId="2942"/>
    <cellStyle name="Nota 5 2 5 3 2" xfId="9541"/>
    <cellStyle name="Nota 5 2 5 3 2 2" xfId="20092"/>
    <cellStyle name="Nota 5 2 5 3 2 2 2" xfId="49273"/>
    <cellStyle name="Nota 5 2 5 3 2 3" xfId="38724"/>
    <cellStyle name="Nota 5 2 5 3 3" xfId="13906"/>
    <cellStyle name="Nota 5 2 5 3 3 2" xfId="43087"/>
    <cellStyle name="Nota 5 2 5 3 4" xfId="32125"/>
    <cellStyle name="Nota 5 2 5 4" xfId="10110"/>
    <cellStyle name="Nota 5 2 5 4 2" xfId="20438"/>
    <cellStyle name="Nota 5 2 5 4 2 2" xfId="49619"/>
    <cellStyle name="Nota 5 2 5 4 3" xfId="39293"/>
    <cellStyle name="Nota 5 2 5 5" xfId="11028"/>
    <cellStyle name="Nota 5 2 5 5 2" xfId="40209"/>
    <cellStyle name="Nota 5 2 5 6" xfId="30325"/>
    <cellStyle name="Nota 5 2 6" xfId="1284"/>
    <cellStyle name="Nota 5 2 6 2" xfId="2186"/>
    <cellStyle name="Nota 5 2 6 2 2" xfId="3986"/>
    <cellStyle name="Nota 5 2 6 2 2 2" xfId="7094"/>
    <cellStyle name="Nota 5 2 6 2 2 2 2" xfId="18625"/>
    <cellStyle name="Nota 5 2 6 2 2 2 2 2" xfId="47806"/>
    <cellStyle name="Nota 5 2 6 2 2 2 3" xfId="36277"/>
    <cellStyle name="Nota 5 2 6 2 2 3" xfId="18063"/>
    <cellStyle name="Nota 5 2 6 2 2 3 2" xfId="47244"/>
    <cellStyle name="Nota 5 2 6 2 2 4" xfId="33169"/>
    <cellStyle name="Nota 5 2 6 2 3" xfId="10237"/>
    <cellStyle name="Nota 5 2 6 2 3 2" xfId="20510"/>
    <cellStyle name="Nota 5 2 6 2 3 2 2" xfId="49691"/>
    <cellStyle name="Nota 5 2 6 2 3 3" xfId="39420"/>
    <cellStyle name="Nota 5 2 6 2 4" xfId="13181"/>
    <cellStyle name="Nota 5 2 6 2 4 2" xfId="42362"/>
    <cellStyle name="Nota 5 2 6 2 5" xfId="31369"/>
    <cellStyle name="Nota 5 2 6 3" xfId="3086"/>
    <cellStyle name="Nota 5 2 6 3 2" xfId="9461"/>
    <cellStyle name="Nota 5 2 6 3 2 2" xfId="20044"/>
    <cellStyle name="Nota 5 2 6 3 2 2 2" xfId="49225"/>
    <cellStyle name="Nota 5 2 6 3 2 3" xfId="38644"/>
    <cellStyle name="Nota 5 2 6 3 3" xfId="15856"/>
    <cellStyle name="Nota 5 2 6 3 3 2" xfId="45037"/>
    <cellStyle name="Nota 5 2 6 3 4" xfId="32269"/>
    <cellStyle name="Nota 5 2 6 4" xfId="8331"/>
    <cellStyle name="Nota 5 2 6 4 2" xfId="19366"/>
    <cellStyle name="Nota 5 2 6 4 2 2" xfId="48547"/>
    <cellStyle name="Nota 5 2 6 4 3" xfId="37514"/>
    <cellStyle name="Nota 5 2 6 5" xfId="12442"/>
    <cellStyle name="Nota 5 2 6 5 2" xfId="41623"/>
    <cellStyle name="Nota 5 2 6 6" xfId="30469"/>
    <cellStyle name="Nota 5 2 7" xfId="1466"/>
    <cellStyle name="Nota 5 2 7 2" xfId="3266"/>
    <cellStyle name="Nota 5 2 7 2 2" xfId="9120"/>
    <cellStyle name="Nota 5 2 7 2 2 2" xfId="19838"/>
    <cellStyle name="Nota 5 2 7 2 2 2 2" xfId="49019"/>
    <cellStyle name="Nota 5 2 7 2 2 3" xfId="38303"/>
    <cellStyle name="Nota 5 2 7 2 3" xfId="17699"/>
    <cellStyle name="Nota 5 2 7 2 3 2" xfId="46880"/>
    <cellStyle name="Nota 5 2 7 2 4" xfId="32449"/>
    <cellStyle name="Nota 5 2 7 3" xfId="10444"/>
    <cellStyle name="Nota 5 2 7 3 2" xfId="20643"/>
    <cellStyle name="Nota 5 2 7 3 2 2" xfId="49824"/>
    <cellStyle name="Nota 5 2 7 3 3" xfId="39627"/>
    <cellStyle name="Nota 5 2 7 4" xfId="12709"/>
    <cellStyle name="Nota 5 2 7 4 2" xfId="41890"/>
    <cellStyle name="Nota 5 2 7 5" xfId="30649"/>
    <cellStyle name="Nota 5 2 8" xfId="2366"/>
    <cellStyle name="Nota 5 2 8 2" xfId="7495"/>
    <cellStyle name="Nota 5 2 8 2 2" xfId="18851"/>
    <cellStyle name="Nota 5 2 8 2 2 2" xfId="48032"/>
    <cellStyle name="Nota 5 2 8 2 3" xfId="36678"/>
    <cellStyle name="Nota 5 2 8 3" xfId="13213"/>
    <cellStyle name="Nota 5 2 8 3 2" xfId="42394"/>
    <cellStyle name="Nota 5 2 8 4" xfId="31549"/>
    <cellStyle name="Nota 5 2 9" xfId="10455"/>
    <cellStyle name="Nota 5 2 9 2" xfId="20650"/>
    <cellStyle name="Nota 5 2 9 2 2" xfId="49831"/>
    <cellStyle name="Nota 5 2 9 3" xfId="39638"/>
    <cellStyle name="Nota 5 3" xfId="488"/>
    <cellStyle name="Nota 5 3 10" xfId="29694"/>
    <cellStyle name="Nota 5 3 2" xfId="841"/>
    <cellStyle name="Nota 5 3 2 2" xfId="1779"/>
    <cellStyle name="Nota 5 3 2 2 2" xfId="3579"/>
    <cellStyle name="Nota 5 3 2 2 2 2" xfId="10184"/>
    <cellStyle name="Nota 5 3 2 2 2 2 2" xfId="20480"/>
    <cellStyle name="Nota 5 3 2 2 2 2 2 2" xfId="49661"/>
    <cellStyle name="Nota 5 3 2 2 2 2 3" xfId="39367"/>
    <cellStyle name="Nota 5 3 2 2 2 3" xfId="14720"/>
    <cellStyle name="Nota 5 3 2 2 2 3 2" xfId="43901"/>
    <cellStyle name="Nota 5 3 2 2 2 4" xfId="32762"/>
    <cellStyle name="Nota 5 3 2 2 3" xfId="8943"/>
    <cellStyle name="Nota 5 3 2 2 3 2" xfId="19735"/>
    <cellStyle name="Nota 5 3 2 2 3 2 2" xfId="48916"/>
    <cellStyle name="Nota 5 3 2 2 3 3" xfId="38126"/>
    <cellStyle name="Nota 5 3 2 2 4" xfId="13146"/>
    <cellStyle name="Nota 5 3 2 2 4 2" xfId="42327"/>
    <cellStyle name="Nota 5 3 2 2 5" xfId="30962"/>
    <cellStyle name="Nota 5 3 2 3" xfId="2679"/>
    <cellStyle name="Nota 5 3 2 3 2" xfId="10470"/>
    <cellStyle name="Nota 5 3 2 3 2 2" xfId="20658"/>
    <cellStyle name="Nota 5 3 2 3 2 2 2" xfId="49839"/>
    <cellStyle name="Nota 5 3 2 3 2 3" xfId="39653"/>
    <cellStyle name="Nota 5 3 2 3 3" xfId="17884"/>
    <cellStyle name="Nota 5 3 2 3 3 2" xfId="47065"/>
    <cellStyle name="Nota 5 3 2 3 4" xfId="31862"/>
    <cellStyle name="Nota 5 3 2 4" xfId="9146"/>
    <cellStyle name="Nota 5 3 2 4 2" xfId="19857"/>
    <cellStyle name="Nota 5 3 2 4 2 2" xfId="49038"/>
    <cellStyle name="Nota 5 3 2 4 3" xfId="38329"/>
    <cellStyle name="Nota 5 3 2 5" xfId="13246"/>
    <cellStyle name="Nota 5 3 2 5 2" xfId="42427"/>
    <cellStyle name="Nota 5 3 2 6" xfId="30038"/>
    <cellStyle name="Nota 5 3 3" xfId="1033"/>
    <cellStyle name="Nota 5 3 3 2" xfId="1943"/>
    <cellStyle name="Nota 5 3 3 2 2" xfId="3743"/>
    <cellStyle name="Nota 5 3 3 2 2 2" xfId="10044"/>
    <cellStyle name="Nota 5 3 3 2 2 2 2" xfId="20398"/>
    <cellStyle name="Nota 5 3 3 2 2 2 2 2" xfId="49579"/>
    <cellStyle name="Nota 5 3 3 2 2 2 3" xfId="39227"/>
    <cellStyle name="Nota 5 3 3 2 2 3" xfId="10638"/>
    <cellStyle name="Nota 5 3 3 2 2 3 2" xfId="39819"/>
    <cellStyle name="Nota 5 3 3 2 2 4" xfId="32926"/>
    <cellStyle name="Nota 5 3 3 2 3" xfId="8821"/>
    <cellStyle name="Nota 5 3 3 2 3 2" xfId="19661"/>
    <cellStyle name="Nota 5 3 3 2 3 2 2" xfId="48842"/>
    <cellStyle name="Nota 5 3 3 2 3 3" xfId="38004"/>
    <cellStyle name="Nota 5 3 3 2 4" xfId="16529"/>
    <cellStyle name="Nota 5 3 3 2 4 2" xfId="45710"/>
    <cellStyle name="Nota 5 3 3 2 5" xfId="31126"/>
    <cellStyle name="Nota 5 3 3 3" xfId="2843"/>
    <cellStyle name="Nota 5 3 3 3 2" xfId="10348"/>
    <cellStyle name="Nota 5 3 3 3 2 2" xfId="20582"/>
    <cellStyle name="Nota 5 3 3 3 2 2 2" xfId="49763"/>
    <cellStyle name="Nota 5 3 3 3 2 3" xfId="39531"/>
    <cellStyle name="Nota 5 3 3 3 3" xfId="15473"/>
    <cellStyle name="Nota 5 3 3 3 3 2" xfId="44654"/>
    <cellStyle name="Nota 5 3 3 3 4" xfId="32026"/>
    <cellStyle name="Nota 5 3 3 4" xfId="7687"/>
    <cellStyle name="Nota 5 3 3 4 2" xfId="18971"/>
    <cellStyle name="Nota 5 3 3 4 2 2" xfId="48152"/>
    <cellStyle name="Nota 5 3 3 4 3" xfId="36870"/>
    <cellStyle name="Nota 5 3 3 5" xfId="13050"/>
    <cellStyle name="Nota 5 3 3 5 2" xfId="42231"/>
    <cellStyle name="Nota 5 3 3 6" xfId="30223"/>
    <cellStyle name="Nota 5 3 4" xfId="1183"/>
    <cellStyle name="Nota 5 3 4 2" xfId="2087"/>
    <cellStyle name="Nota 5 3 4 2 2" xfId="3887"/>
    <cellStyle name="Nota 5 3 4 2 2 2" xfId="9036"/>
    <cellStyle name="Nota 5 3 4 2 2 2 2" xfId="19787"/>
    <cellStyle name="Nota 5 3 4 2 2 2 2 2" xfId="48968"/>
    <cellStyle name="Nota 5 3 4 2 2 2 3" xfId="38219"/>
    <cellStyle name="Nota 5 3 4 2 2 3" xfId="16988"/>
    <cellStyle name="Nota 5 3 4 2 2 3 2" xfId="46169"/>
    <cellStyle name="Nota 5 3 4 2 2 4" xfId="33070"/>
    <cellStyle name="Nota 5 3 4 2 3" xfId="9929"/>
    <cellStyle name="Nota 5 3 4 2 3 2" xfId="20328"/>
    <cellStyle name="Nota 5 3 4 2 3 2 2" xfId="49509"/>
    <cellStyle name="Nota 5 3 4 2 3 3" xfId="39112"/>
    <cellStyle name="Nota 5 3 4 2 4" xfId="12270"/>
    <cellStyle name="Nota 5 3 4 2 4 2" xfId="41451"/>
    <cellStyle name="Nota 5 3 4 2 5" xfId="31270"/>
    <cellStyle name="Nota 5 3 4 3" xfId="2987"/>
    <cellStyle name="Nota 5 3 4 3 2" xfId="9181"/>
    <cellStyle name="Nota 5 3 4 3 2 2" xfId="19875"/>
    <cellStyle name="Nota 5 3 4 3 2 2 2" xfId="49056"/>
    <cellStyle name="Nota 5 3 4 3 2 3" xfId="38364"/>
    <cellStyle name="Nota 5 3 4 3 3" xfId="11747"/>
    <cellStyle name="Nota 5 3 4 3 3 2" xfId="40928"/>
    <cellStyle name="Nota 5 3 4 3 4" xfId="32170"/>
    <cellStyle name="Nota 5 3 4 4" xfId="9028"/>
    <cellStyle name="Nota 5 3 4 4 2" xfId="19781"/>
    <cellStyle name="Nota 5 3 4 4 2 2" xfId="48962"/>
    <cellStyle name="Nota 5 3 4 4 3" xfId="38211"/>
    <cellStyle name="Nota 5 3 4 5" xfId="16756"/>
    <cellStyle name="Nota 5 3 4 5 2" xfId="45937"/>
    <cellStyle name="Nota 5 3 4 6" xfId="30370"/>
    <cellStyle name="Nota 5 3 5" xfId="1329"/>
    <cellStyle name="Nota 5 3 5 2" xfId="2231"/>
    <cellStyle name="Nota 5 3 5 2 2" xfId="4031"/>
    <cellStyle name="Nota 5 3 5 2 2 2" xfId="7049"/>
    <cellStyle name="Nota 5 3 5 2 2 2 2" xfId="18598"/>
    <cellStyle name="Nota 5 3 5 2 2 2 2 2" xfId="47779"/>
    <cellStyle name="Nota 5 3 5 2 2 2 3" xfId="36232"/>
    <cellStyle name="Nota 5 3 5 2 2 3" xfId="18129"/>
    <cellStyle name="Nota 5 3 5 2 2 3 2" xfId="47310"/>
    <cellStyle name="Nota 5 3 5 2 2 4" xfId="33214"/>
    <cellStyle name="Nota 5 3 5 2 3" xfId="7791"/>
    <cellStyle name="Nota 5 3 5 2 3 2" xfId="19037"/>
    <cellStyle name="Nota 5 3 5 2 3 2 2" xfId="48218"/>
    <cellStyle name="Nota 5 3 5 2 3 3" xfId="36974"/>
    <cellStyle name="Nota 5 3 5 2 4" xfId="15637"/>
    <cellStyle name="Nota 5 3 5 2 4 2" xfId="44818"/>
    <cellStyle name="Nota 5 3 5 2 5" xfId="31414"/>
    <cellStyle name="Nota 5 3 5 3" xfId="3131"/>
    <cellStyle name="Nota 5 3 5 3 2" xfId="8591"/>
    <cellStyle name="Nota 5 3 5 3 2 2" xfId="19530"/>
    <cellStyle name="Nota 5 3 5 3 2 2 2" xfId="48711"/>
    <cellStyle name="Nota 5 3 5 3 2 3" xfId="37774"/>
    <cellStyle name="Nota 5 3 5 3 3" xfId="12007"/>
    <cellStyle name="Nota 5 3 5 3 3 2" xfId="41188"/>
    <cellStyle name="Nota 5 3 5 3 4" xfId="32314"/>
    <cellStyle name="Nota 5 3 5 4" xfId="10404"/>
    <cellStyle name="Nota 5 3 5 4 2" xfId="20617"/>
    <cellStyle name="Nota 5 3 5 4 2 2" xfId="49798"/>
    <cellStyle name="Nota 5 3 5 4 3" xfId="39587"/>
    <cellStyle name="Nota 5 3 5 5" xfId="17673"/>
    <cellStyle name="Nota 5 3 5 5 2" xfId="46854"/>
    <cellStyle name="Nota 5 3 5 6" xfId="30514"/>
    <cellStyle name="Nota 5 3 6" xfId="1511"/>
    <cellStyle name="Nota 5 3 6 2" xfId="3311"/>
    <cellStyle name="Nota 5 3 6 2 2" xfId="10463"/>
    <cellStyle name="Nota 5 3 6 2 2 2" xfId="20655"/>
    <cellStyle name="Nota 5 3 6 2 2 2 2" xfId="49836"/>
    <cellStyle name="Nota 5 3 6 2 2 3" xfId="39646"/>
    <cellStyle name="Nota 5 3 6 2 3" xfId="12035"/>
    <cellStyle name="Nota 5 3 6 2 3 2" xfId="41216"/>
    <cellStyle name="Nota 5 3 6 2 4" xfId="32494"/>
    <cellStyle name="Nota 5 3 6 3" xfId="7640"/>
    <cellStyle name="Nota 5 3 6 3 2" xfId="18943"/>
    <cellStyle name="Nota 5 3 6 3 2 2" xfId="48124"/>
    <cellStyle name="Nota 5 3 6 3 3" xfId="36823"/>
    <cellStyle name="Nota 5 3 6 4" xfId="10701"/>
    <cellStyle name="Nota 5 3 6 4 2" xfId="39882"/>
    <cellStyle name="Nota 5 3 6 5" xfId="30694"/>
    <cellStyle name="Nota 5 3 7" xfId="2411"/>
    <cellStyle name="Nota 5 3 7 2" xfId="7247"/>
    <cellStyle name="Nota 5 3 7 2 2" xfId="18707"/>
    <cellStyle name="Nota 5 3 7 2 2 2" xfId="47888"/>
    <cellStyle name="Nota 5 3 7 2 3" xfId="36430"/>
    <cellStyle name="Nota 5 3 7 3" xfId="15696"/>
    <cellStyle name="Nota 5 3 7 3 2" xfId="44877"/>
    <cellStyle name="Nota 5 3 7 4" xfId="31594"/>
    <cellStyle name="Nota 5 3 8" xfId="10297"/>
    <cellStyle name="Nota 5 3 8 2" xfId="20548"/>
    <cellStyle name="Nota 5 3 8 2 2" xfId="49729"/>
    <cellStyle name="Nota 5 3 8 3" xfId="39480"/>
    <cellStyle name="Nota 5 3 9" xfId="16465"/>
    <cellStyle name="Nota 5 3 9 2" xfId="45646"/>
    <cellStyle name="Nota 5 4" xfId="704"/>
    <cellStyle name="Nota 5 4 2" xfId="1671"/>
    <cellStyle name="Nota 5 4 2 2" xfId="3471"/>
    <cellStyle name="Nota 5 4 2 2 2" xfId="10461"/>
    <cellStyle name="Nota 5 4 2 2 2 2" xfId="20653"/>
    <cellStyle name="Nota 5 4 2 2 2 2 2" xfId="49834"/>
    <cellStyle name="Nota 5 4 2 2 2 3" xfId="39644"/>
    <cellStyle name="Nota 5 4 2 2 3" xfId="10661"/>
    <cellStyle name="Nota 5 4 2 2 3 2" xfId="39842"/>
    <cellStyle name="Nota 5 4 2 2 4" xfId="32654"/>
    <cellStyle name="Nota 5 4 2 3" xfId="7798"/>
    <cellStyle name="Nota 5 4 2 3 2" xfId="19040"/>
    <cellStyle name="Nota 5 4 2 3 2 2" xfId="48221"/>
    <cellStyle name="Nota 5 4 2 3 3" xfId="36981"/>
    <cellStyle name="Nota 5 4 2 4" xfId="17428"/>
    <cellStyle name="Nota 5 4 2 4 2" xfId="46609"/>
    <cellStyle name="Nota 5 4 2 5" xfId="30854"/>
    <cellStyle name="Nota 5 4 3" xfId="2571"/>
    <cellStyle name="Nota 5 4 3 2" xfId="8598"/>
    <cellStyle name="Nota 5 4 3 2 2" xfId="19533"/>
    <cellStyle name="Nota 5 4 3 2 2 2" xfId="48714"/>
    <cellStyle name="Nota 5 4 3 2 3" xfId="37781"/>
    <cellStyle name="Nota 5 4 3 3" xfId="11632"/>
    <cellStyle name="Nota 5 4 3 3 2" xfId="40813"/>
    <cellStyle name="Nota 5 4 3 4" xfId="31754"/>
    <cellStyle name="Nota 5 4 4" xfId="8220"/>
    <cellStyle name="Nota 5 4 4 2" xfId="19296"/>
    <cellStyle name="Nota 5 4 4 2 2" xfId="48477"/>
    <cellStyle name="Nota 5 4 4 3" xfId="37403"/>
    <cellStyle name="Nota 5 4 5" xfId="16058"/>
    <cellStyle name="Nota 5 4 5 2" xfId="45239"/>
    <cellStyle name="Nota 5 4 6" xfId="29905"/>
    <cellStyle name="Nota 5 5" xfId="574"/>
    <cellStyle name="Nota 5 5 2" xfId="1590"/>
    <cellStyle name="Nota 5 5 2 2" xfId="3390"/>
    <cellStyle name="Nota 5 5 2 2 2" xfId="9693"/>
    <cellStyle name="Nota 5 5 2 2 2 2" xfId="20186"/>
    <cellStyle name="Nota 5 5 2 2 2 2 2" xfId="49367"/>
    <cellStyle name="Nota 5 5 2 2 2 3" xfId="38876"/>
    <cellStyle name="Nota 5 5 2 2 3" xfId="14230"/>
    <cellStyle name="Nota 5 5 2 2 3 2" xfId="43411"/>
    <cellStyle name="Nota 5 5 2 2 4" xfId="32573"/>
    <cellStyle name="Nota 5 5 2 3" xfId="8608"/>
    <cellStyle name="Nota 5 5 2 3 2" xfId="19539"/>
    <cellStyle name="Nota 5 5 2 3 2 2" xfId="48720"/>
    <cellStyle name="Nota 5 5 2 3 3" xfId="37791"/>
    <cellStyle name="Nota 5 5 2 4" xfId="12914"/>
    <cellStyle name="Nota 5 5 2 4 2" xfId="42095"/>
    <cellStyle name="Nota 5 5 2 5" xfId="30773"/>
    <cellStyle name="Nota 5 5 3" xfId="2490"/>
    <cellStyle name="Nota 5 5 3 2" xfId="10134"/>
    <cellStyle name="Nota 5 5 3 2 2" xfId="20453"/>
    <cellStyle name="Nota 5 5 3 2 2 2" xfId="49634"/>
    <cellStyle name="Nota 5 5 3 2 3" xfId="39317"/>
    <cellStyle name="Nota 5 5 3 3" xfId="14851"/>
    <cellStyle name="Nota 5 5 3 3 2" xfId="44032"/>
    <cellStyle name="Nota 5 5 3 4" xfId="31673"/>
    <cellStyle name="Nota 5 5 4" xfId="7861"/>
    <cellStyle name="Nota 5 5 4 2" xfId="19079"/>
    <cellStyle name="Nota 5 5 4 2 2" xfId="48260"/>
    <cellStyle name="Nota 5 5 4 3" xfId="37044"/>
    <cellStyle name="Nota 5 5 5" xfId="10857"/>
    <cellStyle name="Nota 5 5 5 2" xfId="40038"/>
    <cellStyle name="Nota 5 5 6" xfId="29779"/>
    <cellStyle name="Nota 5 6" xfId="747"/>
    <cellStyle name="Nota 5 6 2" xfId="1689"/>
    <cellStyle name="Nota 5 6 2 2" xfId="3489"/>
    <cellStyle name="Nota 5 6 2 2 2" xfId="8269"/>
    <cellStyle name="Nota 5 6 2 2 2 2" xfId="19325"/>
    <cellStyle name="Nota 5 6 2 2 2 2 2" xfId="48506"/>
    <cellStyle name="Nota 5 6 2 2 2 3" xfId="37452"/>
    <cellStyle name="Nota 5 6 2 2 3" xfId="15169"/>
    <cellStyle name="Nota 5 6 2 2 3 2" xfId="44350"/>
    <cellStyle name="Nota 5 6 2 2 4" xfId="32672"/>
    <cellStyle name="Nota 5 6 2 3" xfId="7501"/>
    <cellStyle name="Nota 5 6 2 3 2" xfId="18854"/>
    <cellStyle name="Nota 5 6 2 3 2 2" xfId="48035"/>
    <cellStyle name="Nota 5 6 2 3 3" xfId="36684"/>
    <cellStyle name="Nota 5 6 2 4" xfId="16434"/>
    <cellStyle name="Nota 5 6 2 4 2" xfId="45615"/>
    <cellStyle name="Nota 5 6 2 5" xfId="30872"/>
    <cellStyle name="Nota 5 6 3" xfId="2589"/>
    <cellStyle name="Nota 5 6 3 2" xfId="8406"/>
    <cellStyle name="Nota 5 6 3 2 2" xfId="19410"/>
    <cellStyle name="Nota 5 6 3 2 2 2" xfId="48591"/>
    <cellStyle name="Nota 5 6 3 2 3" xfId="37589"/>
    <cellStyle name="Nota 5 6 3 3" xfId="16947"/>
    <cellStyle name="Nota 5 6 3 3 2" xfId="46128"/>
    <cellStyle name="Nota 5 6 3 4" xfId="31772"/>
    <cellStyle name="Nota 5 6 4" xfId="7358"/>
    <cellStyle name="Nota 5 6 4 2" xfId="18770"/>
    <cellStyle name="Nota 5 6 4 2 2" xfId="47951"/>
    <cellStyle name="Nota 5 6 4 3" xfId="36541"/>
    <cellStyle name="Nota 5 6 5" xfId="12805"/>
    <cellStyle name="Nota 5 6 5 2" xfId="41986"/>
    <cellStyle name="Nota 5 6 6" xfId="29945"/>
    <cellStyle name="Nota 5 7" xfId="939"/>
    <cellStyle name="Nota 5 7 2" xfId="1853"/>
    <cellStyle name="Nota 5 7 2 2" xfId="3653"/>
    <cellStyle name="Nota 5 7 2 2 2" xfId="8110"/>
    <cellStyle name="Nota 5 7 2 2 2 2" xfId="19228"/>
    <cellStyle name="Nota 5 7 2 2 2 2 2" xfId="48409"/>
    <cellStyle name="Nota 5 7 2 2 2 3" xfId="37293"/>
    <cellStyle name="Nota 5 7 2 2 3" xfId="14012"/>
    <cellStyle name="Nota 5 7 2 2 3 2" xfId="43193"/>
    <cellStyle name="Nota 5 7 2 2 4" xfId="32836"/>
    <cellStyle name="Nota 5 7 2 3" xfId="7633"/>
    <cellStyle name="Nota 5 7 2 3 2" xfId="18938"/>
    <cellStyle name="Nota 5 7 2 3 2 2" xfId="48119"/>
    <cellStyle name="Nota 5 7 2 3 3" xfId="36816"/>
    <cellStyle name="Nota 5 7 2 4" xfId="12906"/>
    <cellStyle name="Nota 5 7 2 4 2" xfId="42087"/>
    <cellStyle name="Nota 5 7 2 5" xfId="31036"/>
    <cellStyle name="Nota 5 7 3" xfId="2753"/>
    <cellStyle name="Nota 5 7 3 2" xfId="8453"/>
    <cellStyle name="Nota 5 7 3 2 2" xfId="19444"/>
    <cellStyle name="Nota 5 7 3 2 2 2" xfId="48625"/>
    <cellStyle name="Nota 5 7 3 2 3" xfId="37636"/>
    <cellStyle name="Nota 5 7 3 3" xfId="13377"/>
    <cellStyle name="Nota 5 7 3 3 2" xfId="42558"/>
    <cellStyle name="Nota 5 7 3 4" xfId="31936"/>
    <cellStyle name="Nota 5 7 4" xfId="7807"/>
    <cellStyle name="Nota 5 7 4 2" xfId="19046"/>
    <cellStyle name="Nota 5 7 4 2 2" xfId="48227"/>
    <cellStyle name="Nota 5 7 4 3" xfId="36990"/>
    <cellStyle name="Nota 5 7 5" xfId="11058"/>
    <cellStyle name="Nota 5 7 5 2" xfId="40239"/>
    <cellStyle name="Nota 5 7 6" xfId="30130"/>
    <cellStyle name="Nota 5 8" xfId="1421"/>
    <cellStyle name="Nota 5 8 2" xfId="3221"/>
    <cellStyle name="Nota 5 8 2 2" xfId="8422"/>
    <cellStyle name="Nota 5 8 2 2 2" xfId="19423"/>
    <cellStyle name="Nota 5 8 2 2 2 2" xfId="48604"/>
    <cellStyle name="Nota 5 8 2 2 3" xfId="37605"/>
    <cellStyle name="Nota 5 8 2 3" xfId="17142"/>
    <cellStyle name="Nota 5 8 2 3 2" xfId="46323"/>
    <cellStyle name="Nota 5 8 2 4" xfId="32404"/>
    <cellStyle name="Nota 5 8 3" xfId="7397"/>
    <cellStyle name="Nota 5 8 3 2" xfId="18793"/>
    <cellStyle name="Nota 5 8 3 2 2" xfId="47974"/>
    <cellStyle name="Nota 5 8 3 3" xfId="36580"/>
    <cellStyle name="Nota 5 8 4" xfId="17099"/>
    <cellStyle name="Nota 5 8 4 2" xfId="46280"/>
    <cellStyle name="Nota 5 8 5" xfId="30604"/>
    <cellStyle name="Nota 5 9" xfId="2321"/>
    <cellStyle name="Nota 5 9 2" xfId="7616"/>
    <cellStyle name="Nota 5 9 2 2" xfId="18928"/>
    <cellStyle name="Nota 5 9 2 2 2" xfId="48109"/>
    <cellStyle name="Nota 5 9 2 3" xfId="36799"/>
    <cellStyle name="Nota 5 9 3" xfId="10890"/>
    <cellStyle name="Nota 5 9 3 2" xfId="40071"/>
    <cellStyle name="Nota 5 9 4" xfId="31504"/>
    <cellStyle name="Nota 6" xfId="331"/>
    <cellStyle name="Nota 6 10" xfId="18035"/>
    <cellStyle name="Nota 6 10 2" xfId="47216"/>
    <cellStyle name="Nota 6 11" xfId="58742"/>
    <cellStyle name="Nota 6 12" xfId="29604"/>
    <cellStyle name="Nota 6 2" xfId="444"/>
    <cellStyle name="Nota 6 2 10" xfId="13219"/>
    <cellStyle name="Nota 6 2 10 2" xfId="42400"/>
    <cellStyle name="Nota 6 2 11" xfId="58787"/>
    <cellStyle name="Nota 6 2 12" xfId="29650"/>
    <cellStyle name="Nota 6 2 2" xfId="534"/>
    <cellStyle name="Nota 6 2 2 10" xfId="29740"/>
    <cellStyle name="Nota 6 2 2 2" xfId="887"/>
    <cellStyle name="Nota 6 2 2 2 2" xfId="1825"/>
    <cellStyle name="Nota 6 2 2 2 2 2" xfId="3625"/>
    <cellStyle name="Nota 6 2 2 2 2 2 2" xfId="8432"/>
    <cellStyle name="Nota 6 2 2 2 2 2 2 2" xfId="19430"/>
    <cellStyle name="Nota 6 2 2 2 2 2 2 2 2" xfId="48611"/>
    <cellStyle name="Nota 6 2 2 2 2 2 2 3" xfId="37615"/>
    <cellStyle name="Nota 6 2 2 2 2 2 3" xfId="16325"/>
    <cellStyle name="Nota 6 2 2 2 2 2 3 2" xfId="45506"/>
    <cellStyle name="Nota 6 2 2 2 2 2 4" xfId="32808"/>
    <cellStyle name="Nota 6 2 2 2 2 3" xfId="10281"/>
    <cellStyle name="Nota 6 2 2 2 2 3 2" xfId="20538"/>
    <cellStyle name="Nota 6 2 2 2 2 3 2 2" xfId="49719"/>
    <cellStyle name="Nota 6 2 2 2 2 3 3" xfId="39464"/>
    <cellStyle name="Nota 6 2 2 2 2 4" xfId="17958"/>
    <cellStyle name="Nota 6 2 2 2 2 4 2" xfId="47139"/>
    <cellStyle name="Nota 6 2 2 2 2 5" xfId="31008"/>
    <cellStyle name="Nota 6 2 2 2 3" xfId="2725"/>
    <cellStyle name="Nota 6 2 2 2 3 2" xfId="9505"/>
    <cellStyle name="Nota 6 2 2 2 3 2 2" xfId="20070"/>
    <cellStyle name="Nota 6 2 2 2 3 2 2 2" xfId="49251"/>
    <cellStyle name="Nota 6 2 2 2 3 2 3" xfId="38688"/>
    <cellStyle name="Nota 6 2 2 2 3 3" xfId="11336"/>
    <cellStyle name="Nota 6 2 2 2 3 3 2" xfId="40517"/>
    <cellStyle name="Nota 6 2 2 2 3 4" xfId="31908"/>
    <cellStyle name="Nota 6 2 2 2 4" xfId="8954"/>
    <cellStyle name="Nota 6 2 2 2 4 2" xfId="19744"/>
    <cellStyle name="Nota 6 2 2 2 4 2 2" xfId="48925"/>
    <cellStyle name="Nota 6 2 2 2 4 3" xfId="38137"/>
    <cellStyle name="Nota 6 2 2 2 5" xfId="12228"/>
    <cellStyle name="Nota 6 2 2 2 5 2" xfId="41409"/>
    <cellStyle name="Nota 6 2 2 2 6" xfId="30084"/>
    <cellStyle name="Nota 6 2 2 3" xfId="1079"/>
    <cellStyle name="Nota 6 2 2 3 2" xfId="1989"/>
    <cellStyle name="Nota 6 2 2 3 2 2" xfId="3789"/>
    <cellStyle name="Nota 6 2 2 3 2 2 2" xfId="8303"/>
    <cellStyle name="Nota 6 2 2 3 2 2 2 2" xfId="19348"/>
    <cellStyle name="Nota 6 2 2 3 2 2 2 2 2" xfId="48529"/>
    <cellStyle name="Nota 6 2 2 3 2 2 2 3" xfId="37486"/>
    <cellStyle name="Nota 6 2 2 3 2 2 3" xfId="15056"/>
    <cellStyle name="Nota 6 2 2 3 2 2 3 2" xfId="44237"/>
    <cellStyle name="Nota 6 2 2 3 2 2 4" xfId="32972"/>
    <cellStyle name="Nota 6 2 2 3 2 3" xfId="10138"/>
    <cellStyle name="Nota 6 2 2 3 2 3 2" xfId="20456"/>
    <cellStyle name="Nota 6 2 2 3 2 3 2 2" xfId="49637"/>
    <cellStyle name="Nota 6 2 2 3 2 3 3" xfId="39321"/>
    <cellStyle name="Nota 6 2 2 3 2 4" xfId="12708"/>
    <cellStyle name="Nota 6 2 2 3 2 4 2" xfId="41889"/>
    <cellStyle name="Nota 6 2 2 3 2 5" xfId="31172"/>
    <cellStyle name="Nota 6 2 2 3 3" xfId="2889"/>
    <cellStyle name="Nota 6 2 2 3 3 2" xfId="9364"/>
    <cellStyle name="Nota 6 2 2 3 3 2 2" xfId="19989"/>
    <cellStyle name="Nota 6 2 2 3 3 2 2 2" xfId="49170"/>
    <cellStyle name="Nota 6 2 2 3 3 2 3" xfId="38547"/>
    <cellStyle name="Nota 6 2 2 3 3 3" xfId="15697"/>
    <cellStyle name="Nota 6 2 2 3 3 3 2" xfId="44878"/>
    <cellStyle name="Nota 6 2 2 3 3 4" xfId="32072"/>
    <cellStyle name="Nota 6 2 2 3 4" xfId="8538"/>
    <cellStyle name="Nota 6 2 2 3 4 2" xfId="19498"/>
    <cellStyle name="Nota 6 2 2 3 4 2 2" xfId="48679"/>
    <cellStyle name="Nota 6 2 2 3 4 3" xfId="37721"/>
    <cellStyle name="Nota 6 2 2 3 5" xfId="16139"/>
    <cellStyle name="Nota 6 2 2 3 5 2" xfId="45320"/>
    <cellStyle name="Nota 6 2 2 3 6" xfId="30269"/>
    <cellStyle name="Nota 6 2 2 4" xfId="1229"/>
    <cellStyle name="Nota 6 2 2 4 2" xfId="2133"/>
    <cellStyle name="Nota 6 2 2 4 2 2" xfId="3933"/>
    <cellStyle name="Nota 6 2 2 4 2 2 2" xfId="7147"/>
    <cellStyle name="Nota 6 2 2 4 2 2 2 2" xfId="18651"/>
    <cellStyle name="Nota 6 2 2 4 2 2 2 2 2" xfId="47832"/>
    <cellStyle name="Nota 6 2 2 4 2 2 2 3" xfId="36330"/>
    <cellStyle name="Nota 6 2 2 4 2 2 3" xfId="11271"/>
    <cellStyle name="Nota 6 2 2 4 2 2 3 2" xfId="40452"/>
    <cellStyle name="Nota 6 2 2 4 2 2 4" xfId="33116"/>
    <cellStyle name="Nota 6 2 2 4 2 3" xfId="9131"/>
    <cellStyle name="Nota 6 2 2 4 2 3 2" xfId="19847"/>
    <cellStyle name="Nota 6 2 2 4 2 3 2 2" xfId="49028"/>
    <cellStyle name="Nota 6 2 2 4 2 3 3" xfId="38314"/>
    <cellStyle name="Nota 6 2 2 4 2 4" xfId="14825"/>
    <cellStyle name="Nota 6 2 2 4 2 4 2" xfId="44006"/>
    <cellStyle name="Nota 6 2 2 4 2 5" xfId="31316"/>
    <cellStyle name="Nota 6 2 2 4 3" xfId="3033"/>
    <cellStyle name="Nota 6 2 2 4 3 2" xfId="7707"/>
    <cellStyle name="Nota 6 2 2 4 3 2 2" xfId="18983"/>
    <cellStyle name="Nota 6 2 2 4 3 2 2 2" xfId="48164"/>
    <cellStyle name="Nota 6 2 2 4 3 2 3" xfId="36890"/>
    <cellStyle name="Nota 6 2 2 4 3 3" xfId="14053"/>
    <cellStyle name="Nota 6 2 2 4 3 3 2" xfId="43234"/>
    <cellStyle name="Nota 6 2 2 4 3 4" xfId="32216"/>
    <cellStyle name="Nota 6 2 2 4 4" xfId="9560"/>
    <cellStyle name="Nota 6 2 2 4 4 2" xfId="20104"/>
    <cellStyle name="Nota 6 2 2 4 4 2 2" xfId="49285"/>
    <cellStyle name="Nota 6 2 2 4 4 3" xfId="38743"/>
    <cellStyle name="Nota 6 2 2 4 5" xfId="17315"/>
    <cellStyle name="Nota 6 2 2 4 5 2" xfId="46496"/>
    <cellStyle name="Nota 6 2 2 4 6" xfId="30416"/>
    <cellStyle name="Nota 6 2 2 5" xfId="1375"/>
    <cellStyle name="Nota 6 2 2 5 2" xfId="2277"/>
    <cellStyle name="Nota 6 2 2 5 2 2" xfId="4077"/>
    <cellStyle name="Nota 6 2 2 5 2 2 2" xfId="7003"/>
    <cellStyle name="Nota 6 2 2 5 2 2 2 2" xfId="18570"/>
    <cellStyle name="Nota 6 2 2 5 2 2 2 2 2" xfId="47751"/>
    <cellStyle name="Nota 6 2 2 5 2 2 2 3" xfId="36186"/>
    <cellStyle name="Nota 6 2 2 5 2 2 3" xfId="11622"/>
    <cellStyle name="Nota 6 2 2 5 2 2 3 2" xfId="40803"/>
    <cellStyle name="Nota 6 2 2 5 2 2 4" xfId="33260"/>
    <cellStyle name="Nota 6 2 2 5 2 3" xfId="7663"/>
    <cellStyle name="Nota 6 2 2 5 2 3 2" xfId="18957"/>
    <cellStyle name="Nota 6 2 2 5 2 3 2 2" xfId="48138"/>
    <cellStyle name="Nota 6 2 2 5 2 3 3" xfId="36846"/>
    <cellStyle name="Nota 6 2 2 5 2 4" xfId="16312"/>
    <cellStyle name="Nota 6 2 2 5 2 4 2" xfId="45493"/>
    <cellStyle name="Nota 6 2 2 5 2 5" xfId="31460"/>
    <cellStyle name="Nota 6 2 2 5 3" xfId="3177"/>
    <cellStyle name="Nota 6 2 2 5 3 2" xfId="7192"/>
    <cellStyle name="Nota 6 2 2 5 3 2 2" xfId="18675"/>
    <cellStyle name="Nota 6 2 2 5 3 2 2 2" xfId="47856"/>
    <cellStyle name="Nota 6 2 2 5 3 2 3" xfId="36375"/>
    <cellStyle name="Nota 6 2 2 5 3 3" xfId="15135"/>
    <cellStyle name="Nota 6 2 2 5 3 3 2" xfId="44316"/>
    <cellStyle name="Nota 6 2 2 5 3 4" xfId="32360"/>
    <cellStyle name="Nota 6 2 2 5 4" xfId="8711"/>
    <cellStyle name="Nota 6 2 2 5 4 2" xfId="19594"/>
    <cellStyle name="Nota 6 2 2 5 4 2 2" xfId="48775"/>
    <cellStyle name="Nota 6 2 2 5 4 3" xfId="37894"/>
    <cellStyle name="Nota 6 2 2 5 5" xfId="12915"/>
    <cellStyle name="Nota 6 2 2 5 5 2" xfId="42096"/>
    <cellStyle name="Nota 6 2 2 5 6" xfId="30560"/>
    <cellStyle name="Nota 6 2 2 6" xfId="1557"/>
    <cellStyle name="Nota 6 2 2 6 2" xfId="3357"/>
    <cellStyle name="Nota 6 2 2 6 2 2" xfId="9498"/>
    <cellStyle name="Nota 6 2 2 6 2 2 2" xfId="20066"/>
    <cellStyle name="Nota 6 2 2 6 2 2 2 2" xfId="49247"/>
    <cellStyle name="Nota 6 2 2 6 2 2 3" xfId="38681"/>
    <cellStyle name="Nota 6 2 2 6 2 3" xfId="15082"/>
    <cellStyle name="Nota 6 2 2 6 2 3 2" xfId="44263"/>
    <cellStyle name="Nota 6 2 2 6 2 4" xfId="32540"/>
    <cellStyle name="Nota 6 2 2 6 3" xfId="9675"/>
    <cellStyle name="Nota 6 2 2 6 3 2" xfId="20175"/>
    <cellStyle name="Nota 6 2 2 6 3 2 2" xfId="49356"/>
    <cellStyle name="Nota 6 2 2 6 3 3" xfId="38858"/>
    <cellStyle name="Nota 6 2 2 6 4" xfId="10668"/>
    <cellStyle name="Nota 6 2 2 6 4 2" xfId="39849"/>
    <cellStyle name="Nota 6 2 2 6 5" xfId="30740"/>
    <cellStyle name="Nota 6 2 2 7" xfId="2457"/>
    <cellStyle name="Nota 6 2 2 7 2" xfId="8281"/>
    <cellStyle name="Nota 6 2 2 7 2 2" xfId="19333"/>
    <cellStyle name="Nota 6 2 2 7 2 2 2" xfId="48514"/>
    <cellStyle name="Nota 6 2 2 7 2 3" xfId="37464"/>
    <cellStyle name="Nota 6 2 2 7 3" xfId="16275"/>
    <cellStyle name="Nota 6 2 2 7 3 2" xfId="45456"/>
    <cellStyle name="Nota 6 2 2 7 4" xfId="31640"/>
    <cellStyle name="Nota 6 2 2 8" xfId="9311"/>
    <cellStyle name="Nota 6 2 2 8 2" xfId="19959"/>
    <cellStyle name="Nota 6 2 2 8 2 2" xfId="49140"/>
    <cellStyle name="Nota 6 2 2 8 3" xfId="38494"/>
    <cellStyle name="Nota 6 2 2 9" xfId="16449"/>
    <cellStyle name="Nota 6 2 2 9 2" xfId="45630"/>
    <cellStyle name="Nota 6 2 3" xfId="797"/>
    <cellStyle name="Nota 6 2 3 2" xfId="1735"/>
    <cellStyle name="Nota 6 2 3 2 2" xfId="3535"/>
    <cellStyle name="Nota 6 2 3 2 2 2" xfId="9191"/>
    <cellStyle name="Nota 6 2 3 2 2 2 2" xfId="19883"/>
    <cellStyle name="Nota 6 2 3 2 2 2 2 2" xfId="49064"/>
    <cellStyle name="Nota 6 2 3 2 2 2 3" xfId="38374"/>
    <cellStyle name="Nota 6 2 3 2 2 3" xfId="13987"/>
    <cellStyle name="Nota 6 2 3 2 2 3 2" xfId="43168"/>
    <cellStyle name="Nota 6 2 3 2 2 4" xfId="32718"/>
    <cellStyle name="Nota 6 2 3 2 3" xfId="8365"/>
    <cellStyle name="Nota 6 2 3 2 3 2" xfId="19387"/>
    <cellStyle name="Nota 6 2 3 2 3 2 2" xfId="48568"/>
    <cellStyle name="Nota 6 2 3 2 3 3" xfId="37548"/>
    <cellStyle name="Nota 6 2 3 2 4" xfId="16896"/>
    <cellStyle name="Nota 6 2 3 2 4 2" xfId="46077"/>
    <cellStyle name="Nota 6 2 3 2 5" xfId="30918"/>
    <cellStyle name="Nota 6 2 3 3" xfId="2635"/>
    <cellStyle name="Nota 6 2 3 3 2" xfId="9893"/>
    <cellStyle name="Nota 6 2 3 3 2 2" xfId="20306"/>
    <cellStyle name="Nota 6 2 3 3 2 2 2" xfId="49487"/>
    <cellStyle name="Nota 6 2 3 3 2 3" xfId="39076"/>
    <cellStyle name="Nota 6 2 3 3 3" xfId="14526"/>
    <cellStyle name="Nota 6 2 3 3 3 2" xfId="43707"/>
    <cellStyle name="Nota 6 2 3 3 4" xfId="31818"/>
    <cellStyle name="Nota 6 2 3 4" xfId="7817"/>
    <cellStyle name="Nota 6 2 3 4 2" xfId="19054"/>
    <cellStyle name="Nota 6 2 3 4 2 2" xfId="48235"/>
    <cellStyle name="Nota 6 2 3 4 3" xfId="37000"/>
    <cellStyle name="Nota 6 2 3 5" xfId="17835"/>
    <cellStyle name="Nota 6 2 3 5 2" xfId="47016"/>
    <cellStyle name="Nota 6 2 3 6" xfId="29994"/>
    <cellStyle name="Nota 6 2 4" xfId="989"/>
    <cellStyle name="Nota 6 2 4 2" xfId="1899"/>
    <cellStyle name="Nota 6 2 4 2 2" xfId="3699"/>
    <cellStyle name="Nota 6 2 4 2 2 2" xfId="9198"/>
    <cellStyle name="Nota 6 2 4 2 2 2 2" xfId="19888"/>
    <cellStyle name="Nota 6 2 4 2 2 2 2 2" xfId="49069"/>
    <cellStyle name="Nota 6 2 4 2 2 2 3" xfId="38381"/>
    <cellStyle name="Nota 6 2 4 2 2 3" xfId="16700"/>
    <cellStyle name="Nota 6 2 4 2 2 3 2" xfId="45881"/>
    <cellStyle name="Nota 6 2 4 2 2 4" xfId="32882"/>
    <cellStyle name="Nota 6 2 4 2 3" xfId="8207"/>
    <cellStyle name="Nota 6 2 4 2 3 2" xfId="19290"/>
    <cellStyle name="Nota 6 2 4 2 3 2 2" xfId="48471"/>
    <cellStyle name="Nota 6 2 4 2 3 3" xfId="37390"/>
    <cellStyle name="Nota 6 2 4 2 4" xfId="15383"/>
    <cellStyle name="Nota 6 2 4 2 4 2" xfId="44564"/>
    <cellStyle name="Nota 6 2 4 2 5" xfId="31082"/>
    <cellStyle name="Nota 6 2 4 3" xfId="2799"/>
    <cellStyle name="Nota 6 2 4 3 2" xfId="8972"/>
    <cellStyle name="Nota 6 2 4 3 2 2" xfId="19753"/>
    <cellStyle name="Nota 6 2 4 3 2 2 2" xfId="48934"/>
    <cellStyle name="Nota 6 2 4 3 2 3" xfId="38155"/>
    <cellStyle name="Nota 6 2 4 3 3" xfId="10892"/>
    <cellStyle name="Nota 6 2 4 3 3 2" xfId="40073"/>
    <cellStyle name="Nota 6 2 4 3 4" xfId="31982"/>
    <cellStyle name="Nota 6 2 4 4" xfId="9563"/>
    <cellStyle name="Nota 6 2 4 4 2" xfId="20106"/>
    <cellStyle name="Nota 6 2 4 4 2 2" xfId="49287"/>
    <cellStyle name="Nota 6 2 4 4 3" xfId="38746"/>
    <cellStyle name="Nota 6 2 4 5" xfId="12711"/>
    <cellStyle name="Nota 6 2 4 5 2" xfId="41892"/>
    <cellStyle name="Nota 6 2 4 6" xfId="30179"/>
    <cellStyle name="Nota 6 2 5" xfId="1139"/>
    <cellStyle name="Nota 6 2 5 2" xfId="2043"/>
    <cellStyle name="Nota 6 2 5 2 2" xfId="3843"/>
    <cellStyle name="Nota 6 2 5 2 2 2" xfId="8583"/>
    <cellStyle name="Nota 6 2 5 2 2 2 2" xfId="19525"/>
    <cellStyle name="Nota 6 2 5 2 2 2 2 2" xfId="48706"/>
    <cellStyle name="Nota 6 2 5 2 2 2 3" xfId="37766"/>
    <cellStyle name="Nota 6 2 5 2 2 3" xfId="14553"/>
    <cellStyle name="Nota 6 2 5 2 2 3 2" xfId="43734"/>
    <cellStyle name="Nota 6 2 5 2 2 4" xfId="33026"/>
    <cellStyle name="Nota 6 2 5 2 3" xfId="8782"/>
    <cellStyle name="Nota 6 2 5 2 3 2" xfId="19640"/>
    <cellStyle name="Nota 6 2 5 2 3 2 2" xfId="48821"/>
    <cellStyle name="Nota 6 2 5 2 3 3" xfId="37965"/>
    <cellStyle name="Nota 6 2 5 2 4" xfId="16013"/>
    <cellStyle name="Nota 6 2 5 2 4 2" xfId="45194"/>
    <cellStyle name="Nota 6 2 5 2 5" xfId="31226"/>
    <cellStyle name="Nota 6 2 5 3" xfId="2943"/>
    <cellStyle name="Nota 6 2 5 3 2" xfId="10309"/>
    <cellStyle name="Nota 6 2 5 3 2 2" xfId="20556"/>
    <cellStyle name="Nota 6 2 5 3 2 2 2" xfId="49737"/>
    <cellStyle name="Nota 6 2 5 3 2 3" xfId="39492"/>
    <cellStyle name="Nota 6 2 5 3 3" xfId="15773"/>
    <cellStyle name="Nota 6 2 5 3 3 2" xfId="44954"/>
    <cellStyle name="Nota 6 2 5 3 4" xfId="32126"/>
    <cellStyle name="Nota 6 2 5 4" xfId="8575"/>
    <cellStyle name="Nota 6 2 5 4 2" xfId="19518"/>
    <cellStyle name="Nota 6 2 5 4 2 2" xfId="48699"/>
    <cellStyle name="Nota 6 2 5 4 3" xfId="37758"/>
    <cellStyle name="Nota 6 2 5 5" xfId="17910"/>
    <cellStyle name="Nota 6 2 5 5 2" xfId="47091"/>
    <cellStyle name="Nota 6 2 5 6" xfId="30326"/>
    <cellStyle name="Nota 6 2 6" xfId="1285"/>
    <cellStyle name="Nota 6 2 6 2" xfId="2187"/>
    <cellStyle name="Nota 6 2 6 2 2" xfId="3987"/>
    <cellStyle name="Nota 6 2 6 2 2 2" xfId="7093"/>
    <cellStyle name="Nota 6 2 6 2 2 2 2" xfId="18624"/>
    <cellStyle name="Nota 6 2 6 2 2 2 2 2" xfId="47805"/>
    <cellStyle name="Nota 6 2 6 2 2 2 3" xfId="36276"/>
    <cellStyle name="Nota 6 2 6 2 2 3" xfId="14376"/>
    <cellStyle name="Nota 6 2 6 2 2 3 2" xfId="43557"/>
    <cellStyle name="Nota 6 2 6 2 2 4" xfId="33170"/>
    <cellStyle name="Nota 6 2 6 2 3" xfId="8701"/>
    <cellStyle name="Nota 6 2 6 2 3 2" xfId="19588"/>
    <cellStyle name="Nota 6 2 6 2 3 2 2" xfId="48769"/>
    <cellStyle name="Nota 6 2 6 2 3 3" xfId="37884"/>
    <cellStyle name="Nota 6 2 6 2 4" xfId="11906"/>
    <cellStyle name="Nota 6 2 6 2 4 2" xfId="41087"/>
    <cellStyle name="Nota 6 2 6 2 5" xfId="31370"/>
    <cellStyle name="Nota 6 2 6 3" xfId="3087"/>
    <cellStyle name="Nota 6 2 6 3 2" xfId="10228"/>
    <cellStyle name="Nota 6 2 6 3 2 2" xfId="20505"/>
    <cellStyle name="Nota 6 2 6 3 2 2 2" xfId="49686"/>
    <cellStyle name="Nota 6 2 6 3 2 3" xfId="39411"/>
    <cellStyle name="Nota 6 2 6 3 3" xfId="13702"/>
    <cellStyle name="Nota 6 2 6 3 3 2" xfId="42883"/>
    <cellStyle name="Nota 6 2 6 3 4" xfId="32270"/>
    <cellStyle name="Nota 6 2 6 4" xfId="9716"/>
    <cellStyle name="Nota 6 2 6 4 2" xfId="20201"/>
    <cellStyle name="Nota 6 2 6 4 2 2" xfId="49382"/>
    <cellStyle name="Nota 6 2 6 4 3" xfId="38899"/>
    <cellStyle name="Nota 6 2 6 5" xfId="16588"/>
    <cellStyle name="Nota 6 2 6 5 2" xfId="45769"/>
    <cellStyle name="Nota 6 2 6 6" xfId="30470"/>
    <cellStyle name="Nota 6 2 7" xfId="1467"/>
    <cellStyle name="Nota 6 2 7 2" xfId="3267"/>
    <cellStyle name="Nota 6 2 7 2 2" xfId="9886"/>
    <cellStyle name="Nota 6 2 7 2 2 2" xfId="20300"/>
    <cellStyle name="Nota 6 2 7 2 2 2 2" xfId="49481"/>
    <cellStyle name="Nota 6 2 7 2 2 3" xfId="39069"/>
    <cellStyle name="Nota 6 2 7 2 3" xfId="13501"/>
    <cellStyle name="Nota 6 2 7 2 3 2" xfId="42682"/>
    <cellStyle name="Nota 6 2 7 2 4" xfId="32450"/>
    <cellStyle name="Nota 6 2 7 3" xfId="8908"/>
    <cellStyle name="Nota 6 2 7 3 2" xfId="19713"/>
    <cellStyle name="Nota 6 2 7 3 2 2" xfId="48894"/>
    <cellStyle name="Nota 6 2 7 3 3" xfId="38091"/>
    <cellStyle name="Nota 6 2 7 4" xfId="16093"/>
    <cellStyle name="Nota 6 2 7 4 2" xfId="45274"/>
    <cellStyle name="Nota 6 2 7 5" xfId="30650"/>
    <cellStyle name="Nota 6 2 8" xfId="2367"/>
    <cellStyle name="Nota 6 2 8 2" xfId="7642"/>
    <cellStyle name="Nota 6 2 8 2 2" xfId="18944"/>
    <cellStyle name="Nota 6 2 8 2 2 2" xfId="48125"/>
    <cellStyle name="Nota 6 2 8 2 3" xfId="36825"/>
    <cellStyle name="Nota 6 2 8 3" xfId="11938"/>
    <cellStyle name="Nota 6 2 8 3 2" xfId="41119"/>
    <cellStyle name="Nota 6 2 8 4" xfId="31550"/>
    <cellStyle name="Nota 6 2 9" xfId="8919"/>
    <cellStyle name="Nota 6 2 9 2" xfId="19721"/>
    <cellStyle name="Nota 6 2 9 2 2" xfId="48902"/>
    <cellStyle name="Nota 6 2 9 3" xfId="38102"/>
    <cellStyle name="Nota 6 3" xfId="489"/>
    <cellStyle name="Nota 6 3 10" xfId="29695"/>
    <cellStyle name="Nota 6 3 2" xfId="842"/>
    <cellStyle name="Nota 6 3 2 2" xfId="1780"/>
    <cellStyle name="Nota 6 3 2 2 2" xfId="3580"/>
    <cellStyle name="Nota 6 3 2 2 2 2" xfId="8649"/>
    <cellStyle name="Nota 6 3 2 2 2 2 2" xfId="19560"/>
    <cellStyle name="Nota 6 3 2 2 2 2 2 2" xfId="48741"/>
    <cellStyle name="Nota 6 3 2 2 2 2 3" xfId="37832"/>
    <cellStyle name="Nota 6 3 2 2 2 3" xfId="12352"/>
    <cellStyle name="Nota 6 3 2 2 2 3 2" xfId="41533"/>
    <cellStyle name="Nota 6 3 2 2 2 4" xfId="32763"/>
    <cellStyle name="Nota 6 3 2 2 3" xfId="8169"/>
    <cellStyle name="Nota 6 3 2 2 3 2" xfId="19266"/>
    <cellStyle name="Nota 6 3 2 2 3 2 2" xfId="48447"/>
    <cellStyle name="Nota 6 3 2 2 3 3" xfId="37352"/>
    <cellStyle name="Nota 6 3 2 2 4" xfId="11870"/>
    <cellStyle name="Nota 6 3 2 2 4 2" xfId="41051"/>
    <cellStyle name="Nota 6 3 2 2 5" xfId="30963"/>
    <cellStyle name="Nota 6 3 2 3" xfId="2680"/>
    <cellStyle name="Nota 6 3 2 3 2" xfId="8934"/>
    <cellStyle name="Nota 6 3 2 3 2 2" xfId="19730"/>
    <cellStyle name="Nota 6 3 2 3 2 2 2" xfId="48911"/>
    <cellStyle name="Nota 6 3 2 3 2 3" xfId="38117"/>
    <cellStyle name="Nota 6 3 2 3 3" xfId="13570"/>
    <cellStyle name="Nota 6 3 2 3 3 2" xfId="42751"/>
    <cellStyle name="Nota 6 3 2 3 4" xfId="31863"/>
    <cellStyle name="Nota 6 3 2 4" xfId="9912"/>
    <cellStyle name="Nota 6 3 2 4 2" xfId="20319"/>
    <cellStyle name="Nota 6 3 2 4 2 2" xfId="49500"/>
    <cellStyle name="Nota 6 3 2 4 3" xfId="39095"/>
    <cellStyle name="Nota 6 3 2 5" xfId="11971"/>
    <cellStyle name="Nota 6 3 2 5 2" xfId="41152"/>
    <cellStyle name="Nota 6 3 2 6" xfId="30039"/>
    <cellStyle name="Nota 6 3 3" xfId="1034"/>
    <cellStyle name="Nota 6 3 3 2" xfId="1944"/>
    <cellStyle name="Nota 6 3 3 2 2" xfId="3744"/>
    <cellStyle name="Nota 6 3 3 2 2 2" xfId="8508"/>
    <cellStyle name="Nota 6 3 3 2 2 2 2" xfId="19478"/>
    <cellStyle name="Nota 6 3 3 2 2 2 2 2" xfId="48659"/>
    <cellStyle name="Nota 6 3 3 2 2 2 3" xfId="37691"/>
    <cellStyle name="Nota 6 3 3 2 2 3" xfId="10637"/>
    <cellStyle name="Nota 6 3 3 2 2 3 2" xfId="39818"/>
    <cellStyle name="Nota 6 3 3 2 2 4" xfId="32927"/>
    <cellStyle name="Nota 6 3 3 2 3" xfId="8047"/>
    <cellStyle name="Nota 6 3 3 2 3 2" xfId="19191"/>
    <cellStyle name="Nota 6 3 3 2 3 2 2" xfId="48372"/>
    <cellStyle name="Nota 6 3 3 2 3 3" xfId="37230"/>
    <cellStyle name="Nota 6 3 3 2 4" xfId="14326"/>
    <cellStyle name="Nota 6 3 3 2 4 2" xfId="43507"/>
    <cellStyle name="Nota 6 3 3 2 5" xfId="31127"/>
    <cellStyle name="Nota 6 3 3 3" xfId="2844"/>
    <cellStyle name="Nota 6 3 3 3 2" xfId="8812"/>
    <cellStyle name="Nota 6 3 3 3 2 2" xfId="19656"/>
    <cellStyle name="Nota 6 3 3 3 2 2 2" xfId="48837"/>
    <cellStyle name="Nota 6 3 3 3 2 3" xfId="37995"/>
    <cellStyle name="Nota 6 3 3 3 3" xfId="13212"/>
    <cellStyle name="Nota 6 3 3 3 3 2" xfId="42393"/>
    <cellStyle name="Nota 6 3 3 3 4" xfId="32027"/>
    <cellStyle name="Nota 6 3 3 4" xfId="9150"/>
    <cellStyle name="Nota 6 3 3 4 2" xfId="19859"/>
    <cellStyle name="Nota 6 3 3 4 2 2" xfId="49040"/>
    <cellStyle name="Nota 6 3 3 4 3" xfId="38333"/>
    <cellStyle name="Nota 6 3 3 5" xfId="11775"/>
    <cellStyle name="Nota 6 3 3 5 2" xfId="40956"/>
    <cellStyle name="Nota 6 3 3 6" xfId="30224"/>
    <cellStyle name="Nota 6 3 4" xfId="1184"/>
    <cellStyle name="Nota 6 3 4 2" xfId="2088"/>
    <cellStyle name="Nota 6 3 4 2 2" xfId="3888"/>
    <cellStyle name="Nota 6 3 4 2 2 2" xfId="9802"/>
    <cellStyle name="Nota 6 3 4 2 2 2 2" xfId="20249"/>
    <cellStyle name="Nota 6 3 4 2 2 2 2 2" xfId="49430"/>
    <cellStyle name="Nota 6 3 4 2 2 2 3" xfId="38985"/>
    <cellStyle name="Nota 6 3 4 2 2 3" xfId="13596"/>
    <cellStyle name="Nota 6 3 4 2 2 3 2" xfId="42777"/>
    <cellStyle name="Nota 6 3 4 2 2 4" xfId="33071"/>
    <cellStyle name="Nota 6 3 4 2 3" xfId="8393"/>
    <cellStyle name="Nota 6 3 4 2 3 2" xfId="19403"/>
    <cellStyle name="Nota 6 3 4 2 3 2 2" xfId="48584"/>
    <cellStyle name="Nota 6 3 4 2 3 3" xfId="37576"/>
    <cellStyle name="Nota 6 3 4 2 4" xfId="16590"/>
    <cellStyle name="Nota 6 3 4 2 4 2" xfId="45771"/>
    <cellStyle name="Nota 6 3 4 2 5" xfId="31271"/>
    <cellStyle name="Nota 6 3 4 3" xfId="2988"/>
    <cellStyle name="Nota 6 3 4 3 2" xfId="9947"/>
    <cellStyle name="Nota 6 3 4 3 2 2" xfId="20337"/>
    <cellStyle name="Nota 6 3 4 3 2 2 2" xfId="49518"/>
    <cellStyle name="Nota 6 3 4 3 2 3" xfId="39130"/>
    <cellStyle name="Nota 6 3 4 3 3" xfId="11086"/>
    <cellStyle name="Nota 6 3 4 3 3 2" xfId="40267"/>
    <cellStyle name="Nota 6 3 4 3 4" xfId="32171"/>
    <cellStyle name="Nota 6 3 4 4" xfId="9795"/>
    <cellStyle name="Nota 6 3 4 4 2" xfId="20243"/>
    <cellStyle name="Nota 6 3 4 4 2 2" xfId="49424"/>
    <cellStyle name="Nota 6 3 4 4 3" xfId="38978"/>
    <cellStyle name="Nota 6 3 4 5" xfId="16034"/>
    <cellStyle name="Nota 6 3 4 5 2" xfId="45215"/>
    <cellStyle name="Nota 6 3 4 6" xfId="30371"/>
    <cellStyle name="Nota 6 3 5" xfId="1330"/>
    <cellStyle name="Nota 6 3 5 2" xfId="2232"/>
    <cellStyle name="Nota 6 3 5 2 2" xfId="4032"/>
    <cellStyle name="Nota 6 3 5 2 2 2" xfId="7048"/>
    <cellStyle name="Nota 6 3 5 2 2 2 2" xfId="18597"/>
    <cellStyle name="Nota 6 3 5 2 2 2 2 2" xfId="47778"/>
    <cellStyle name="Nota 6 3 5 2 2 2 3" xfId="36231"/>
    <cellStyle name="Nota 6 3 5 2 2 3" xfId="13502"/>
    <cellStyle name="Nota 6 3 5 2 2 3 2" xfId="42683"/>
    <cellStyle name="Nota 6 3 5 2 2 4" xfId="33215"/>
    <cellStyle name="Nota 6 3 5 2 3" xfId="7464"/>
    <cellStyle name="Nota 6 3 5 2 3 2" xfId="18833"/>
    <cellStyle name="Nota 6 3 5 2 3 2 2" xfId="48014"/>
    <cellStyle name="Nota 6 3 5 2 3 3" xfId="36647"/>
    <cellStyle name="Nota 6 3 5 2 4" xfId="15592"/>
    <cellStyle name="Nota 6 3 5 2 4 2" xfId="44773"/>
    <cellStyle name="Nota 6 3 5 2 5" xfId="31415"/>
    <cellStyle name="Nota 6 3 5 3" xfId="3132"/>
    <cellStyle name="Nota 6 3 5 3 2" xfId="7782"/>
    <cellStyle name="Nota 6 3 5 3 2 2" xfId="19032"/>
    <cellStyle name="Nota 6 3 5 3 2 2 2" xfId="48213"/>
    <cellStyle name="Nota 6 3 5 3 2 3" xfId="36965"/>
    <cellStyle name="Nota 6 3 5 3 3" xfId="11378"/>
    <cellStyle name="Nota 6 3 5 3 3 2" xfId="40559"/>
    <cellStyle name="Nota 6 3 5 3 4" xfId="32315"/>
    <cellStyle name="Nota 6 3 5 4" xfId="8868"/>
    <cellStyle name="Nota 6 3 5 4 2" xfId="19688"/>
    <cellStyle name="Nota 6 3 5 4 2 2" xfId="48869"/>
    <cellStyle name="Nota 6 3 5 4 3" xfId="38051"/>
    <cellStyle name="Nota 6 3 5 5" xfId="17482"/>
    <cellStyle name="Nota 6 3 5 5 2" xfId="46663"/>
    <cellStyle name="Nota 6 3 5 6" xfId="30515"/>
    <cellStyle name="Nota 6 3 6" xfId="1512"/>
    <cellStyle name="Nota 6 3 6 2" xfId="3312"/>
    <cellStyle name="Nota 6 3 6 2 2" xfId="8927"/>
    <cellStyle name="Nota 6 3 6 2 2 2" xfId="19726"/>
    <cellStyle name="Nota 6 3 6 2 2 2 2" xfId="48907"/>
    <cellStyle name="Nota 6 3 6 2 2 3" xfId="38110"/>
    <cellStyle name="Nota 6 3 6 2 3" xfId="11405"/>
    <cellStyle name="Nota 6 3 6 2 3 2" xfId="40586"/>
    <cellStyle name="Nota 6 3 6 2 4" xfId="32495"/>
    <cellStyle name="Nota 6 3 6 3" xfId="7316"/>
    <cellStyle name="Nota 6 3 6 3 2" xfId="18748"/>
    <cellStyle name="Nota 6 3 6 3 2 2" xfId="47929"/>
    <cellStyle name="Nota 6 3 6 3 3" xfId="36499"/>
    <cellStyle name="Nota 6 3 6 4" xfId="11126"/>
    <cellStyle name="Nota 6 3 6 4 2" xfId="40307"/>
    <cellStyle name="Nota 6 3 6 5" xfId="30695"/>
    <cellStyle name="Nota 6 3 7" xfId="2412"/>
    <cellStyle name="Nota 6 3 7 2" xfId="7246"/>
    <cellStyle name="Nota 6 3 7 2 2" xfId="18706"/>
    <cellStyle name="Nota 6 3 7 2 2 2" xfId="47887"/>
    <cellStyle name="Nota 6 3 7 2 3" xfId="36429"/>
    <cellStyle name="Nota 6 3 7 3" xfId="15540"/>
    <cellStyle name="Nota 6 3 7 3 2" xfId="44721"/>
    <cellStyle name="Nota 6 3 7 4" xfId="31595"/>
    <cellStyle name="Nota 6 3 8" xfId="8761"/>
    <cellStyle name="Nota 6 3 8 2" xfId="19626"/>
    <cellStyle name="Nota 6 3 8 2 2" xfId="48807"/>
    <cellStyle name="Nota 6 3 8 3" xfId="37944"/>
    <cellStyle name="Nota 6 3 9" xfId="12446"/>
    <cellStyle name="Nota 6 3 9 2" xfId="41627"/>
    <cellStyle name="Nota 6 4" xfId="705"/>
    <cellStyle name="Nota 6 4 2" xfId="1672"/>
    <cellStyle name="Nota 6 4 2 2" xfId="3472"/>
    <cellStyle name="Nota 6 4 2 2 2" xfId="8925"/>
    <cellStyle name="Nota 6 4 2 2 2 2" xfId="19724"/>
    <cellStyle name="Nota 6 4 2 2 2 2 2" xfId="48905"/>
    <cellStyle name="Nota 6 4 2 2 2 3" xfId="38108"/>
    <cellStyle name="Nota 6 4 2 2 3" xfId="16315"/>
    <cellStyle name="Nota 6 4 2 2 3 2" xfId="45496"/>
    <cellStyle name="Nota 6 4 2 2 4" xfId="32655"/>
    <cellStyle name="Nota 6 4 2 3" xfId="7471"/>
    <cellStyle name="Nota 6 4 2 3 2" xfId="18836"/>
    <cellStyle name="Nota 6 4 2 3 2 2" xfId="48017"/>
    <cellStyle name="Nota 6 4 2 3 3" xfId="36654"/>
    <cellStyle name="Nota 6 4 2 4" xfId="15279"/>
    <cellStyle name="Nota 6 4 2 4 2" xfId="44460"/>
    <cellStyle name="Nota 6 4 2 5" xfId="30855"/>
    <cellStyle name="Nota 6 4 3" xfId="2572"/>
    <cellStyle name="Nota 6 4 3 2" xfId="7789"/>
    <cellStyle name="Nota 6 4 3 2 2" xfId="19035"/>
    <cellStyle name="Nota 6 4 3 2 2 2" xfId="48216"/>
    <cellStyle name="Nota 6 4 3 2 3" xfId="36972"/>
    <cellStyle name="Nota 6 4 3 3" xfId="10923"/>
    <cellStyle name="Nota 6 4 3 3 2" xfId="40104"/>
    <cellStyle name="Nota 6 4 3 4" xfId="31755"/>
    <cellStyle name="Nota 6 4 4" xfId="9642"/>
    <cellStyle name="Nota 6 4 4 2" xfId="20153"/>
    <cellStyle name="Nota 6 4 4 2 2" xfId="49334"/>
    <cellStyle name="Nota 6 4 4 3" xfId="38825"/>
    <cellStyle name="Nota 6 4 5" xfId="12105"/>
    <cellStyle name="Nota 6 4 5 2" xfId="41286"/>
    <cellStyle name="Nota 6 4 6" xfId="29906"/>
    <cellStyle name="Nota 6 5" xfId="573"/>
    <cellStyle name="Nota 6 5 2" xfId="1589"/>
    <cellStyle name="Nota 6 5 2 2" xfId="3389"/>
    <cellStyle name="Nota 6 5 2 2 2" xfId="8308"/>
    <cellStyle name="Nota 6 5 2 2 2 2" xfId="19350"/>
    <cellStyle name="Nota 6 5 2 2 2 2 2" xfId="48531"/>
    <cellStyle name="Nota 6 5 2 2 2 3" xfId="37491"/>
    <cellStyle name="Nota 6 5 2 2 3" xfId="17901"/>
    <cellStyle name="Nota 6 5 2 2 3 2" xfId="47082"/>
    <cellStyle name="Nota 6 5 2 2 4" xfId="32572"/>
    <cellStyle name="Nota 6 5 2 3" xfId="10143"/>
    <cellStyle name="Nota 6 5 2 3 2" xfId="20458"/>
    <cellStyle name="Nota 6 5 2 3 2 2" xfId="49639"/>
    <cellStyle name="Nota 6 5 2 3 3" xfId="39326"/>
    <cellStyle name="Nota 6 5 2 4" xfId="15215"/>
    <cellStyle name="Nota 6 5 2 4 2" xfId="44396"/>
    <cellStyle name="Nota 6 5 2 5" xfId="30772"/>
    <cellStyle name="Nota 6 5 3" xfId="2489"/>
    <cellStyle name="Nota 6 5 3 2" xfId="9369"/>
    <cellStyle name="Nota 6 5 3 2 2" xfId="19991"/>
    <cellStyle name="Nota 6 5 3 2 2 2" xfId="49172"/>
    <cellStyle name="Nota 6 5 3 2 3" xfId="38552"/>
    <cellStyle name="Nota 6 5 3 3" xfId="16464"/>
    <cellStyle name="Nota 6 5 3 3 2" xfId="45645"/>
    <cellStyle name="Nota 6 5 3 4" xfId="31672"/>
    <cellStyle name="Nota 6 5 4" xfId="8643"/>
    <cellStyle name="Nota 6 5 4 2" xfId="19557"/>
    <cellStyle name="Nota 6 5 4 2 2" xfId="48738"/>
    <cellStyle name="Nota 6 5 4 3" xfId="37826"/>
    <cellStyle name="Nota 6 5 5" xfId="11592"/>
    <cellStyle name="Nota 6 5 5 2" xfId="40773"/>
    <cellStyle name="Nota 6 5 6" xfId="29778"/>
    <cellStyle name="Nota 6 6" xfId="748"/>
    <cellStyle name="Nota 6 6 2" xfId="1690"/>
    <cellStyle name="Nota 6 6 2 2" xfId="3490"/>
    <cellStyle name="Nota 6 6 2 2 2" xfId="9654"/>
    <cellStyle name="Nota 6 6 2 2 2 2" xfId="20161"/>
    <cellStyle name="Nota 6 6 2 2 2 2 2" xfId="49342"/>
    <cellStyle name="Nota 6 6 2 2 2 3" xfId="38837"/>
    <cellStyle name="Nota 6 6 2 2 3" xfId="12870"/>
    <cellStyle name="Nota 6 6 2 2 3 2" xfId="42051"/>
    <cellStyle name="Nota 6 6 2 2 4" xfId="32673"/>
    <cellStyle name="Nota 6 6 2 3" xfId="9243"/>
    <cellStyle name="Nota 6 6 2 3 2" xfId="19918"/>
    <cellStyle name="Nota 6 6 2 3 2 2" xfId="49099"/>
    <cellStyle name="Nota 6 6 2 3 3" xfId="38426"/>
    <cellStyle name="Nota 6 6 2 4" xfId="14983"/>
    <cellStyle name="Nota 6 6 2 4 2" xfId="44164"/>
    <cellStyle name="Nota 6 6 2 5" xfId="30873"/>
    <cellStyle name="Nota 6 6 3" xfId="2590"/>
    <cellStyle name="Nota 6 6 3 2" xfId="7543"/>
    <cellStyle name="Nota 6 6 3 2 2" xfId="18879"/>
    <cellStyle name="Nota 6 6 3 2 2 2" xfId="48060"/>
    <cellStyle name="Nota 6 6 3 2 3" xfId="36726"/>
    <cellStyle name="Nota 6 6 3 3" xfId="14444"/>
    <cellStyle name="Nota 6 6 3 3 2" xfId="43625"/>
    <cellStyle name="Nota 6 6 3 4" xfId="31773"/>
    <cellStyle name="Nota 6 6 4" xfId="7357"/>
    <cellStyle name="Nota 6 6 4 2" xfId="18769"/>
    <cellStyle name="Nota 6 6 4 2 2" xfId="47950"/>
    <cellStyle name="Nota 6 6 4 3" xfId="36540"/>
    <cellStyle name="Nota 6 6 5" xfId="11533"/>
    <cellStyle name="Nota 6 6 5 2" xfId="40714"/>
    <cellStyle name="Nota 6 6 6" xfId="29946"/>
    <cellStyle name="Nota 6 7" xfId="940"/>
    <cellStyle name="Nota 6 7 2" xfId="1854"/>
    <cellStyle name="Nota 6 7 2 2" xfId="3654"/>
    <cellStyle name="Nota 6 7 2 2 2" xfId="9533"/>
    <cellStyle name="Nota 6 7 2 2 2 2" xfId="20086"/>
    <cellStyle name="Nota 6 7 2 2 2 2 2" xfId="49267"/>
    <cellStyle name="Nota 6 7 2 2 2 3" xfId="38716"/>
    <cellStyle name="Nota 6 7 2 2 3" xfId="17795"/>
    <cellStyle name="Nota 6 7 2 2 3 2" xfId="46976"/>
    <cellStyle name="Nota 6 7 2 2 4" xfId="32837"/>
    <cellStyle name="Nota 6 7 2 3" xfId="9096"/>
    <cellStyle name="Nota 6 7 2 3 2" xfId="19825"/>
    <cellStyle name="Nota 6 7 2 3 2 2" xfId="49006"/>
    <cellStyle name="Nota 6 7 2 3 3" xfId="38279"/>
    <cellStyle name="Nota 6 7 2 4" xfId="11633"/>
    <cellStyle name="Nota 6 7 2 4 2" xfId="40814"/>
    <cellStyle name="Nota 6 7 2 5" xfId="31037"/>
    <cellStyle name="Nota 6 7 3" xfId="2754"/>
    <cellStyle name="Nota 6 7 3 2" xfId="7590"/>
    <cellStyle name="Nota 6 7 3 2 2" xfId="18913"/>
    <cellStyle name="Nota 6 7 3 2 2 2" xfId="48094"/>
    <cellStyle name="Nota 6 7 3 2 3" xfId="36773"/>
    <cellStyle name="Nota 6 7 3 3" xfId="10662"/>
    <cellStyle name="Nota 6 7 3 3 2" xfId="39843"/>
    <cellStyle name="Nota 6 7 3 4" xfId="31937"/>
    <cellStyle name="Nota 6 7 4" xfId="7480"/>
    <cellStyle name="Nota 6 7 4 2" xfId="18842"/>
    <cellStyle name="Nota 6 7 4 2 2" xfId="48023"/>
    <cellStyle name="Nota 6 7 4 3" xfId="36663"/>
    <cellStyle name="Nota 6 7 5" xfId="10788"/>
    <cellStyle name="Nota 6 7 5 2" xfId="39969"/>
    <cellStyle name="Nota 6 7 6" xfId="30131"/>
    <cellStyle name="Nota 6 8" xfId="1422"/>
    <cellStyle name="Nota 6 8 2" xfId="3222"/>
    <cellStyle name="Nota 6 8 2 2" xfId="7559"/>
    <cellStyle name="Nota 6 8 2 2 2" xfId="18892"/>
    <cellStyle name="Nota 6 8 2 2 2 2" xfId="48073"/>
    <cellStyle name="Nota 6 8 2 2 3" xfId="36742"/>
    <cellStyle name="Nota 6 8 2 3" xfId="14184"/>
    <cellStyle name="Nota 6 8 2 3 2" xfId="43365"/>
    <cellStyle name="Nota 6 8 2 4" xfId="32405"/>
    <cellStyle name="Nota 6 8 3" xfId="7320"/>
    <cellStyle name="Nota 6 8 3 2" xfId="18752"/>
    <cellStyle name="Nota 6 8 3 2 2" xfId="47933"/>
    <cellStyle name="Nota 6 8 3 3" xfId="36503"/>
    <cellStyle name="Nota 6 8 4" xfId="17255"/>
    <cellStyle name="Nota 6 8 4 2" xfId="46436"/>
    <cellStyle name="Nota 6 8 5" xfId="30605"/>
    <cellStyle name="Nota 6 9" xfId="2322"/>
    <cellStyle name="Nota 6 9 2" xfId="7279"/>
    <cellStyle name="Nota 6 9 2 2" xfId="18731"/>
    <cellStyle name="Nota 6 9 2 2 2" xfId="47912"/>
    <cellStyle name="Nota 6 9 2 3" xfId="36462"/>
    <cellStyle name="Nota 6 9 3" xfId="17563"/>
    <cellStyle name="Nota 6 9 3 2" xfId="46744"/>
    <cellStyle name="Nota 6 9 4" xfId="31505"/>
    <cellStyle name="Nota 7" xfId="332"/>
    <cellStyle name="Nota 7 10" xfId="16632"/>
    <cellStyle name="Nota 7 10 2" xfId="45813"/>
    <cellStyle name="Nota 7 11" xfId="58743"/>
    <cellStyle name="Nota 7 12" xfId="29605"/>
    <cellStyle name="Nota 7 2" xfId="445"/>
    <cellStyle name="Nota 7 2 10" xfId="11945"/>
    <cellStyle name="Nota 7 2 10 2" xfId="41126"/>
    <cellStyle name="Nota 7 2 11" xfId="58788"/>
    <cellStyle name="Nota 7 2 12" xfId="29651"/>
    <cellStyle name="Nota 7 2 2" xfId="535"/>
    <cellStyle name="Nota 7 2 2 10" xfId="29741"/>
    <cellStyle name="Nota 7 2 2 2" xfId="888"/>
    <cellStyle name="Nota 7 2 2 2 2" xfId="1826"/>
    <cellStyle name="Nota 7 2 2 2 2 2" xfId="3626"/>
    <cellStyle name="Nota 7 2 2 2 2 2 2" xfId="7569"/>
    <cellStyle name="Nota 7 2 2 2 2 2 2 2" xfId="18899"/>
    <cellStyle name="Nota 7 2 2 2 2 2 2 2 2" xfId="48080"/>
    <cellStyle name="Nota 7 2 2 2 2 2 2 3" xfId="36752"/>
    <cellStyle name="Nota 7 2 2 2 2 2 3" xfId="14794"/>
    <cellStyle name="Nota 7 2 2 2 2 2 3 2" xfId="43975"/>
    <cellStyle name="Nota 7 2 2 2 2 2 4" xfId="32809"/>
    <cellStyle name="Nota 7 2 2 2 2 3" xfId="8745"/>
    <cellStyle name="Nota 7 2 2 2 2 3 2" xfId="19616"/>
    <cellStyle name="Nota 7 2 2 2 2 3 2 2" xfId="48797"/>
    <cellStyle name="Nota 7 2 2 2 2 3 3" xfId="37928"/>
    <cellStyle name="Nota 7 2 2 2 2 4" xfId="14090"/>
    <cellStyle name="Nota 7 2 2 2 2 4 2" xfId="43271"/>
    <cellStyle name="Nota 7 2 2 2 2 5" xfId="31009"/>
    <cellStyle name="Nota 7 2 2 2 3" xfId="2726"/>
    <cellStyle name="Nota 7 2 2 2 3 2" xfId="10272"/>
    <cellStyle name="Nota 7 2 2 2 3 2 2" xfId="20532"/>
    <cellStyle name="Nota 7 2 2 2 3 2 2 2" xfId="49713"/>
    <cellStyle name="Nota 7 2 2 2 3 2 3" xfId="39455"/>
    <cellStyle name="Nota 7 2 2 2 3 3" xfId="17446"/>
    <cellStyle name="Nota 7 2 2 2 3 3 2" xfId="46627"/>
    <cellStyle name="Nota 7 2 2 2 3 4" xfId="31909"/>
    <cellStyle name="Nota 7 2 2 2 4" xfId="8180"/>
    <cellStyle name="Nota 7 2 2 2 4 2" xfId="19275"/>
    <cellStyle name="Nota 7 2 2 2 4 2 2" xfId="48456"/>
    <cellStyle name="Nota 7 2 2 2 4 3" xfId="37363"/>
    <cellStyle name="Nota 7 2 2 2 5" xfId="16182"/>
    <cellStyle name="Nota 7 2 2 2 5 2" xfId="45363"/>
    <cellStyle name="Nota 7 2 2 2 6" xfId="30085"/>
    <cellStyle name="Nota 7 2 2 3" xfId="1080"/>
    <cellStyle name="Nota 7 2 2 3 2" xfId="1990"/>
    <cellStyle name="Nota 7 2 2 3 2 2" xfId="3790"/>
    <cellStyle name="Nota 7 2 2 3 2 2 2" xfId="9688"/>
    <cellStyle name="Nota 7 2 2 3 2 2 2 2" xfId="20184"/>
    <cellStyle name="Nota 7 2 2 3 2 2 2 2 2" xfId="49365"/>
    <cellStyle name="Nota 7 2 2 3 2 2 2 3" xfId="38871"/>
    <cellStyle name="Nota 7 2 2 3 2 2 3" xfId="12737"/>
    <cellStyle name="Nota 7 2 2 3 2 2 3 2" xfId="41918"/>
    <cellStyle name="Nota 7 2 2 3 2 2 4" xfId="32973"/>
    <cellStyle name="Nota 7 2 2 3 2 3" xfId="8603"/>
    <cellStyle name="Nota 7 2 2 3 2 3 2" xfId="19537"/>
    <cellStyle name="Nota 7 2 2 3 2 3 2 2" xfId="48718"/>
    <cellStyle name="Nota 7 2 2 3 2 3 3" xfId="37786"/>
    <cellStyle name="Nota 7 2 2 3 2 4" xfId="15837"/>
    <cellStyle name="Nota 7 2 2 3 2 4 2" xfId="45018"/>
    <cellStyle name="Nota 7 2 2 3 2 5" xfId="31173"/>
    <cellStyle name="Nota 7 2 2 3 3" xfId="2890"/>
    <cellStyle name="Nota 7 2 2 3 3 2" xfId="10129"/>
    <cellStyle name="Nota 7 2 2 3 3 2 2" xfId="20451"/>
    <cellStyle name="Nota 7 2 2 3 3 2 2 2" xfId="49632"/>
    <cellStyle name="Nota 7 2 2 3 3 2 3" xfId="39312"/>
    <cellStyle name="Nota 7 2 2 3 3 3" xfId="15539"/>
    <cellStyle name="Nota 7 2 2 3 3 3 2" xfId="44720"/>
    <cellStyle name="Nota 7 2 2 3 3 4" xfId="32073"/>
    <cellStyle name="Nota 7 2 2 3 4" xfId="7729"/>
    <cellStyle name="Nota 7 2 2 3 4 2" xfId="18998"/>
    <cellStyle name="Nota 7 2 2 3 4 2 2" xfId="48179"/>
    <cellStyle name="Nota 7 2 2 3 4 3" xfId="36912"/>
    <cellStyle name="Nota 7 2 2 3 5" xfId="13217"/>
    <cellStyle name="Nota 7 2 2 3 5 2" xfId="42398"/>
    <cellStyle name="Nota 7 2 2 3 6" xfId="30270"/>
    <cellStyle name="Nota 7 2 2 4" xfId="1230"/>
    <cellStyle name="Nota 7 2 2 4 2" xfId="2134"/>
    <cellStyle name="Nota 7 2 2 4 2 2" xfId="3934"/>
    <cellStyle name="Nota 7 2 2 4 2 2 2" xfId="7146"/>
    <cellStyle name="Nota 7 2 2 4 2 2 2 2" xfId="18650"/>
    <cellStyle name="Nota 7 2 2 4 2 2 2 2 2" xfId="47831"/>
    <cellStyle name="Nota 7 2 2 4 2 2 2 3" xfId="36329"/>
    <cellStyle name="Nota 7 2 2 4 2 2 3" xfId="17938"/>
    <cellStyle name="Nota 7 2 2 4 2 2 3 2" xfId="47119"/>
    <cellStyle name="Nota 7 2 2 4 2 2 4" xfId="33117"/>
    <cellStyle name="Nota 7 2 2 4 2 3" xfId="9897"/>
    <cellStyle name="Nota 7 2 2 4 2 3 2" xfId="20309"/>
    <cellStyle name="Nota 7 2 2 4 2 3 2 2" xfId="49490"/>
    <cellStyle name="Nota 7 2 2 4 2 3 3" xfId="39080"/>
    <cellStyle name="Nota 7 2 2 4 2 4" xfId="12476"/>
    <cellStyle name="Nota 7 2 2 4 2 4 2" xfId="41657"/>
    <cellStyle name="Nota 7 2 2 4 2 5" xfId="31317"/>
    <cellStyle name="Nota 7 2 2 4 3" xfId="3034"/>
    <cellStyle name="Nota 7 2 2 4 3 2" xfId="9122"/>
    <cellStyle name="Nota 7 2 2 4 3 2 2" xfId="19840"/>
    <cellStyle name="Nota 7 2 2 4 3 2 2 2" xfId="49021"/>
    <cellStyle name="Nota 7 2 2 4 3 2 3" xfId="38305"/>
    <cellStyle name="Nota 7 2 2 4 3 3" xfId="17512"/>
    <cellStyle name="Nota 7 2 2 4 3 3 2" xfId="46693"/>
    <cellStyle name="Nota 7 2 2 4 3 4" xfId="32217"/>
    <cellStyle name="Nota 7 2 2 4 4" xfId="10328"/>
    <cellStyle name="Nota 7 2 2 4 4 2" xfId="20569"/>
    <cellStyle name="Nota 7 2 2 4 4 2 2" xfId="49750"/>
    <cellStyle name="Nota 7 2 2 4 4 3" xfId="39511"/>
    <cellStyle name="Nota 7 2 2 4 5" xfId="15664"/>
    <cellStyle name="Nota 7 2 2 4 5 2" xfId="44845"/>
    <cellStyle name="Nota 7 2 2 4 6" xfId="30417"/>
    <cellStyle name="Nota 7 2 2 5" xfId="1376"/>
    <cellStyle name="Nota 7 2 2 5 2" xfId="2278"/>
    <cellStyle name="Nota 7 2 2 5 2 2" xfId="4078"/>
    <cellStyle name="Nota 7 2 2 5 2 2 2" xfId="7002"/>
    <cellStyle name="Nota 7 2 2 5 2 2 2 2" xfId="18569"/>
    <cellStyle name="Nota 7 2 2 5 2 2 2 2 2" xfId="47750"/>
    <cellStyle name="Nota 7 2 2 5 2 2 2 3" xfId="36185"/>
    <cellStyle name="Nota 7 2 2 5 2 2 3" xfId="10911"/>
    <cellStyle name="Nota 7 2 2 5 2 2 3 2" xfId="40092"/>
    <cellStyle name="Nota 7 2 2 5 2 2 4" xfId="33261"/>
    <cellStyle name="Nota 7 2 2 5 2 3" xfId="7516"/>
    <cellStyle name="Nota 7 2 2 5 2 3 2" xfId="18864"/>
    <cellStyle name="Nota 7 2 2 5 2 3 2 2" xfId="48045"/>
    <cellStyle name="Nota 7 2 2 5 2 3 3" xfId="36699"/>
    <cellStyle name="Nota 7 2 2 5 2 4" xfId="14500"/>
    <cellStyle name="Nota 7 2 2 5 2 4 2" xfId="43681"/>
    <cellStyle name="Nota 7 2 2 5 2 5" xfId="31461"/>
    <cellStyle name="Nota 7 2 2 5 3" xfId="3178"/>
    <cellStyle name="Nota 7 2 2 5 3 2" xfId="7191"/>
    <cellStyle name="Nota 7 2 2 5 3 2 2" xfId="18674"/>
    <cellStyle name="Nota 7 2 2 5 3 2 2 2" xfId="47855"/>
    <cellStyle name="Nota 7 2 2 5 3 2 3" xfId="36374"/>
    <cellStyle name="Nota 7 2 2 5 3 3" xfId="12829"/>
    <cellStyle name="Nota 7 2 2 5 3 3 2" xfId="42010"/>
    <cellStyle name="Nota 7 2 2 5 3 4" xfId="32361"/>
    <cellStyle name="Nota 7 2 2 5 4" xfId="7929"/>
    <cellStyle name="Nota 7 2 2 5 4 2" xfId="19117"/>
    <cellStyle name="Nota 7 2 2 5 4 2 2" xfId="48298"/>
    <cellStyle name="Nota 7 2 2 5 4 3" xfId="37112"/>
    <cellStyle name="Nota 7 2 2 5 5" xfId="11642"/>
    <cellStyle name="Nota 7 2 2 5 5 2" xfId="40823"/>
    <cellStyle name="Nota 7 2 2 5 6" xfId="30561"/>
    <cellStyle name="Nota 7 2 2 6" xfId="1558"/>
    <cellStyle name="Nota 7 2 2 6 2" xfId="3358"/>
    <cellStyle name="Nota 7 2 2 6 2 2" xfId="10265"/>
    <cellStyle name="Nota 7 2 2 6 2 2 2" xfId="20528"/>
    <cellStyle name="Nota 7 2 2 6 2 2 2 2" xfId="49709"/>
    <cellStyle name="Nota 7 2 2 6 2 2 3" xfId="39448"/>
    <cellStyle name="Nota 7 2 2 6 2 3" xfId="12767"/>
    <cellStyle name="Nota 7 2 2 6 2 3 2" xfId="41948"/>
    <cellStyle name="Nota 7 2 2 6 2 4" xfId="32541"/>
    <cellStyle name="Nota 7 2 2 6 3" xfId="10443"/>
    <cellStyle name="Nota 7 2 2 6 3 2" xfId="20642"/>
    <cellStyle name="Nota 7 2 2 6 3 2 2" xfId="49823"/>
    <cellStyle name="Nota 7 2 2 6 3 3" xfId="39626"/>
    <cellStyle name="Nota 7 2 2 6 4" xfId="10667"/>
    <cellStyle name="Nota 7 2 2 6 4 2" xfId="39848"/>
    <cellStyle name="Nota 7 2 2 6 5" xfId="30741"/>
    <cellStyle name="Nota 7 2 2 7" xfId="2458"/>
    <cellStyle name="Nota 7 2 2 7 2" xfId="9666"/>
    <cellStyle name="Nota 7 2 2 7 2 2" xfId="20169"/>
    <cellStyle name="Nota 7 2 2 7 2 2 2" xfId="49350"/>
    <cellStyle name="Nota 7 2 2 7 2 3" xfId="38849"/>
    <cellStyle name="Nota 7 2 2 7 3" xfId="14016"/>
    <cellStyle name="Nota 7 2 2 7 3 2" xfId="43197"/>
    <cellStyle name="Nota 7 2 2 7 4" xfId="31641"/>
    <cellStyle name="Nota 7 2 2 8" xfId="10077"/>
    <cellStyle name="Nota 7 2 2 8 2" xfId="20421"/>
    <cellStyle name="Nota 7 2 2 8 2 2" xfId="49602"/>
    <cellStyle name="Nota 7 2 2 8 3" xfId="39260"/>
    <cellStyle name="Nota 7 2 2 9" xfId="17952"/>
    <cellStyle name="Nota 7 2 2 9 2" xfId="47133"/>
    <cellStyle name="Nota 7 2 3" xfId="798"/>
    <cellStyle name="Nota 7 2 3 2" xfId="1736"/>
    <cellStyle name="Nota 7 2 3 2 2" xfId="3536"/>
    <cellStyle name="Nota 7 2 3 2 2 2" xfId="9957"/>
    <cellStyle name="Nota 7 2 3 2 2 2 2" xfId="20345"/>
    <cellStyle name="Nota 7 2 3 2 2 2 2 2" xfId="49526"/>
    <cellStyle name="Nota 7 2 3 2 2 2 3" xfId="39140"/>
    <cellStyle name="Nota 7 2 3 2 2 3" xfId="16033"/>
    <cellStyle name="Nota 7 2 3 2 2 3 2" xfId="45214"/>
    <cellStyle name="Nota 7 2 3 2 2 4" xfId="32719"/>
    <cellStyle name="Nota 7 2 3 2 3" xfId="9750"/>
    <cellStyle name="Nota 7 2 3 2 3 2" xfId="20221"/>
    <cellStyle name="Nota 7 2 3 2 3 2 2" xfId="49402"/>
    <cellStyle name="Nota 7 2 3 2 3 3" xfId="38933"/>
    <cellStyle name="Nota 7 2 3 2 4" xfId="13467"/>
    <cellStyle name="Nota 7 2 3 2 4 2" xfId="42648"/>
    <cellStyle name="Nota 7 2 3 2 5" xfId="30919"/>
    <cellStyle name="Nota 7 2 3 3" xfId="2636"/>
    <cellStyle name="Nota 7 2 3 3 2" xfId="8356"/>
    <cellStyle name="Nota 7 2 3 3 2 2" xfId="19380"/>
    <cellStyle name="Nota 7 2 3 3 2 2 2" xfId="48561"/>
    <cellStyle name="Nota 7 2 3 3 2 3" xfId="37539"/>
    <cellStyle name="Nota 7 2 3 3 3" xfId="12130"/>
    <cellStyle name="Nota 7 2 3 3 3 2" xfId="41311"/>
    <cellStyle name="Nota 7 2 3 3 4" xfId="31819"/>
    <cellStyle name="Nota 7 2 3 4" xfId="9254"/>
    <cellStyle name="Nota 7 2 3 4 2" xfId="19924"/>
    <cellStyle name="Nota 7 2 3 4 2 2" xfId="49105"/>
    <cellStyle name="Nota 7 2 3 4 3" xfId="38437"/>
    <cellStyle name="Nota 7 2 3 5" xfId="17433"/>
    <cellStyle name="Nota 7 2 3 5 2" xfId="46614"/>
    <cellStyle name="Nota 7 2 3 6" xfId="29995"/>
    <cellStyle name="Nota 7 2 4" xfId="990"/>
    <cellStyle name="Nota 7 2 4 2" xfId="1900"/>
    <cellStyle name="Nota 7 2 4 2 2" xfId="3700"/>
    <cellStyle name="Nota 7 2 4 2 2 2" xfId="9964"/>
    <cellStyle name="Nota 7 2 4 2 2 2 2" xfId="20350"/>
    <cellStyle name="Nota 7 2 4 2 2 2 2 2" xfId="49531"/>
    <cellStyle name="Nota 7 2 4 2 2 2 3" xfId="39147"/>
    <cellStyle name="Nota 7 2 4 2 2 3" xfId="14182"/>
    <cellStyle name="Nota 7 2 4 2 2 3 2" xfId="43363"/>
    <cellStyle name="Nota 7 2 4 2 2 4" xfId="32883"/>
    <cellStyle name="Nota 7 2 4 2 3" xfId="9629"/>
    <cellStyle name="Nota 7 2 4 2 3 2" xfId="20147"/>
    <cellStyle name="Nota 7 2 4 2 3 2 2" xfId="49328"/>
    <cellStyle name="Nota 7 2 4 2 3 3" xfId="38812"/>
    <cellStyle name="Nota 7 2 4 2 4" xfId="13114"/>
    <cellStyle name="Nota 7 2 4 2 4 2" xfId="42295"/>
    <cellStyle name="Nota 7 2 4 2 5" xfId="31083"/>
    <cellStyle name="Nota 7 2 4 3" xfId="2800"/>
    <cellStyle name="Nota 7 2 4 3 2" xfId="8198"/>
    <cellStyle name="Nota 7 2 4 3 2 2" xfId="19285"/>
    <cellStyle name="Nota 7 2 4 3 2 2 2" xfId="48466"/>
    <cellStyle name="Nota 7 2 4 3 2 3" xfId="37381"/>
    <cellStyle name="Nota 7 2 4 3 3" xfId="17675"/>
    <cellStyle name="Nota 7 2 4 3 3 2" xfId="46856"/>
    <cellStyle name="Nota 7 2 4 3 4" xfId="31983"/>
    <cellStyle name="Nota 7 2 4 4" xfId="10331"/>
    <cellStyle name="Nota 7 2 4 4 2" xfId="20571"/>
    <cellStyle name="Nota 7 2 4 4 2 2" xfId="49752"/>
    <cellStyle name="Nota 7 2 4 4 3" xfId="39514"/>
    <cellStyle name="Nota 7 2 4 5" xfId="15836"/>
    <cellStyle name="Nota 7 2 4 5 2" xfId="45017"/>
    <cellStyle name="Nota 7 2 4 6" xfId="30180"/>
    <cellStyle name="Nota 7 2 5" xfId="1140"/>
    <cellStyle name="Nota 7 2 5 2" xfId="2044"/>
    <cellStyle name="Nota 7 2 5 2 2" xfId="3844"/>
    <cellStyle name="Nota 7 2 5 2 2 2" xfId="7774"/>
    <cellStyle name="Nota 7 2 5 2 2 2 2" xfId="19027"/>
    <cellStyle name="Nota 7 2 5 2 2 2 2 2" xfId="48208"/>
    <cellStyle name="Nota 7 2 5 2 2 2 3" xfId="36957"/>
    <cellStyle name="Nota 7 2 5 2 2 3" xfId="12161"/>
    <cellStyle name="Nota 7 2 5 2 2 3 2" xfId="41342"/>
    <cellStyle name="Nota 7 2 5 2 2 4" xfId="33027"/>
    <cellStyle name="Nota 7 2 5 2 3" xfId="8008"/>
    <cellStyle name="Nota 7 2 5 2 3 2" xfId="19169"/>
    <cellStyle name="Nota 7 2 5 2 3 2 2" xfId="48350"/>
    <cellStyle name="Nota 7 2 5 2 3 3" xfId="37191"/>
    <cellStyle name="Nota 7 2 5 2 4" xfId="15058"/>
    <cellStyle name="Nota 7 2 5 2 4 2" xfId="44239"/>
    <cellStyle name="Nota 7 2 5 2 5" xfId="31227"/>
    <cellStyle name="Nota 7 2 5 3" xfId="2944"/>
    <cellStyle name="Nota 7 2 5 3 2" xfId="8773"/>
    <cellStyle name="Nota 7 2 5 3 2 2" xfId="19634"/>
    <cellStyle name="Nota 7 2 5 3 2 2 2" xfId="48815"/>
    <cellStyle name="Nota 7 2 5 3 2 3" xfId="37956"/>
    <cellStyle name="Nota 7 2 5 3 3" xfId="15030"/>
    <cellStyle name="Nota 7 2 5 3 3 2" xfId="44211"/>
    <cellStyle name="Nota 7 2 5 3 4" xfId="32127"/>
    <cellStyle name="Nota 7 2 5 4" xfId="7766"/>
    <cellStyle name="Nota 7 2 5 4 2" xfId="19020"/>
    <cellStyle name="Nota 7 2 5 4 2 2" xfId="48201"/>
    <cellStyle name="Nota 7 2 5 4 3" xfId="36949"/>
    <cellStyle name="Nota 7 2 5 5" xfId="15927"/>
    <cellStyle name="Nota 7 2 5 5 2" xfId="45108"/>
    <cellStyle name="Nota 7 2 5 6" xfId="30327"/>
    <cellStyle name="Nota 7 2 6" xfId="1286"/>
    <cellStyle name="Nota 7 2 6 2" xfId="2188"/>
    <cellStyle name="Nota 7 2 6 2 2" xfId="3988"/>
    <cellStyle name="Nota 7 2 6 2 2 2" xfId="7092"/>
    <cellStyle name="Nota 7 2 6 2 2 2 2" xfId="18623"/>
    <cellStyle name="Nota 7 2 6 2 2 2 2 2" xfId="47804"/>
    <cellStyle name="Nota 7 2 6 2 2 2 3" xfId="36275"/>
    <cellStyle name="Nota 7 2 6 2 2 3" xfId="17943"/>
    <cellStyle name="Nota 7 2 6 2 2 3 2" xfId="47124"/>
    <cellStyle name="Nota 7 2 6 2 2 4" xfId="33171"/>
    <cellStyle name="Nota 7 2 6 2 3" xfId="7919"/>
    <cellStyle name="Nota 7 2 6 2 3 2" xfId="19112"/>
    <cellStyle name="Nota 7 2 6 2 3 2 2" xfId="48293"/>
    <cellStyle name="Nota 7 2 6 2 3 3" xfId="37102"/>
    <cellStyle name="Nota 7 2 6 2 4" xfId="11274"/>
    <cellStyle name="Nota 7 2 6 2 4 2" xfId="40455"/>
    <cellStyle name="Nota 7 2 6 2 5" xfId="31371"/>
    <cellStyle name="Nota 7 2 6 3" xfId="3088"/>
    <cellStyle name="Nota 7 2 6 3 2" xfId="8692"/>
    <cellStyle name="Nota 7 2 6 3 2 2" xfId="19584"/>
    <cellStyle name="Nota 7 2 6 3 2 2 2" xfId="48765"/>
    <cellStyle name="Nota 7 2 6 3 2 3" xfId="37875"/>
    <cellStyle name="Nota 7 2 6 3 3" xfId="17756"/>
    <cellStyle name="Nota 7 2 6 3 3 2" xfId="46937"/>
    <cellStyle name="Nota 7 2 6 3 4" xfId="32271"/>
    <cellStyle name="Nota 7 2 6 4" xfId="10485"/>
    <cellStyle name="Nota 7 2 6 4 2" xfId="20668"/>
    <cellStyle name="Nota 7 2 6 4 2 2" xfId="49849"/>
    <cellStyle name="Nota 7 2 6 4 3" xfId="39668"/>
    <cellStyle name="Nota 7 2 6 5" xfId="17186"/>
    <cellStyle name="Nota 7 2 6 5 2" xfId="46367"/>
    <cellStyle name="Nota 7 2 6 6" xfId="30471"/>
    <cellStyle name="Nota 7 2 7" xfId="1468"/>
    <cellStyle name="Nota 7 2 7 2" xfId="3268"/>
    <cellStyle name="Nota 7 2 7 2 2" xfId="8349"/>
    <cellStyle name="Nota 7 2 7 2 2 2" xfId="19374"/>
    <cellStyle name="Nota 7 2 7 2 2 2 2" xfId="48555"/>
    <cellStyle name="Nota 7 2 7 2 2 3" xfId="37532"/>
    <cellStyle name="Nota 7 2 7 2 3" xfId="17211"/>
    <cellStyle name="Nota 7 2 7 2 3 2" xfId="46392"/>
    <cellStyle name="Nota 7 2 7 2 4" xfId="32451"/>
    <cellStyle name="Nota 7 2 7 3" xfId="8134"/>
    <cellStyle name="Nota 7 2 7 3 2" xfId="19244"/>
    <cellStyle name="Nota 7 2 7 3 2 2" xfId="48425"/>
    <cellStyle name="Nota 7 2 7 3 3" xfId="37317"/>
    <cellStyle name="Nota 7 2 7 4" xfId="15635"/>
    <cellStyle name="Nota 7 2 7 4 2" xfId="44816"/>
    <cellStyle name="Nota 7 2 7 5" xfId="30651"/>
    <cellStyle name="Nota 7 2 8" xfId="2368"/>
    <cellStyle name="Nota 7 2 8 2" xfId="7528"/>
    <cellStyle name="Nota 7 2 8 2 2" xfId="18873"/>
    <cellStyle name="Nota 7 2 8 2 2 2" xfId="48054"/>
    <cellStyle name="Nota 7 2 8 2 3" xfId="36711"/>
    <cellStyle name="Nota 7 2 8 3" xfId="11307"/>
    <cellStyle name="Nota 7 2 8 3 2" xfId="40488"/>
    <cellStyle name="Nota 7 2 8 4" xfId="31551"/>
    <cellStyle name="Nota 7 2 9" xfId="8145"/>
    <cellStyle name="Nota 7 2 9 2" xfId="19252"/>
    <cellStyle name="Nota 7 2 9 2 2" xfId="48433"/>
    <cellStyle name="Nota 7 2 9 3" xfId="37328"/>
    <cellStyle name="Nota 7 3" xfId="490"/>
    <cellStyle name="Nota 7 3 10" xfId="29696"/>
    <cellStyle name="Nota 7 3 2" xfId="843"/>
    <cellStyle name="Nota 7 3 2 2" xfId="1781"/>
    <cellStyle name="Nota 7 3 2 2 2" xfId="3581"/>
    <cellStyle name="Nota 7 3 2 2 2 2" xfId="7867"/>
    <cellStyle name="Nota 7 3 2 2 2 2 2" xfId="19082"/>
    <cellStyle name="Nota 7 3 2 2 2 2 2 2" xfId="48263"/>
    <cellStyle name="Nota 7 3 2 2 2 2 3" xfId="37050"/>
    <cellStyle name="Nota 7 3 2 2 2 3" xfId="17161"/>
    <cellStyle name="Nota 7 3 2 2 2 3 2" xfId="46342"/>
    <cellStyle name="Nota 7 3 2 2 2 4" xfId="32764"/>
    <cellStyle name="Nota 7 3 2 2 3" xfId="9591"/>
    <cellStyle name="Nota 7 3 2 2 3 2" xfId="20124"/>
    <cellStyle name="Nota 7 3 2 2 3 2 2" xfId="49305"/>
    <cellStyle name="Nota 7 3 2 2 3 3" xfId="38774"/>
    <cellStyle name="Nota 7 3 2 2 4" xfId="11234"/>
    <cellStyle name="Nota 7 3 2 2 4 2" xfId="40415"/>
    <cellStyle name="Nota 7 3 2 2 5" xfId="30964"/>
    <cellStyle name="Nota 7 3 2 3" xfId="2681"/>
    <cellStyle name="Nota 7 3 2 3 2" xfId="8160"/>
    <cellStyle name="Nota 7 3 2 3 2 2" xfId="19260"/>
    <cellStyle name="Nota 7 3 2 3 2 2 2" xfId="48441"/>
    <cellStyle name="Nota 7 3 2 3 2 3" xfId="37343"/>
    <cellStyle name="Nota 7 3 2 3 3" xfId="16327"/>
    <cellStyle name="Nota 7 3 2 3 3 2" xfId="45508"/>
    <cellStyle name="Nota 7 3 2 3 4" xfId="31864"/>
    <cellStyle name="Nota 7 3 2 4" xfId="8375"/>
    <cellStyle name="Nota 7 3 2 4 2" xfId="19392"/>
    <cellStyle name="Nota 7 3 2 4 2 2" xfId="48573"/>
    <cellStyle name="Nota 7 3 2 4 3" xfId="37558"/>
    <cellStyle name="Nota 7 3 2 5" xfId="11341"/>
    <cellStyle name="Nota 7 3 2 5 2" xfId="40522"/>
    <cellStyle name="Nota 7 3 2 6" xfId="30040"/>
    <cellStyle name="Nota 7 3 3" xfId="1035"/>
    <cellStyle name="Nota 7 3 3 2" xfId="1945"/>
    <cellStyle name="Nota 7 3 3 2 2" xfId="3745"/>
    <cellStyle name="Nota 7 3 3 2 2 2" xfId="7699"/>
    <cellStyle name="Nota 7 3 3 2 2 2 2" xfId="18978"/>
    <cellStyle name="Nota 7 3 3 2 2 2 2 2" xfId="48159"/>
    <cellStyle name="Nota 7 3 3 2 2 2 3" xfId="36882"/>
    <cellStyle name="Nota 7 3 3 2 2 3" xfId="10636"/>
    <cellStyle name="Nota 7 3 3 2 2 3 2" xfId="39817"/>
    <cellStyle name="Nota 7 3 3 2 2 4" xfId="32928"/>
    <cellStyle name="Nota 7 3 3 2 3" xfId="9473"/>
    <cellStyle name="Nota 7 3 3 2 3 2" xfId="20051"/>
    <cellStyle name="Nota 7 3 3 2 3 2 2" xfId="49232"/>
    <cellStyle name="Nota 7 3 3 2 3 3" xfId="38656"/>
    <cellStyle name="Nota 7 3 3 2 4" xfId="16372"/>
    <cellStyle name="Nota 7 3 3 2 4 2" xfId="45553"/>
    <cellStyle name="Nota 7 3 3 2 5" xfId="31128"/>
    <cellStyle name="Nota 7 3 3 3" xfId="2845"/>
    <cellStyle name="Nota 7 3 3 3 2" xfId="8038"/>
    <cellStyle name="Nota 7 3 3 3 2 2" xfId="19186"/>
    <cellStyle name="Nota 7 3 3 3 2 2 2" xfId="48367"/>
    <cellStyle name="Nota 7 3 3 3 2 3" xfId="37221"/>
    <cellStyle name="Nota 7 3 3 3 3" xfId="11937"/>
    <cellStyle name="Nota 7 3 3 3 3 2" xfId="41118"/>
    <cellStyle name="Nota 7 3 3 3 4" xfId="32028"/>
    <cellStyle name="Nota 7 3 3 4" xfId="9916"/>
    <cellStyle name="Nota 7 3 3 4 2" xfId="20321"/>
    <cellStyle name="Nota 7 3 3 4 2 2" xfId="49502"/>
    <cellStyle name="Nota 7 3 3 4 3" xfId="39099"/>
    <cellStyle name="Nota 7 3 3 5" xfId="11137"/>
    <cellStyle name="Nota 7 3 3 5 2" xfId="40318"/>
    <cellStyle name="Nota 7 3 3 6" xfId="30225"/>
    <cellStyle name="Nota 7 3 4" xfId="1185"/>
    <cellStyle name="Nota 7 3 4 2" xfId="2089"/>
    <cellStyle name="Nota 7 3 4 2 2" xfId="3889"/>
    <cellStyle name="Nota 7 3 4 2 2 2" xfId="8264"/>
    <cellStyle name="Nota 7 3 4 2 2 2 2" xfId="19321"/>
    <cellStyle name="Nota 7 3 4 2 2 2 2 2" xfId="48502"/>
    <cellStyle name="Nota 7 3 4 2 2 2 3" xfId="37447"/>
    <cellStyle name="Nota 7 3 4 2 2 3" xfId="16654"/>
    <cellStyle name="Nota 7 3 4 2 2 3 2" xfId="45835"/>
    <cellStyle name="Nota 7 3 4 2 2 4" xfId="33072"/>
    <cellStyle name="Nota 7 3 4 2 3" xfId="7506"/>
    <cellStyle name="Nota 7 3 4 2 3 2" xfId="18858"/>
    <cellStyle name="Nota 7 3 4 2 3 2 2" xfId="48039"/>
    <cellStyle name="Nota 7 3 4 2 3 3" xfId="36689"/>
    <cellStyle name="Nota 7 3 4 2 4" xfId="14081"/>
    <cellStyle name="Nota 7 3 4 2 4 2" xfId="43262"/>
    <cellStyle name="Nota 7 3 4 2 5" xfId="31272"/>
    <cellStyle name="Nota 7 3 4 3" xfId="2989"/>
    <cellStyle name="Nota 7 3 4 3 2" xfId="8411"/>
    <cellStyle name="Nota 7 3 4 3 2 2" xfId="19414"/>
    <cellStyle name="Nota 7 3 4 3 2 2 2" xfId="48595"/>
    <cellStyle name="Nota 7 3 4 3 2 3" xfId="37594"/>
    <cellStyle name="Nota 7 3 4 3 3" xfId="10816"/>
    <cellStyle name="Nota 7 3 4 3 3 2" xfId="39997"/>
    <cellStyle name="Nota 7 3 4 3 4" xfId="32172"/>
    <cellStyle name="Nota 7 3 4 4" xfId="8256"/>
    <cellStyle name="Nota 7 3 4 4 2" xfId="19315"/>
    <cellStyle name="Nota 7 3 4 4 2 2" xfId="48496"/>
    <cellStyle name="Nota 7 3 4 4 3" xfId="37439"/>
    <cellStyle name="Nota 7 3 4 5" xfId="12741"/>
    <cellStyle name="Nota 7 3 4 5 2" xfId="41922"/>
    <cellStyle name="Nota 7 3 4 6" xfId="30372"/>
    <cellStyle name="Nota 7 3 5" xfId="1331"/>
    <cellStyle name="Nota 7 3 5 2" xfId="2233"/>
    <cellStyle name="Nota 7 3 5 2 2" xfId="4033"/>
    <cellStyle name="Nota 7 3 5 2 2 2" xfId="7047"/>
    <cellStyle name="Nota 7 3 5 2 2 2 2" xfId="18596"/>
    <cellStyle name="Nota 7 3 5 2 2 2 2 2" xfId="47777"/>
    <cellStyle name="Nota 7 3 5 2 2 2 3" xfId="36230"/>
    <cellStyle name="Nota 7 3 5 2 2 3" xfId="16042"/>
    <cellStyle name="Nota 7 3 5 2 2 3 2" xfId="45223"/>
    <cellStyle name="Nota 7 3 5 2 2 4" xfId="33216"/>
    <cellStyle name="Nota 7 3 5 2 3" xfId="7387"/>
    <cellStyle name="Nota 7 3 5 2 3 2" xfId="18788"/>
    <cellStyle name="Nota 7 3 5 2 3 2 2" xfId="47969"/>
    <cellStyle name="Nota 7 3 5 2 3 3" xfId="36570"/>
    <cellStyle name="Nota 7 3 5 2 4" xfId="13346"/>
    <cellStyle name="Nota 7 3 5 2 4 2" xfId="42527"/>
    <cellStyle name="Nota 7 3 5 2 5" xfId="31416"/>
    <cellStyle name="Nota 7 3 5 3" xfId="3133"/>
    <cellStyle name="Nota 7 3 5 3 2" xfId="7455"/>
    <cellStyle name="Nota 7 3 5 3 2 2" xfId="18829"/>
    <cellStyle name="Nota 7 3 5 3 2 2 2" xfId="48010"/>
    <cellStyle name="Nota 7 3 5 3 2 3" xfId="36638"/>
    <cellStyle name="Nota 7 3 5 3 3" xfId="17015"/>
    <cellStyle name="Nota 7 3 5 3 3 2" xfId="46196"/>
    <cellStyle name="Nota 7 3 5 3 4" xfId="32316"/>
    <cellStyle name="Nota 7 3 5 4" xfId="8094"/>
    <cellStyle name="Nota 7 3 5 4 2" xfId="19217"/>
    <cellStyle name="Nota 7 3 5 4 2 2" xfId="48398"/>
    <cellStyle name="Nota 7 3 5 4 3" xfId="37277"/>
    <cellStyle name="Nota 7 3 5 5" xfId="12391"/>
    <cellStyle name="Nota 7 3 5 5 2" xfId="41572"/>
    <cellStyle name="Nota 7 3 5 6" xfId="30516"/>
    <cellStyle name="Nota 7 3 6" xfId="1513"/>
    <cellStyle name="Nota 7 3 6 2" xfId="3313"/>
    <cellStyle name="Nota 7 3 6 2 2" xfId="8153"/>
    <cellStyle name="Nota 7 3 6 2 2 2" xfId="19256"/>
    <cellStyle name="Nota 7 3 6 2 2 2 2" xfId="48437"/>
    <cellStyle name="Nota 7 3 6 2 2 3" xfId="37336"/>
    <cellStyle name="Nota 7 3 6 2 3" xfId="16394"/>
    <cellStyle name="Nota 7 3 6 2 3 2" xfId="45575"/>
    <cellStyle name="Nota 7 3 6 2 4" xfId="32496"/>
    <cellStyle name="Nota 7 3 6 3" xfId="7315"/>
    <cellStyle name="Nota 7 3 6 3 2" xfId="18747"/>
    <cellStyle name="Nota 7 3 6 3 2 2" xfId="47928"/>
    <cellStyle name="Nota 7 3 6 3 3" xfId="36498"/>
    <cellStyle name="Nota 7 3 6 4" xfId="10982"/>
    <cellStyle name="Nota 7 3 6 4 2" xfId="40163"/>
    <cellStyle name="Nota 7 3 6 5" xfId="30696"/>
    <cellStyle name="Nota 7 3 7" xfId="2413"/>
    <cellStyle name="Nota 7 3 7 2" xfId="7245"/>
    <cellStyle name="Nota 7 3 7 2 2" xfId="18705"/>
    <cellStyle name="Nota 7 3 7 2 2 2" xfId="47886"/>
    <cellStyle name="Nota 7 3 7 2 3" xfId="36428"/>
    <cellStyle name="Nota 7 3 7 3" xfId="13285"/>
    <cellStyle name="Nota 7 3 7 3 2" xfId="42466"/>
    <cellStyle name="Nota 7 3 7 4" xfId="31596"/>
    <cellStyle name="Nota 7 3 8" xfId="7987"/>
    <cellStyle name="Nota 7 3 8 2" xfId="19155"/>
    <cellStyle name="Nota 7 3 8 2 2" xfId="48336"/>
    <cellStyle name="Nota 7 3 8 3" xfId="37170"/>
    <cellStyle name="Nota 7 3 9" xfId="17490"/>
    <cellStyle name="Nota 7 3 9 2" xfId="46671"/>
    <cellStyle name="Nota 7 4" xfId="706"/>
    <cellStyle name="Nota 7 4 2" xfId="1673"/>
    <cellStyle name="Nota 7 4 2 2" xfId="3473"/>
    <cellStyle name="Nota 7 4 2 2 2" xfId="8151"/>
    <cellStyle name="Nota 7 4 2 2 2 2" xfId="19254"/>
    <cellStyle name="Nota 7 4 2 2 2 2 2" xfId="48435"/>
    <cellStyle name="Nota 7 4 2 2 2 3" xfId="37334"/>
    <cellStyle name="Nota 7 4 2 2 3" xfId="14497"/>
    <cellStyle name="Nota 7 4 2 2 3 2" xfId="43678"/>
    <cellStyle name="Nota 7 4 2 2 4" xfId="32656"/>
    <cellStyle name="Nota 7 4 2 3" xfId="7394"/>
    <cellStyle name="Nota 7 4 2 3 2" xfId="18790"/>
    <cellStyle name="Nota 7 4 2 3 2 2" xfId="47971"/>
    <cellStyle name="Nota 7 4 2 3 3" xfId="36577"/>
    <cellStyle name="Nota 7 4 2 4" xfId="12991"/>
    <cellStyle name="Nota 7 4 2 4 2" xfId="42172"/>
    <cellStyle name="Nota 7 4 2 5" xfId="30856"/>
    <cellStyle name="Nota 7 4 3" xfId="2573"/>
    <cellStyle name="Nota 7 4 3 2" xfId="7462"/>
    <cellStyle name="Nota 7 4 3 2 2" xfId="18831"/>
    <cellStyle name="Nota 7 4 3 2 2 2" xfId="48012"/>
    <cellStyle name="Nota 7 4 3 2 3" xfId="36645"/>
    <cellStyle name="Nota 7 4 3 3" xfId="15888"/>
    <cellStyle name="Nota 7 4 3 3 2" xfId="45069"/>
    <cellStyle name="Nota 7 4 3 4" xfId="31756"/>
    <cellStyle name="Nota 7 4 4" xfId="10410"/>
    <cellStyle name="Nota 7 4 4 2" xfId="20619"/>
    <cellStyle name="Nota 7 4 4 2 2" xfId="49800"/>
    <cellStyle name="Nota 7 4 4 3" xfId="39593"/>
    <cellStyle name="Nota 7 4 5" xfId="15909"/>
    <cellStyle name="Nota 7 4 5 2" xfId="45090"/>
    <cellStyle name="Nota 7 4 6" xfId="29907"/>
    <cellStyle name="Nota 7 5" xfId="572"/>
    <cellStyle name="Nota 7 5 2" xfId="1588"/>
    <cellStyle name="Nota 7 5 2 2" xfId="3388"/>
    <cellStyle name="Nota 7 5 2 2 2" xfId="9846"/>
    <cellStyle name="Nota 7 5 2 2 2 2" xfId="20277"/>
    <cellStyle name="Nota 7 5 2 2 2 2 2" xfId="49458"/>
    <cellStyle name="Nota 7 5 2 2 2 3" xfId="39029"/>
    <cellStyle name="Nota 7 5 2 2 3" xfId="12439"/>
    <cellStyle name="Nota 7 5 2 2 3 2" xfId="41620"/>
    <cellStyle name="Nota 7 5 2 2 4" xfId="32571"/>
    <cellStyle name="Nota 7 5 2 3" xfId="9378"/>
    <cellStyle name="Nota 7 5 2 3 2" xfId="19997"/>
    <cellStyle name="Nota 7 5 2 3 2 2" xfId="49178"/>
    <cellStyle name="Nota 7 5 2 3 3" xfId="38561"/>
    <cellStyle name="Nota 7 5 2 4" xfId="16028"/>
    <cellStyle name="Nota 7 5 2 4 2" xfId="45209"/>
    <cellStyle name="Nota 7 5 2 5" xfId="30771"/>
    <cellStyle name="Nota 7 5 3" xfId="2488"/>
    <cellStyle name="Nota 7 5 3 2" xfId="7957"/>
    <cellStyle name="Nota 7 5 3 2 2" xfId="19136"/>
    <cellStyle name="Nota 7 5 3 2 2 2" xfId="48317"/>
    <cellStyle name="Nota 7 5 3 2 3" xfId="37140"/>
    <cellStyle name="Nota 7 5 3 3" xfId="13731"/>
    <cellStyle name="Nota 7 5 3 3 2" xfId="42912"/>
    <cellStyle name="Nota 7 5 3 4" xfId="31671"/>
    <cellStyle name="Nota 7 5 4" xfId="10178"/>
    <cellStyle name="Nota 7 5 4 2" xfId="20477"/>
    <cellStyle name="Nota 7 5 4 2 2" xfId="49658"/>
    <cellStyle name="Nota 7 5 4 3" xfId="39361"/>
    <cellStyle name="Nota 7 5 5" xfId="12862"/>
    <cellStyle name="Nota 7 5 5 2" xfId="42043"/>
    <cellStyle name="Nota 7 5 6" xfId="29777"/>
    <cellStyle name="Nota 7 6" xfId="749"/>
    <cellStyle name="Nota 7 6 2" xfId="1691"/>
    <cellStyle name="Nota 7 6 2 2" xfId="3491"/>
    <cellStyle name="Nota 7 6 2 2 2" xfId="10422"/>
    <cellStyle name="Nota 7 6 2 2 2 2" xfId="20628"/>
    <cellStyle name="Nota 7 6 2 2 2 2 2" xfId="49809"/>
    <cellStyle name="Nota 7 6 2 2 2 3" xfId="39605"/>
    <cellStyle name="Nota 7 6 2 2 3" xfId="11599"/>
    <cellStyle name="Nota 7 6 2 2 3 2" xfId="40780"/>
    <cellStyle name="Nota 7 6 2 2 4" xfId="32674"/>
    <cellStyle name="Nota 7 6 2 3" xfId="10009"/>
    <cellStyle name="Nota 7 6 2 3 2" xfId="20380"/>
    <cellStyle name="Nota 7 6 2 3 2 2" xfId="49561"/>
    <cellStyle name="Nota 7 6 2 3 3" xfId="39192"/>
    <cellStyle name="Nota 7 6 2 4" xfId="12649"/>
    <cellStyle name="Nota 7 6 2 4 2" xfId="41830"/>
    <cellStyle name="Nota 7 6 2 5" xfId="30874"/>
    <cellStyle name="Nota 7 6 3" xfId="2591"/>
    <cellStyle name="Nota 7 6 3 2" xfId="9225"/>
    <cellStyle name="Nota 7 6 3 2 2" xfId="19907"/>
    <cellStyle name="Nota 7 6 3 2 2 2" xfId="49088"/>
    <cellStyle name="Nota 7 6 3 2 3" xfId="38408"/>
    <cellStyle name="Nota 7 6 3 3" xfId="15668"/>
    <cellStyle name="Nota 7 6 3 3 2" xfId="44849"/>
    <cellStyle name="Nota 7 6 3 4" xfId="31774"/>
    <cellStyle name="Nota 7 6 4" xfId="7356"/>
    <cellStyle name="Nota 7 6 4 2" xfId="18768"/>
    <cellStyle name="Nota 7 6 4 2 2" xfId="47949"/>
    <cellStyle name="Nota 7 6 4 3" xfId="36539"/>
    <cellStyle name="Nota 7 6 5" xfId="18041"/>
    <cellStyle name="Nota 7 6 5 2" xfId="47222"/>
    <cellStyle name="Nota 7 6 6" xfId="29947"/>
    <cellStyle name="Nota 7 7" xfId="941"/>
    <cellStyle name="Nota 7 7 2" xfId="1855"/>
    <cellStyle name="Nota 7 7 2 2" xfId="3655"/>
    <cellStyle name="Nota 7 7 2 2 2" xfId="10301"/>
    <cellStyle name="Nota 7 7 2 2 2 2" xfId="20550"/>
    <cellStyle name="Nota 7 7 2 2 2 2 2" xfId="49731"/>
    <cellStyle name="Nota 7 7 2 2 2 3" xfId="39484"/>
    <cellStyle name="Nota 7 7 2 2 3" xfId="15133"/>
    <cellStyle name="Nota 7 7 2 2 3 2" xfId="44314"/>
    <cellStyle name="Nota 7 7 2 2 4" xfId="32838"/>
    <cellStyle name="Nota 7 7 2 3" xfId="9862"/>
    <cellStyle name="Nota 7 7 2 3 2" xfId="20287"/>
    <cellStyle name="Nota 7 7 2 3 2 2" xfId="49468"/>
    <cellStyle name="Nota 7 7 2 3 3" xfId="39045"/>
    <cellStyle name="Nota 7 7 2 4" xfId="10924"/>
    <cellStyle name="Nota 7 7 2 4 2" xfId="40105"/>
    <cellStyle name="Nota 7 7 2 5" xfId="31038"/>
    <cellStyle name="Nota 7 7 3" xfId="2755"/>
    <cellStyle name="Nota 7 7 3 2" xfId="9087"/>
    <cellStyle name="Nota 7 7 3 2 2" xfId="19819"/>
    <cellStyle name="Nota 7 7 3 2 2 2" xfId="49000"/>
    <cellStyle name="Nota 7 7 3 2 3" xfId="38270"/>
    <cellStyle name="Nota 7 7 3 3" xfId="16487"/>
    <cellStyle name="Nota 7 7 3 3 2" xfId="45668"/>
    <cellStyle name="Nota 7 7 3 4" xfId="31938"/>
    <cellStyle name="Nota 7 7 4" xfId="7402"/>
    <cellStyle name="Nota 7 7 4 2" xfId="18796"/>
    <cellStyle name="Nota 7 7 4 2 2" xfId="47977"/>
    <cellStyle name="Nota 7 7 4 3" xfId="36585"/>
    <cellStyle name="Nota 7 7 5" xfId="17535"/>
    <cellStyle name="Nota 7 7 5 2" xfId="46716"/>
    <cellStyle name="Nota 7 7 6" xfId="30132"/>
    <cellStyle name="Nota 7 8" xfId="1423"/>
    <cellStyle name="Nota 7 8 2" xfId="3223"/>
    <cellStyle name="Nota 7 8 2 2" xfId="9207"/>
    <cellStyle name="Nota 7 8 2 2 2" xfId="19893"/>
    <cellStyle name="Nota 7 8 2 2 2 2" xfId="49074"/>
    <cellStyle name="Nota 7 8 2 2 3" xfId="38390"/>
    <cellStyle name="Nota 7 8 2 3" xfId="16643"/>
    <cellStyle name="Nota 7 8 2 3 2" xfId="45824"/>
    <cellStyle name="Nota 7 8 2 4" xfId="32406"/>
    <cellStyle name="Nota 7 8 3" xfId="9025"/>
    <cellStyle name="Nota 7 8 3 2" xfId="19779"/>
    <cellStyle name="Nota 7 8 3 2 2" xfId="48960"/>
    <cellStyle name="Nota 7 8 3 3" xfId="38208"/>
    <cellStyle name="Nota 7 8 4" xfId="12773"/>
    <cellStyle name="Nota 7 8 4 2" xfId="41954"/>
    <cellStyle name="Nota 7 8 5" xfId="30606"/>
    <cellStyle name="Nota 7 9" xfId="2323"/>
    <cellStyle name="Nota 7 9 2" xfId="7825"/>
    <cellStyle name="Nota 7 9 2 2" xfId="19059"/>
    <cellStyle name="Nota 7 9 2 2 2" xfId="48240"/>
    <cellStyle name="Nota 7 9 2 3" xfId="37008"/>
    <cellStyle name="Nota 7 9 3" xfId="13527"/>
    <cellStyle name="Nota 7 9 3 2" xfId="42708"/>
    <cellStyle name="Nota 7 9 4" xfId="31506"/>
    <cellStyle name="Nota 8" xfId="333"/>
    <cellStyle name="Nota 8 10" xfId="13085"/>
    <cellStyle name="Nota 8 10 2" xfId="42266"/>
    <cellStyle name="Nota 8 11" xfId="58744"/>
    <cellStyle name="Nota 8 12" xfId="29606"/>
    <cellStyle name="Nota 8 2" xfId="446"/>
    <cellStyle name="Nota 8 2 10" xfId="11314"/>
    <cellStyle name="Nota 8 2 10 2" xfId="40495"/>
    <cellStyle name="Nota 8 2 11" xfId="58789"/>
    <cellStyle name="Nota 8 2 12" xfId="29652"/>
    <cellStyle name="Nota 8 2 2" xfId="536"/>
    <cellStyle name="Nota 8 2 2 10" xfId="29742"/>
    <cellStyle name="Nota 8 2 2 2" xfId="889"/>
    <cellStyle name="Nota 8 2 2 2 2" xfId="1827"/>
    <cellStyle name="Nota 8 2 2 2 2 2" xfId="3627"/>
    <cellStyle name="Nota 8 2 2 2 2 2 2" xfId="9077"/>
    <cellStyle name="Nota 8 2 2 2 2 2 2 2" xfId="19813"/>
    <cellStyle name="Nota 8 2 2 2 2 2 2 2 2" xfId="48994"/>
    <cellStyle name="Nota 8 2 2 2 2 2 2 3" xfId="38260"/>
    <cellStyle name="Nota 8 2 2 2 2 2 3" xfId="12438"/>
    <cellStyle name="Nota 8 2 2 2 2 2 3 2" xfId="41619"/>
    <cellStyle name="Nota 8 2 2 2 2 2 4" xfId="32810"/>
    <cellStyle name="Nota 8 2 2 2 2 3" xfId="7963"/>
    <cellStyle name="Nota 8 2 2 2 2 3 2" xfId="19140"/>
    <cellStyle name="Nota 8 2 2 2 2 3 2 2" xfId="48321"/>
    <cellStyle name="Nota 8 2 2 2 2 3 3" xfId="37146"/>
    <cellStyle name="Nota 8 2 2 2 2 4" xfId="16636"/>
    <cellStyle name="Nota 8 2 2 2 2 4 2" xfId="45817"/>
    <cellStyle name="Nota 8 2 2 2 2 5" xfId="31010"/>
    <cellStyle name="Nota 8 2 2 2 3" xfId="2727"/>
    <cellStyle name="Nota 8 2 2 2 3 2" xfId="8736"/>
    <cellStyle name="Nota 8 2 2 2 3 2 2" xfId="19610"/>
    <cellStyle name="Nota 8 2 2 2 3 2 2 2" xfId="48791"/>
    <cellStyle name="Nota 8 2 2 2 3 2 3" xfId="37919"/>
    <cellStyle name="Nota 8 2 2 2 3 3" xfId="13730"/>
    <cellStyle name="Nota 8 2 2 2 3 3 2" xfId="42911"/>
    <cellStyle name="Nota 8 2 2 2 3 4" xfId="31910"/>
    <cellStyle name="Nota 8 2 2 2 4" xfId="9602"/>
    <cellStyle name="Nota 8 2 2 2 4 2" xfId="20132"/>
    <cellStyle name="Nota 8 2 2 2 4 2 2" xfId="49313"/>
    <cellStyle name="Nota 8 2 2 2 4 3" xfId="38785"/>
    <cellStyle name="Nota 8 2 2 2 5" xfId="18079"/>
    <cellStyle name="Nota 8 2 2 2 5 2" xfId="47260"/>
    <cellStyle name="Nota 8 2 2 2 6" xfId="30086"/>
    <cellStyle name="Nota 8 2 2 3" xfId="1081"/>
    <cellStyle name="Nota 8 2 2 3 2" xfId="1991"/>
    <cellStyle name="Nota 8 2 2 3 2 2" xfId="3791"/>
    <cellStyle name="Nota 8 2 2 3 2 2 2" xfId="10457"/>
    <cellStyle name="Nota 8 2 2 3 2 2 2 2" xfId="20652"/>
    <cellStyle name="Nota 8 2 2 3 2 2 2 2 2" xfId="49833"/>
    <cellStyle name="Nota 8 2 2 3 2 2 2 3" xfId="39640"/>
    <cellStyle name="Nota 8 2 2 3 2 2 3" xfId="11467"/>
    <cellStyle name="Nota 8 2 2 3 2 2 3 2" xfId="40648"/>
    <cellStyle name="Nota 8 2 2 3 2 2 4" xfId="32974"/>
    <cellStyle name="Nota 8 2 2 3 2 3" xfId="7794"/>
    <cellStyle name="Nota 8 2 2 3 2 3 2" xfId="19039"/>
    <cellStyle name="Nota 8 2 2 3 2 3 2 2" xfId="48220"/>
    <cellStyle name="Nota 8 2 2 3 2 3 3" xfId="36977"/>
    <cellStyle name="Nota 8 2 2 3 2 4" xfId="14473"/>
    <cellStyle name="Nota 8 2 2 3 2 4 2" xfId="43654"/>
    <cellStyle name="Nota 8 2 2 3 2 5" xfId="31174"/>
    <cellStyle name="Nota 8 2 2 3 3" xfId="2891"/>
    <cellStyle name="Nota 8 2 2 3 3 2" xfId="8594"/>
    <cellStyle name="Nota 8 2 2 3 3 2 2" xfId="19532"/>
    <cellStyle name="Nota 8 2 2 3 3 2 2 2" xfId="48713"/>
    <cellStyle name="Nota 8 2 2 3 3 2 3" xfId="37777"/>
    <cellStyle name="Nota 8 2 2 3 3 3" xfId="13284"/>
    <cellStyle name="Nota 8 2 2 3 3 3 2" xfId="42465"/>
    <cellStyle name="Nota 8 2 2 3 3 4" xfId="32074"/>
    <cellStyle name="Nota 8 2 2 3 4" xfId="9144"/>
    <cellStyle name="Nota 8 2 2 3 4 2" xfId="19856"/>
    <cellStyle name="Nota 8 2 2 3 4 2 2" xfId="49037"/>
    <cellStyle name="Nota 8 2 2 3 4 3" xfId="38327"/>
    <cellStyle name="Nota 8 2 2 3 5" xfId="11943"/>
    <cellStyle name="Nota 8 2 2 3 5 2" xfId="41124"/>
    <cellStyle name="Nota 8 2 2 3 6" xfId="30271"/>
    <cellStyle name="Nota 8 2 2 4" xfId="1231"/>
    <cellStyle name="Nota 8 2 2 4 2" xfId="2135"/>
    <cellStyle name="Nota 8 2 2 4 2 2" xfId="3935"/>
    <cellStyle name="Nota 8 2 2 4 2 2 2" xfId="7145"/>
    <cellStyle name="Nota 8 2 2 4 2 2 2 2" xfId="18649"/>
    <cellStyle name="Nota 8 2 2 4 2 2 2 2 2" xfId="47830"/>
    <cellStyle name="Nota 8 2 2 4 2 2 2 3" xfId="36328"/>
    <cellStyle name="Nota 8 2 2 4 2 2 3" xfId="13672"/>
    <cellStyle name="Nota 8 2 2 4 2 2 3 2" xfId="42853"/>
    <cellStyle name="Nota 8 2 2 4 2 2 4" xfId="33118"/>
    <cellStyle name="Nota 8 2 2 4 2 3" xfId="8360"/>
    <cellStyle name="Nota 8 2 2 4 2 3 2" xfId="19383"/>
    <cellStyle name="Nota 8 2 2 4 2 3 2 2" xfId="48564"/>
    <cellStyle name="Nota 8 2 2 4 2 3 3" xfId="37543"/>
    <cellStyle name="Nota 8 2 2 4 2 4" xfId="16558"/>
    <cellStyle name="Nota 8 2 2 4 2 4 2" xfId="45739"/>
    <cellStyle name="Nota 8 2 2 4 2 5" xfId="31318"/>
    <cellStyle name="Nota 8 2 2 4 3" xfId="3035"/>
    <cellStyle name="Nota 8 2 2 4 3 2" xfId="9888"/>
    <cellStyle name="Nota 8 2 2 4 3 2 2" xfId="20302"/>
    <cellStyle name="Nota 8 2 2 4 3 2 2 2" xfId="49483"/>
    <cellStyle name="Nota 8 2 2 4 3 2 3" xfId="39071"/>
    <cellStyle name="Nota 8 2 2 4 3 3" xfId="15175"/>
    <cellStyle name="Nota 8 2 2 4 3 3 2" xfId="44356"/>
    <cellStyle name="Nota 8 2 2 4 3 4" xfId="32218"/>
    <cellStyle name="Nota 8 2 2 4 4" xfId="8792"/>
    <cellStyle name="Nota 8 2 2 4 4 2" xfId="19646"/>
    <cellStyle name="Nota 8 2 2 4 4 2 2" xfId="48827"/>
    <cellStyle name="Nota 8 2 2 4 4 3" xfId="37975"/>
    <cellStyle name="Nota 8 2 2 4 5" xfId="13319"/>
    <cellStyle name="Nota 8 2 2 4 5 2" xfId="42500"/>
    <cellStyle name="Nota 8 2 2 4 6" xfId="30418"/>
    <cellStyle name="Nota 8 2 2 5" xfId="1377"/>
    <cellStyle name="Nota 8 2 2 5 2" xfId="2279"/>
    <cellStyle name="Nota 8 2 2 5 2 2" xfId="4079"/>
    <cellStyle name="Nota 8 2 2 5 2 2 2" xfId="7001"/>
    <cellStyle name="Nota 8 2 2 5 2 2 2 2" xfId="18568"/>
    <cellStyle name="Nota 8 2 2 5 2 2 2 2 2" xfId="47749"/>
    <cellStyle name="Nota 8 2 2 5 2 2 2 3" xfId="36184"/>
    <cellStyle name="Nota 8 2 2 5 2 2 3" xfId="17327"/>
    <cellStyle name="Nota 8 2 2 5 2 2 3 2" xfId="46508"/>
    <cellStyle name="Nota 8 2 2 5 2 2 4" xfId="33262"/>
    <cellStyle name="Nota 8 2 2 5 2 3" xfId="7619"/>
    <cellStyle name="Nota 8 2 2 5 2 3 2" xfId="18931"/>
    <cellStyle name="Nota 8 2 2 5 2 3 2 2" xfId="48112"/>
    <cellStyle name="Nota 8 2 2 5 2 3 3" xfId="36802"/>
    <cellStyle name="Nota 8 2 2 5 2 4" xfId="12100"/>
    <cellStyle name="Nota 8 2 2 5 2 4 2" xfId="41281"/>
    <cellStyle name="Nota 8 2 2 5 2 5" xfId="31462"/>
    <cellStyle name="Nota 8 2 2 5 3" xfId="3179"/>
    <cellStyle name="Nota 8 2 2 5 3 2" xfId="7190"/>
    <cellStyle name="Nota 8 2 2 5 3 2 2" xfId="18673"/>
    <cellStyle name="Nota 8 2 2 5 3 2 2 2" xfId="47854"/>
    <cellStyle name="Nota 8 2 2 5 3 2 3" xfId="36373"/>
    <cellStyle name="Nota 8 2 2 5 3 3" xfId="11558"/>
    <cellStyle name="Nota 8 2 2 5 3 3 2" xfId="40739"/>
    <cellStyle name="Nota 8 2 2 5 3 4" xfId="32362"/>
    <cellStyle name="Nota 8 2 2 5 4" xfId="9341"/>
    <cellStyle name="Nota 8 2 2 5 4 2" xfId="19974"/>
    <cellStyle name="Nota 8 2 2 5 4 2 2" xfId="49155"/>
    <cellStyle name="Nota 8 2 2 5 4 3" xfId="38524"/>
    <cellStyle name="Nota 8 2 2 5 5" xfId="10956"/>
    <cellStyle name="Nota 8 2 2 5 5 2" xfId="40137"/>
    <cellStyle name="Nota 8 2 2 5 6" xfId="30562"/>
    <cellStyle name="Nota 8 2 2 6" xfId="1559"/>
    <cellStyle name="Nota 8 2 2 6 2" xfId="3359"/>
    <cellStyle name="Nota 8 2 2 6 2 2" xfId="8729"/>
    <cellStyle name="Nota 8 2 2 6 2 2 2" xfId="19606"/>
    <cellStyle name="Nota 8 2 2 6 2 2 2 2" xfId="48787"/>
    <cellStyle name="Nota 8 2 2 6 2 2 3" xfId="37912"/>
    <cellStyle name="Nota 8 2 2 6 2 3" xfId="11496"/>
    <cellStyle name="Nota 8 2 2 6 2 3 2" xfId="40677"/>
    <cellStyle name="Nota 8 2 2 6 2 4" xfId="32542"/>
    <cellStyle name="Nota 8 2 2 6 3" xfId="8907"/>
    <cellStyle name="Nota 8 2 2 6 3 2" xfId="19712"/>
    <cellStyle name="Nota 8 2 2 6 3 2 2" xfId="48893"/>
    <cellStyle name="Nota 8 2 2 6 3 3" xfId="38090"/>
    <cellStyle name="Nota 8 2 2 6 4" xfId="10666"/>
    <cellStyle name="Nota 8 2 2 6 4 2" xfId="39847"/>
    <cellStyle name="Nota 8 2 2 6 5" xfId="30742"/>
    <cellStyle name="Nota 8 2 2 7" xfId="2459"/>
    <cellStyle name="Nota 8 2 2 7 2" xfId="10434"/>
    <cellStyle name="Nota 8 2 2 7 2 2" xfId="20636"/>
    <cellStyle name="Nota 8 2 2 7 2 2 2" xfId="49817"/>
    <cellStyle name="Nota 8 2 2 7 2 3" xfId="39617"/>
    <cellStyle name="Nota 8 2 2 7 3" xfId="16579"/>
    <cellStyle name="Nota 8 2 2 7 3 2" xfId="45760"/>
    <cellStyle name="Nota 8 2 2 7 4" xfId="31642"/>
    <cellStyle name="Nota 8 2 2 8" xfId="8542"/>
    <cellStyle name="Nota 8 2 2 8 2" xfId="19501"/>
    <cellStyle name="Nota 8 2 2 8 2 2" xfId="48682"/>
    <cellStyle name="Nota 8 2 2 8 3" xfId="37725"/>
    <cellStyle name="Nota 8 2 2 9" xfId="12394"/>
    <cellStyle name="Nota 8 2 2 9 2" xfId="41575"/>
    <cellStyle name="Nota 8 2 3" xfId="799"/>
    <cellStyle name="Nota 8 2 3 2" xfId="1737"/>
    <cellStyle name="Nota 8 2 3 2 2" xfId="3537"/>
    <cellStyle name="Nota 8 2 3 2 2 2" xfId="8421"/>
    <cellStyle name="Nota 8 2 3 2 2 2 2" xfId="19422"/>
    <cellStyle name="Nota 8 2 3 2 2 2 2 2" xfId="48603"/>
    <cellStyle name="Nota 8 2 3 2 2 2 3" xfId="37604"/>
    <cellStyle name="Nota 8 2 3 2 2 3" xfId="15108"/>
    <cellStyle name="Nota 8 2 3 2 2 3 2" xfId="44289"/>
    <cellStyle name="Nota 8 2 3 2 2 4" xfId="32720"/>
    <cellStyle name="Nota 8 2 3 2 3" xfId="10519"/>
    <cellStyle name="Nota 8 2 3 2 3 2" xfId="20690"/>
    <cellStyle name="Nota 8 2 3 2 3 2 2" xfId="49871"/>
    <cellStyle name="Nota 8 2 3 2 3 3" xfId="39702"/>
    <cellStyle name="Nota 8 2 3 2 4" xfId="17826"/>
    <cellStyle name="Nota 8 2 3 2 4 2" xfId="47007"/>
    <cellStyle name="Nota 8 2 3 2 5" xfId="30920"/>
    <cellStyle name="Nota 8 2 3 3" xfId="2637"/>
    <cellStyle name="Nota 8 2 3 3 2" xfId="9741"/>
    <cellStyle name="Nota 8 2 3 3 2 2" xfId="20214"/>
    <cellStyle name="Nota 8 2 3 3 2 2 2" xfId="49395"/>
    <cellStyle name="Nota 8 2 3 3 2 3" xfId="38924"/>
    <cellStyle name="Nota 8 2 3 3 3" xfId="17297"/>
    <cellStyle name="Nota 8 2 3 3 3 2" xfId="46478"/>
    <cellStyle name="Nota 8 2 3 3 4" xfId="31820"/>
    <cellStyle name="Nota 8 2 3 4" xfId="10020"/>
    <cellStyle name="Nota 8 2 3 4 2" xfId="20386"/>
    <cellStyle name="Nota 8 2 3 4 2 2" xfId="49567"/>
    <cellStyle name="Nota 8 2 3 4 3" xfId="39203"/>
    <cellStyle name="Nota 8 2 3 5" xfId="12548"/>
    <cellStyle name="Nota 8 2 3 5 2" xfId="41729"/>
    <cellStyle name="Nota 8 2 3 6" xfId="29996"/>
    <cellStyle name="Nota 8 2 4" xfId="991"/>
    <cellStyle name="Nota 8 2 4 2" xfId="1901"/>
    <cellStyle name="Nota 8 2 4 2 2" xfId="3701"/>
    <cellStyle name="Nota 8 2 4 2 2 2" xfId="8428"/>
    <cellStyle name="Nota 8 2 4 2 2 2 2" xfId="19427"/>
    <cellStyle name="Nota 8 2 4 2 2 2 2 2" xfId="48608"/>
    <cellStyle name="Nota 8 2 4 2 2 2 3" xfId="37611"/>
    <cellStyle name="Nota 8 2 4 2 2 3" xfId="17205"/>
    <cellStyle name="Nota 8 2 4 2 2 3 2" xfId="46386"/>
    <cellStyle name="Nota 8 2 4 2 2 4" xfId="32884"/>
    <cellStyle name="Nota 8 2 4 2 3" xfId="10397"/>
    <cellStyle name="Nota 8 2 4 2 3 2" xfId="20612"/>
    <cellStyle name="Nota 8 2 4 2 3 2 2" xfId="49793"/>
    <cellStyle name="Nota 8 2 4 2 3 3" xfId="39580"/>
    <cellStyle name="Nota 8 2 4 2 4" xfId="11838"/>
    <cellStyle name="Nota 8 2 4 2 4 2" xfId="41019"/>
    <cellStyle name="Nota 8 2 4 2 5" xfId="31084"/>
    <cellStyle name="Nota 8 2 4 3" xfId="2801"/>
    <cellStyle name="Nota 8 2 4 3 2" xfId="9620"/>
    <cellStyle name="Nota 8 2 4 3 2 2" xfId="20142"/>
    <cellStyle name="Nota 8 2 4 3 2 2 2" xfId="49323"/>
    <cellStyle name="Nota 8 2 4 3 2 3" xfId="38803"/>
    <cellStyle name="Nota 8 2 4 3 3" xfId="13525"/>
    <cellStyle name="Nota 8 2 4 3 3 2" xfId="42706"/>
    <cellStyle name="Nota 8 2 4 3 4" xfId="31984"/>
    <cellStyle name="Nota 8 2 4 4" xfId="8795"/>
    <cellStyle name="Nota 8 2 4 4 2" xfId="19648"/>
    <cellStyle name="Nota 8 2 4 4 2 2" xfId="48829"/>
    <cellStyle name="Nota 8 2 4 4 3" xfId="37978"/>
    <cellStyle name="Nota 8 2 4 5" xfId="15633"/>
    <cellStyle name="Nota 8 2 4 5 2" xfId="44814"/>
    <cellStyle name="Nota 8 2 4 6" xfId="30181"/>
    <cellStyle name="Nota 8 2 5" xfId="1141"/>
    <cellStyle name="Nota 8 2 5 2" xfId="2045"/>
    <cellStyle name="Nota 8 2 5 2 2" xfId="3845"/>
    <cellStyle name="Nota 8 2 5 2 2 2" xfId="7447"/>
    <cellStyle name="Nota 8 2 5 2 2 2 2" xfId="18824"/>
    <cellStyle name="Nota 8 2 5 2 2 2 2 2" xfId="48005"/>
    <cellStyle name="Nota 8 2 5 2 2 2 3" xfId="36630"/>
    <cellStyle name="Nota 8 2 5 2 2 3" xfId="17856"/>
    <cellStyle name="Nota 8 2 5 2 2 3 2" xfId="47037"/>
    <cellStyle name="Nota 8 2 5 2 2 4" xfId="33028"/>
    <cellStyle name="Nota 8 2 5 2 3" xfId="9433"/>
    <cellStyle name="Nota 8 2 5 2 3 2" xfId="20031"/>
    <cellStyle name="Nota 8 2 5 2 3 2 2" xfId="49212"/>
    <cellStyle name="Nota 8 2 5 2 3 3" xfId="38616"/>
    <cellStyle name="Nota 8 2 5 2 4" xfId="12739"/>
    <cellStyle name="Nota 8 2 5 2 4 2" xfId="41920"/>
    <cellStyle name="Nota 8 2 5 2 5" xfId="31228"/>
    <cellStyle name="Nota 8 2 5 3" xfId="2945"/>
    <cellStyle name="Nota 8 2 5 3 2" xfId="7999"/>
    <cellStyle name="Nota 8 2 5 3 2 2" xfId="19163"/>
    <cellStyle name="Nota 8 2 5 3 2 2 2" xfId="48344"/>
    <cellStyle name="Nota 8 2 5 3 2 3" xfId="37182"/>
    <cellStyle name="Nota 8 2 5 3 3" xfId="12705"/>
    <cellStyle name="Nota 8 2 5 3 3 2" xfId="41886"/>
    <cellStyle name="Nota 8 2 5 3 4" xfId="32128"/>
    <cellStyle name="Nota 8 2 5 4" xfId="7439"/>
    <cellStyle name="Nota 8 2 5 4 2" xfId="18817"/>
    <cellStyle name="Nota 8 2 5 4 2 2" xfId="47998"/>
    <cellStyle name="Nota 8 2 5 4 3" xfId="36622"/>
    <cellStyle name="Nota 8 2 5 5" xfId="12199"/>
    <cellStyle name="Nota 8 2 5 5 2" xfId="41380"/>
    <cellStyle name="Nota 8 2 5 6" xfId="30328"/>
    <cellStyle name="Nota 8 2 6" xfId="1287"/>
    <cellStyle name="Nota 8 2 6 2" xfId="2189"/>
    <cellStyle name="Nota 8 2 6 2 2" xfId="3989"/>
    <cellStyle name="Nota 8 2 6 2 2 2" xfId="7091"/>
    <cellStyle name="Nota 8 2 6 2 2 2 2" xfId="18622"/>
    <cellStyle name="Nota 8 2 6 2 2 2 2 2" xfId="47803"/>
    <cellStyle name="Nota 8 2 6 2 2 2 3" xfId="36274"/>
    <cellStyle name="Nota 8 2 6 2 2 3" xfId="15497"/>
    <cellStyle name="Nota 8 2 6 2 2 3 2" xfId="44678"/>
    <cellStyle name="Nota 8 2 6 2 2 4" xfId="33172"/>
    <cellStyle name="Nota 8 2 6 2 3" xfId="9331"/>
    <cellStyle name="Nota 8 2 6 2 3 2" xfId="19969"/>
    <cellStyle name="Nota 8 2 6 2 3 2 2" xfId="49150"/>
    <cellStyle name="Nota 8 2 6 2 3 3" xfId="38514"/>
    <cellStyle name="Nota 8 2 6 2 4" xfId="15937"/>
    <cellStyle name="Nota 8 2 6 2 4 2" xfId="45118"/>
    <cellStyle name="Nota 8 2 6 2 5" xfId="31372"/>
    <cellStyle name="Nota 8 2 6 3" xfId="3089"/>
    <cellStyle name="Nota 8 2 6 3 2" xfId="7910"/>
    <cellStyle name="Nota 8 2 6 3 2 2" xfId="19108"/>
    <cellStyle name="Nota 8 2 6 3 2 2 2" xfId="48289"/>
    <cellStyle name="Nota 8 2 6 3 2 3" xfId="37093"/>
    <cellStyle name="Nota 8 2 6 3 3" xfId="14824"/>
    <cellStyle name="Nota 8 2 6 3 3 2" xfId="44005"/>
    <cellStyle name="Nota 8 2 6 3 4" xfId="32272"/>
    <cellStyle name="Nota 8 2 6 4" xfId="8949"/>
    <cellStyle name="Nota 8 2 6 4 2" xfId="19740"/>
    <cellStyle name="Nota 8 2 6 4 2 2" xfId="48921"/>
    <cellStyle name="Nota 8 2 6 4 3" xfId="38132"/>
    <cellStyle name="Nota 8 2 6 5" xfId="13080"/>
    <cellStyle name="Nota 8 2 6 5 2" xfId="42261"/>
    <cellStyle name="Nota 8 2 6 6" xfId="30472"/>
    <cellStyle name="Nota 8 2 7" xfId="1469"/>
    <cellStyle name="Nota 8 2 7 2" xfId="3269"/>
    <cellStyle name="Nota 8 2 7 2 2" xfId="9734"/>
    <cellStyle name="Nota 8 2 7 2 2 2" xfId="20209"/>
    <cellStyle name="Nota 8 2 7 2 2 2 2" xfId="49390"/>
    <cellStyle name="Nota 8 2 7 2 2 3" xfId="38917"/>
    <cellStyle name="Nota 8 2 7 2 3" xfId="14621"/>
    <cellStyle name="Nota 8 2 7 2 3 2" xfId="43802"/>
    <cellStyle name="Nota 8 2 7 2 4" xfId="32452"/>
    <cellStyle name="Nota 8 2 7 3" xfId="9557"/>
    <cellStyle name="Nota 8 2 7 3 2" xfId="20102"/>
    <cellStyle name="Nota 8 2 7 3 2 2" xfId="49283"/>
    <cellStyle name="Nota 8 2 7 3 3" xfId="38740"/>
    <cellStyle name="Nota 8 2 7 4" xfId="13347"/>
    <cellStyle name="Nota 8 2 7 4 2" xfId="42528"/>
    <cellStyle name="Nota 8 2 7 5" xfId="30652"/>
    <cellStyle name="Nota 8 2 8" xfId="2369"/>
    <cellStyle name="Nota 8 2 8 2" xfId="7607"/>
    <cellStyle name="Nota 8 2 8 2 2" xfId="18923"/>
    <cellStyle name="Nota 8 2 8 2 2 2" xfId="48104"/>
    <cellStyle name="Nota 8 2 8 2 3" xfId="36790"/>
    <cellStyle name="Nota 8 2 8 3" xfId="16511"/>
    <cellStyle name="Nota 8 2 8 3 2" xfId="45692"/>
    <cellStyle name="Nota 8 2 8 4" xfId="31552"/>
    <cellStyle name="Nota 8 2 9" xfId="9567"/>
    <cellStyle name="Nota 8 2 9 2" xfId="20110"/>
    <cellStyle name="Nota 8 2 9 2 2" xfId="49291"/>
    <cellStyle name="Nota 8 2 9 3" xfId="38750"/>
    <cellStyle name="Nota 8 3" xfId="491"/>
    <cellStyle name="Nota 8 3 10" xfId="29697"/>
    <cellStyle name="Nota 8 3 2" xfId="844"/>
    <cellStyle name="Nota 8 3 2 2" xfId="1782"/>
    <cellStyle name="Nota 8 3 2 2 2" xfId="3582"/>
    <cellStyle name="Nota 8 3 2 2 2 2" xfId="9280"/>
    <cellStyle name="Nota 8 3 2 2 2 2 2" xfId="19937"/>
    <cellStyle name="Nota 8 3 2 2 2 2 2 2" xfId="49118"/>
    <cellStyle name="Nota 8 3 2 2 2 2 3" xfId="38463"/>
    <cellStyle name="Nota 8 3 2 2 2 3" xfId="14153"/>
    <cellStyle name="Nota 8 3 2 2 2 3 2" xfId="43334"/>
    <cellStyle name="Nota 8 3 2 2 2 4" xfId="32765"/>
    <cellStyle name="Nota 8 3 2 2 3" xfId="10359"/>
    <cellStyle name="Nota 8 3 2 2 3 2" xfId="20589"/>
    <cellStyle name="Nota 8 3 2 2 3 2 2" xfId="49770"/>
    <cellStyle name="Nota 8 3 2 2 3 3" xfId="39542"/>
    <cellStyle name="Nota 8 3 2 2 4" xfId="16082"/>
    <cellStyle name="Nota 8 3 2 2 4 2" xfId="45263"/>
    <cellStyle name="Nota 8 3 2 2 5" xfId="30965"/>
    <cellStyle name="Nota 8 3 2 3" xfId="2682"/>
    <cellStyle name="Nota 8 3 2 3 2" xfId="9582"/>
    <cellStyle name="Nota 8 3 2 3 2 2" xfId="20118"/>
    <cellStyle name="Nota 8 3 2 3 2 2 2" xfId="49299"/>
    <cellStyle name="Nota 8 3 2 3 2 3" xfId="38765"/>
    <cellStyle name="Nota 8 3 2 3 3" xfId="14694"/>
    <cellStyle name="Nota 8 3 2 3 3 2" xfId="43875"/>
    <cellStyle name="Nota 8 3 2 3 4" xfId="31865"/>
    <cellStyle name="Nota 8 3 2 4" xfId="9760"/>
    <cellStyle name="Nota 8 3 2 4 2" xfId="20226"/>
    <cellStyle name="Nota 8 3 2 4 2 2" xfId="49407"/>
    <cellStyle name="Nota 8 3 2 4 3" xfId="38943"/>
    <cellStyle name="Nota 8 3 2 5" xfId="17808"/>
    <cellStyle name="Nota 8 3 2 5 2" xfId="46989"/>
    <cellStyle name="Nota 8 3 2 6" xfId="30041"/>
    <cellStyle name="Nota 8 3 3" xfId="1036"/>
    <cellStyle name="Nota 8 3 3 2" xfId="1946"/>
    <cellStyle name="Nota 8 3 3 2 2" xfId="3746"/>
    <cellStyle name="Nota 8 3 3 2 2 2" xfId="9114"/>
    <cellStyle name="Nota 8 3 3 2 2 2 2" xfId="19835"/>
    <cellStyle name="Nota 8 3 3 2 2 2 2 2" xfId="49016"/>
    <cellStyle name="Nota 8 3 3 2 2 2 3" xfId="38297"/>
    <cellStyle name="Nota 8 3 3 2 2 3" xfId="10635"/>
    <cellStyle name="Nota 8 3 3 2 2 3 2" xfId="39816"/>
    <cellStyle name="Nota 8 3 3 2 2 4" xfId="32929"/>
    <cellStyle name="Nota 8 3 3 2 3" xfId="10240"/>
    <cellStyle name="Nota 8 3 3 2 3 2" xfId="20512"/>
    <cellStyle name="Nota 8 3 3 2 3 2 2" xfId="49693"/>
    <cellStyle name="Nota 8 3 3 2 3 3" xfId="39423"/>
    <cellStyle name="Nota 8 3 3 2 4" xfId="15447"/>
    <cellStyle name="Nota 8 3 3 2 4 2" xfId="44628"/>
    <cellStyle name="Nota 8 3 3 2 5" xfId="31129"/>
    <cellStyle name="Nota 8 3 3 3" xfId="2846"/>
    <cellStyle name="Nota 8 3 3 3 2" xfId="9464"/>
    <cellStyle name="Nota 8 3 3 3 2 2" xfId="20046"/>
    <cellStyle name="Nota 8 3 3 3 2 2 2" xfId="49227"/>
    <cellStyle name="Nota 8 3 3 3 2 3" xfId="38647"/>
    <cellStyle name="Nota 8 3 3 3 3" xfId="11306"/>
    <cellStyle name="Nota 8 3 3 3 3 2" xfId="40487"/>
    <cellStyle name="Nota 8 3 3 3 4" xfId="32029"/>
    <cellStyle name="Nota 8 3 3 4" xfId="8380"/>
    <cellStyle name="Nota 8 3 3 4 2" xfId="19395"/>
    <cellStyle name="Nota 8 3 3 4 2 2" xfId="48576"/>
    <cellStyle name="Nota 8 3 3 4 3" xfId="37563"/>
    <cellStyle name="Nota 8 3 3 5" xfId="15882"/>
    <cellStyle name="Nota 8 3 3 5 2" xfId="45063"/>
    <cellStyle name="Nota 8 3 3 6" xfId="30226"/>
    <cellStyle name="Nota 8 3 4" xfId="1186"/>
    <cellStyle name="Nota 8 3 4 2" xfId="2090"/>
    <cellStyle name="Nota 8 3 4 2 2" xfId="3890"/>
    <cellStyle name="Nota 8 3 4 2 2 2" xfId="9649"/>
    <cellStyle name="Nota 8 3 4 2 2 2 2" xfId="20157"/>
    <cellStyle name="Nota 8 3 4 2 2 2 2 2" xfId="49338"/>
    <cellStyle name="Nota 8 3 4 2 2 2 3" xfId="38832"/>
    <cellStyle name="Nota 8 3 4 2 2 3" xfId="14719"/>
    <cellStyle name="Nota 8 3 4 2 2 3 2" xfId="43900"/>
    <cellStyle name="Nota 8 3 4 2 2 4" xfId="33073"/>
    <cellStyle name="Nota 8 3 4 2 3" xfId="9238"/>
    <cellStyle name="Nota 8 3 4 2 3 2" xfId="19914"/>
    <cellStyle name="Nota 8 3 4 2 3 2 2" xfId="49095"/>
    <cellStyle name="Nota 8 3 4 2 3 3" xfId="38421"/>
    <cellStyle name="Nota 8 3 4 2 4" xfId="17202"/>
    <cellStyle name="Nota 8 3 4 2 4 2" xfId="46383"/>
    <cellStyle name="Nota 8 3 4 2 5" xfId="31273"/>
    <cellStyle name="Nota 8 3 4 3" xfId="2990"/>
    <cellStyle name="Nota 8 3 4 3 2" xfId="7548"/>
    <cellStyle name="Nota 8 3 4 3 2 2" xfId="18883"/>
    <cellStyle name="Nota 8 3 4 3 2 2 2" xfId="48064"/>
    <cellStyle name="Nota 8 3 4 3 2 3" xfId="36731"/>
    <cellStyle name="Nota 8 3 4 3 3" xfId="16283"/>
    <cellStyle name="Nota 8 3 4 3 3 2" xfId="45464"/>
    <cellStyle name="Nota 8 3 4 3 4" xfId="32173"/>
    <cellStyle name="Nota 8 3 4 4" xfId="9405"/>
    <cellStyle name="Nota 8 3 4 4 2" xfId="20011"/>
    <cellStyle name="Nota 8 3 4 4 2 2" xfId="49192"/>
    <cellStyle name="Nota 8 3 4 4 3" xfId="38588"/>
    <cellStyle name="Nota 8 3 4 5" xfId="11471"/>
    <cellStyle name="Nota 8 3 4 5 2" xfId="40652"/>
    <cellStyle name="Nota 8 3 4 6" xfId="30373"/>
    <cellStyle name="Nota 8 3 5" xfId="1332"/>
    <cellStyle name="Nota 8 3 5 2" xfId="2234"/>
    <cellStyle name="Nota 8 3 5 2 2" xfId="4034"/>
    <cellStyle name="Nota 8 3 5 2 2 2" xfId="7046"/>
    <cellStyle name="Nota 8 3 5 2 2 2 2" xfId="18595"/>
    <cellStyle name="Nota 8 3 5 2 2 2 2 2" xfId="47776"/>
    <cellStyle name="Nota 8 3 5 2 2 2 3" xfId="36229"/>
    <cellStyle name="Nota 8 3 5 2 2 3" xfId="14622"/>
    <cellStyle name="Nota 8 3 5 2 2 3 2" xfId="43803"/>
    <cellStyle name="Nota 8 3 5 2 2 4" xfId="33217"/>
    <cellStyle name="Nota 8 3 5 2 3" xfId="7305"/>
    <cellStyle name="Nota 8 3 5 2 3 2" xfId="18742"/>
    <cellStyle name="Nota 8 3 5 2 3 2 2" xfId="47923"/>
    <cellStyle name="Nota 8 3 5 2 3 3" xfId="36488"/>
    <cellStyle name="Nota 8 3 5 2 4" xfId="12069"/>
    <cellStyle name="Nota 8 3 5 2 4 2" xfId="41250"/>
    <cellStyle name="Nota 8 3 5 2 5" xfId="31417"/>
    <cellStyle name="Nota 8 3 5 3" xfId="3134"/>
    <cellStyle name="Nota 8 3 5 3 2" xfId="7378"/>
    <cellStyle name="Nota 8 3 5 3 2 2" xfId="18784"/>
    <cellStyle name="Nota 8 3 5 3 2 2 2" xfId="47965"/>
    <cellStyle name="Nota 8 3 5 3 2 3" xfId="36561"/>
    <cellStyle name="Nota 8 3 5 3 3" xfId="13767"/>
    <cellStyle name="Nota 8 3 5 3 3 2" xfId="42948"/>
    <cellStyle name="Nota 8 3 5 3 4" xfId="32317"/>
    <cellStyle name="Nota 8 3 5 4" xfId="9520"/>
    <cellStyle name="Nota 8 3 5 4 2" xfId="20078"/>
    <cellStyle name="Nota 8 3 5 4 2 2" xfId="49259"/>
    <cellStyle name="Nota 8 3 5 4 3" xfId="38703"/>
    <cellStyle name="Nota 8 3 5 5" xfId="18036"/>
    <cellStyle name="Nota 8 3 5 5 2" xfId="47217"/>
    <cellStyle name="Nota 8 3 5 6" xfId="30517"/>
    <cellStyle name="Nota 8 3 6" xfId="1514"/>
    <cellStyle name="Nota 8 3 6 2" xfId="3314"/>
    <cellStyle name="Nota 8 3 6 2 2" xfId="9575"/>
    <cellStyle name="Nota 8 3 6 2 2 2" xfId="20114"/>
    <cellStyle name="Nota 8 3 6 2 2 2 2" xfId="49295"/>
    <cellStyle name="Nota 8 3 6 2 2 3" xfId="38758"/>
    <cellStyle name="Nota 8 3 6 2 3" xfId="13790"/>
    <cellStyle name="Nota 8 3 6 2 3 2" xfId="42971"/>
    <cellStyle name="Nota 8 3 6 2 4" xfId="32497"/>
    <cellStyle name="Nota 8 3 6 3" xfId="6980"/>
    <cellStyle name="Nota 8 3 6 3 2" xfId="18566"/>
    <cellStyle name="Nota 8 3 6 3 2 2" xfId="47747"/>
    <cellStyle name="Nota 8 3 6 3 3" xfId="36163"/>
    <cellStyle name="Nota 8 3 6 4" xfId="10869"/>
    <cellStyle name="Nota 8 3 6 4 2" xfId="40050"/>
    <cellStyle name="Nota 8 3 6 5" xfId="30697"/>
    <cellStyle name="Nota 8 3 7" xfId="2414"/>
    <cellStyle name="Nota 8 3 7 2" xfId="7244"/>
    <cellStyle name="Nota 8 3 7 2 2" xfId="18704"/>
    <cellStyle name="Nota 8 3 7 2 2 2" xfId="47885"/>
    <cellStyle name="Nota 8 3 7 2 3" xfId="36427"/>
    <cellStyle name="Nota 8 3 7 3" xfId="12009"/>
    <cellStyle name="Nota 8 3 7 3 2" xfId="41190"/>
    <cellStyle name="Nota 8 3 7 4" xfId="31597"/>
    <cellStyle name="Nota 8 3 8" xfId="9412"/>
    <cellStyle name="Nota 8 3 8 2" xfId="20017"/>
    <cellStyle name="Nota 8 3 8 2 2" xfId="49198"/>
    <cellStyle name="Nota 8 3 8 3" xfId="38595"/>
    <cellStyle name="Nota 8 3 9" xfId="17739"/>
    <cellStyle name="Nota 8 3 9 2" xfId="46920"/>
    <cellStyle name="Nota 8 4" xfId="707"/>
    <cellStyle name="Nota 8 4 2" xfId="1674"/>
    <cellStyle name="Nota 8 4 2 2" xfId="3474"/>
    <cellStyle name="Nota 8 4 2 2 2" xfId="9573"/>
    <cellStyle name="Nota 8 4 2 2 2 2" xfId="20112"/>
    <cellStyle name="Nota 8 4 2 2 2 2 2" xfId="49293"/>
    <cellStyle name="Nota 8 4 2 2 2 3" xfId="38756"/>
    <cellStyle name="Nota 8 4 2 2 3" xfId="12097"/>
    <cellStyle name="Nota 8 4 2 2 3 2" xfId="41278"/>
    <cellStyle name="Nota 8 4 2 2 4" xfId="32657"/>
    <cellStyle name="Nota 8 4 2 3" xfId="7312"/>
    <cellStyle name="Nota 8 4 2 3 2" xfId="18744"/>
    <cellStyle name="Nota 8 4 2 3 2 2" xfId="47925"/>
    <cellStyle name="Nota 8 4 2 3 3" xfId="36495"/>
    <cellStyle name="Nota 8 4 2 4" xfId="11717"/>
    <cellStyle name="Nota 8 4 2 4 2" xfId="40898"/>
    <cellStyle name="Nota 8 4 2 5" xfId="30857"/>
    <cellStyle name="Nota 8 4 3" xfId="2574"/>
    <cellStyle name="Nota 8 4 3 2" xfId="7385"/>
    <cellStyle name="Nota 8 4 3 2 2" xfId="18786"/>
    <cellStyle name="Nota 8 4 3 2 2 2" xfId="47967"/>
    <cellStyle name="Nota 8 4 3 2 3" xfId="36568"/>
    <cellStyle name="Nota 8 4 3 3" xfId="13435"/>
    <cellStyle name="Nota 8 4 3 3 2" xfId="42616"/>
    <cellStyle name="Nota 8 4 3 4" xfId="31757"/>
    <cellStyle name="Nota 8 4 4" xfId="8874"/>
    <cellStyle name="Nota 8 4 4 2" xfId="19690"/>
    <cellStyle name="Nota 8 4 4 2 2" xfId="48871"/>
    <cellStyle name="Nota 8 4 4 3" xfId="38057"/>
    <cellStyle name="Nota 8 4 5" xfId="16627"/>
    <cellStyle name="Nota 8 4 5 2" xfId="45808"/>
    <cellStyle name="Nota 8 4 6" xfId="29908"/>
    <cellStyle name="Nota 8 5" xfId="571"/>
    <cellStyle name="Nota 8 5 2" xfId="1587"/>
    <cellStyle name="Nota 8 5 2 2" xfId="3387"/>
    <cellStyle name="Nota 8 5 2 2 2" xfId="9080"/>
    <cellStyle name="Nota 8 5 2 2 2 2" xfId="19815"/>
    <cellStyle name="Nota 8 5 2 2 2 2 2" xfId="48996"/>
    <cellStyle name="Nota 8 5 2 2 2 3" xfId="38263"/>
    <cellStyle name="Nota 8 5 2 2 3" xfId="14795"/>
    <cellStyle name="Nota 8 5 2 2 3 2" xfId="43976"/>
    <cellStyle name="Nota 8 5 2 2 4" xfId="32570"/>
    <cellStyle name="Nota 8 5 2 3" xfId="7966"/>
    <cellStyle name="Nota 8 5 2 3 2" xfId="19142"/>
    <cellStyle name="Nota 8 5 2 3 2 2" xfId="48323"/>
    <cellStyle name="Nota 8 5 2 3 3" xfId="37149"/>
    <cellStyle name="Nota 8 5 2 4" xfId="14091"/>
    <cellStyle name="Nota 8 5 2 4 2" xfId="43272"/>
    <cellStyle name="Nota 8 5 2 5" xfId="30770"/>
    <cellStyle name="Nota 8 5 3" xfId="2487"/>
    <cellStyle name="Nota 8 5 3 2" xfId="8739"/>
    <cellStyle name="Nota 8 5 3 2 2" xfId="19612"/>
    <cellStyle name="Nota 8 5 3 2 2 2" xfId="48793"/>
    <cellStyle name="Nota 8 5 3 2 3" xfId="37922"/>
    <cellStyle name="Nota 8 5 3 3" xfId="17990"/>
    <cellStyle name="Nota 8 5 3 3 2" xfId="47171"/>
    <cellStyle name="Nota 8 5 3 4" xfId="31670"/>
    <cellStyle name="Nota 8 5 4" xfId="9411"/>
    <cellStyle name="Nota 8 5 4 2" xfId="20016"/>
    <cellStyle name="Nota 8 5 4 2 2" xfId="49197"/>
    <cellStyle name="Nota 8 5 4 3" xfId="38594"/>
    <cellStyle name="Nota 8 5 5" xfId="16546"/>
    <cellStyle name="Nota 8 5 5 2" xfId="45727"/>
    <cellStyle name="Nota 8 5 6" xfId="29776"/>
    <cellStyle name="Nota 8 6" xfId="750"/>
    <cellStyle name="Nota 8 6 2" xfId="1692"/>
    <cellStyle name="Nota 8 6 2 2" xfId="3492"/>
    <cellStyle name="Nota 8 6 2 2 2" xfId="8886"/>
    <cellStyle name="Nota 8 6 2 2 2 2" xfId="19698"/>
    <cellStyle name="Nota 8 6 2 2 2 2 2" xfId="48879"/>
    <cellStyle name="Nota 8 6 2 2 2 3" xfId="38069"/>
    <cellStyle name="Nota 8 6 2 2 3" xfId="10887"/>
    <cellStyle name="Nota 8 6 2 2 3 2" xfId="40068"/>
    <cellStyle name="Nota 8 6 2 2 4" xfId="32675"/>
    <cellStyle name="Nota 8 6 2 3" xfId="8473"/>
    <cellStyle name="Nota 8 6 2 3 2" xfId="19458"/>
    <cellStyle name="Nota 8 6 2 3 2 2" xfId="48639"/>
    <cellStyle name="Nota 8 6 2 3 3" xfId="37656"/>
    <cellStyle name="Nota 8 6 2 4" xfId="17462"/>
    <cellStyle name="Nota 8 6 2 4 2" xfId="46643"/>
    <cellStyle name="Nota 8 6 2 5" xfId="30875"/>
    <cellStyle name="Nota 8 6 3" xfId="2592"/>
    <cellStyle name="Nota 8 6 3 2" xfId="9991"/>
    <cellStyle name="Nota 8 6 3 2 2" xfId="20368"/>
    <cellStyle name="Nota 8 6 3 2 2 2" xfId="49549"/>
    <cellStyle name="Nota 8 6 3 2 3" xfId="39174"/>
    <cellStyle name="Nota 8 6 3 3" xfId="15564"/>
    <cellStyle name="Nota 8 6 3 3 2" xfId="44745"/>
    <cellStyle name="Nota 8 6 3 4" xfId="31775"/>
    <cellStyle name="Nota 8 6 4" xfId="7355"/>
    <cellStyle name="Nota 8 6 4 2" xfId="18767"/>
    <cellStyle name="Nota 8 6 4 2 2" xfId="47948"/>
    <cellStyle name="Nota 8 6 4 3" xfId="36538"/>
    <cellStyle name="Nota 8 6 5" xfId="16744"/>
    <cellStyle name="Nota 8 6 5 2" xfId="45925"/>
    <cellStyle name="Nota 8 6 6" xfId="29948"/>
    <cellStyle name="Nota 8 7" xfId="942"/>
    <cellStyle name="Nota 8 7 2" xfId="1856"/>
    <cellStyle name="Nota 8 7 2 2" xfId="3656"/>
    <cellStyle name="Nota 8 7 2 2 2" xfId="8765"/>
    <cellStyle name="Nota 8 7 2 2 2 2" xfId="19628"/>
    <cellStyle name="Nota 8 7 2 2 2 2 2" xfId="48809"/>
    <cellStyle name="Nota 8 7 2 2 2 3" xfId="37948"/>
    <cellStyle name="Nota 8 7 2 2 3" xfId="12827"/>
    <cellStyle name="Nota 8 7 2 2 3 2" xfId="42008"/>
    <cellStyle name="Nota 8 7 2 2 4" xfId="32839"/>
    <cellStyle name="Nota 8 7 2 3" xfId="8324"/>
    <cellStyle name="Nota 8 7 2 3 2" xfId="19360"/>
    <cellStyle name="Nota 8 7 2 3 2 2" xfId="48541"/>
    <cellStyle name="Nota 8 7 2 3 3" xfId="37507"/>
    <cellStyle name="Nota 8 7 2 4" xfId="16515"/>
    <cellStyle name="Nota 8 7 2 4 2" xfId="45696"/>
    <cellStyle name="Nota 8 7 2 5" xfId="31039"/>
    <cellStyle name="Nota 8 7 3" xfId="2756"/>
    <cellStyle name="Nota 8 7 3 2" xfId="9853"/>
    <cellStyle name="Nota 8 7 3 2 2" xfId="20281"/>
    <cellStyle name="Nota 8 7 3 2 2 2" xfId="49462"/>
    <cellStyle name="Nota 8 7 3 2 3" xfId="39036"/>
    <cellStyle name="Nota 8 7 3 3" xfId="14498"/>
    <cellStyle name="Nota 8 7 3 3 2" xfId="43679"/>
    <cellStyle name="Nota 8 7 3 4" xfId="31939"/>
    <cellStyle name="Nota 8 7 4" xfId="7325"/>
    <cellStyle name="Nota 8 7 4 2" xfId="18756"/>
    <cellStyle name="Nota 8 7 4 2 2" xfId="47937"/>
    <cellStyle name="Nota 8 7 4 3" xfId="36508"/>
    <cellStyle name="Nota 8 7 5" xfId="15817"/>
    <cellStyle name="Nota 8 7 5 2" xfId="44998"/>
    <cellStyle name="Nota 8 7 6" xfId="30133"/>
    <cellStyle name="Nota 8 8" xfId="1424"/>
    <cellStyle name="Nota 8 8 2" xfId="3224"/>
    <cellStyle name="Nota 8 8 2 2" xfId="9973"/>
    <cellStyle name="Nota 8 8 2 2 2" xfId="20355"/>
    <cellStyle name="Nota 8 8 2 2 2 2" xfId="49536"/>
    <cellStyle name="Nota 8 8 2 2 3" xfId="39156"/>
    <cellStyle name="Nota 8 8 2 3" xfId="15306"/>
    <cellStyle name="Nota 8 8 2 3 2" xfId="44487"/>
    <cellStyle name="Nota 8 8 2 4" xfId="32407"/>
    <cellStyle name="Nota 8 8 3" xfId="9792"/>
    <cellStyle name="Nota 8 8 3 2" xfId="20241"/>
    <cellStyle name="Nota 8 8 3 2 2" xfId="49422"/>
    <cellStyle name="Nota 8 8 3 3" xfId="38975"/>
    <cellStyle name="Nota 8 8 4" xfId="11503"/>
    <cellStyle name="Nota 8 8 4 2" xfId="40684"/>
    <cellStyle name="Nota 8 8 5" xfId="30607"/>
    <cellStyle name="Nota 8 9" xfId="2324"/>
    <cellStyle name="Nota 8 9 2" xfId="7659"/>
    <cellStyle name="Nota 8 9 2 2" xfId="18953"/>
    <cellStyle name="Nota 8 9 2 2 2" xfId="48134"/>
    <cellStyle name="Nota 8 9 2 3" xfId="36842"/>
    <cellStyle name="Nota 8 9 3" xfId="17138"/>
    <cellStyle name="Nota 8 9 3 2" xfId="46319"/>
    <cellStyle name="Nota 8 9 4" xfId="31507"/>
    <cellStyle name="Nota 9" xfId="334"/>
    <cellStyle name="Nota 9 10" xfId="11809"/>
    <cellStyle name="Nota 9 10 2" xfId="40990"/>
    <cellStyle name="Nota 9 11" xfId="58745"/>
    <cellStyle name="Nota 9 12" xfId="29607"/>
    <cellStyle name="Nota 9 2" xfId="447"/>
    <cellStyle name="Nota 9 2 10" xfId="17702"/>
    <cellStyle name="Nota 9 2 10 2" xfId="46883"/>
    <cellStyle name="Nota 9 2 11" xfId="58790"/>
    <cellStyle name="Nota 9 2 12" xfId="29653"/>
    <cellStyle name="Nota 9 2 2" xfId="537"/>
    <cellStyle name="Nota 9 2 2 10" xfId="29743"/>
    <cellStyle name="Nota 9 2 2 2" xfId="890"/>
    <cellStyle name="Nota 9 2 2 2 2" xfId="1828"/>
    <cellStyle name="Nota 9 2 2 2 2 2" xfId="3628"/>
    <cellStyle name="Nota 9 2 2 2 2 2 2" xfId="9843"/>
    <cellStyle name="Nota 9 2 2 2 2 2 2 2" xfId="20275"/>
    <cellStyle name="Nota 9 2 2 2 2 2 2 2 2" xfId="49456"/>
    <cellStyle name="Nota 9 2 2 2 2 2 2 3" xfId="39026"/>
    <cellStyle name="Nota 9 2 2 2 2 2 3" xfId="17356"/>
    <cellStyle name="Nota 9 2 2 2 2 2 3 2" xfId="46537"/>
    <cellStyle name="Nota 9 2 2 2 2 2 4" xfId="32811"/>
    <cellStyle name="Nota 9 2 2 2 2 3" xfId="9375"/>
    <cellStyle name="Nota 9 2 2 2 2 3 2" xfId="19995"/>
    <cellStyle name="Nota 9 2 2 2 2 3 2 2" xfId="49176"/>
    <cellStyle name="Nota 9 2 2 2 2 3 3" xfId="38558"/>
    <cellStyle name="Nota 9 2 2 2 2 4" xfId="15214"/>
    <cellStyle name="Nota 9 2 2 2 2 4 2" xfId="44395"/>
    <cellStyle name="Nota 9 2 2 2 2 5" xfId="31011"/>
    <cellStyle name="Nota 9 2 2 2 3" xfId="2728"/>
    <cellStyle name="Nota 9 2 2 2 3 2" xfId="7954"/>
    <cellStyle name="Nota 9 2 2 2 3 2 2" xfId="19134"/>
    <cellStyle name="Nota 9 2 2 2 3 2 2 2" xfId="48315"/>
    <cellStyle name="Nota 9 2 2 2 3 2 3" xfId="37137"/>
    <cellStyle name="Nota 9 2 2 2 3 3" xfId="17030"/>
    <cellStyle name="Nota 9 2 2 2 3 3 2" xfId="46211"/>
    <cellStyle name="Nota 9 2 2 2 3 4" xfId="31911"/>
    <cellStyle name="Nota 9 2 2 2 4" xfId="10370"/>
    <cellStyle name="Nota 9 2 2 2 4 2" xfId="20597"/>
    <cellStyle name="Nota 9 2 2 2 4 2 2" xfId="49778"/>
    <cellStyle name="Nota 9 2 2 2 4 3" xfId="39553"/>
    <cellStyle name="Nota 9 2 2 2 5" xfId="12863"/>
    <cellStyle name="Nota 9 2 2 2 5 2" xfId="42044"/>
    <cellStyle name="Nota 9 2 2 2 6" xfId="30087"/>
    <cellStyle name="Nota 9 2 2 3" xfId="1082"/>
    <cellStyle name="Nota 9 2 2 3 2" xfId="1992"/>
    <cellStyle name="Nota 9 2 2 3 2 2" xfId="3792"/>
    <cellStyle name="Nota 9 2 2 3 2 2 2" xfId="8921"/>
    <cellStyle name="Nota 9 2 2 3 2 2 2 2" xfId="19723"/>
    <cellStyle name="Nota 9 2 2 3 2 2 2 2 2" xfId="48904"/>
    <cellStyle name="Nota 9 2 2 3 2 2 2 3" xfId="38104"/>
    <cellStyle name="Nota 9 2 2 3 2 2 3" xfId="17592"/>
    <cellStyle name="Nota 9 2 2 3 2 2 3 2" xfId="46773"/>
    <cellStyle name="Nota 9 2 2 3 2 2 4" xfId="32975"/>
    <cellStyle name="Nota 9 2 2 3 2 3" xfId="7467"/>
    <cellStyle name="Nota 9 2 2 3 2 3 2" xfId="18835"/>
    <cellStyle name="Nota 9 2 2 3 2 3 2 2" xfId="48016"/>
    <cellStyle name="Nota 9 2 2 3 2 3 3" xfId="36650"/>
    <cellStyle name="Nota 9 2 2 3 2 4" xfId="15636"/>
    <cellStyle name="Nota 9 2 2 3 2 4 2" xfId="44817"/>
    <cellStyle name="Nota 9 2 2 3 2 5" xfId="31175"/>
    <cellStyle name="Nota 9 2 2 3 3" xfId="2892"/>
    <cellStyle name="Nota 9 2 2 3 3 2" xfId="7785"/>
    <cellStyle name="Nota 9 2 2 3 3 2 2" xfId="19034"/>
    <cellStyle name="Nota 9 2 2 3 3 2 2 2" xfId="48215"/>
    <cellStyle name="Nota 9 2 2 3 3 2 3" xfId="36968"/>
    <cellStyle name="Nota 9 2 2 3 3 3" xfId="12008"/>
    <cellStyle name="Nota 9 2 2 3 3 3 2" xfId="41189"/>
    <cellStyle name="Nota 9 2 2 3 3 4" xfId="32075"/>
    <cellStyle name="Nota 9 2 2 3 4" xfId="9910"/>
    <cellStyle name="Nota 9 2 2 3 4 2" xfId="20318"/>
    <cellStyle name="Nota 9 2 2 3 4 2 2" xfId="49499"/>
    <cellStyle name="Nota 9 2 2 3 4 3" xfId="39093"/>
    <cellStyle name="Nota 9 2 2 3 5" xfId="11312"/>
    <cellStyle name="Nota 9 2 2 3 5 2" xfId="40493"/>
    <cellStyle name="Nota 9 2 2 3 6" xfId="30272"/>
    <cellStyle name="Nota 9 2 2 4" xfId="1232"/>
    <cellStyle name="Nota 9 2 2 4 2" xfId="2136"/>
    <cellStyle name="Nota 9 2 2 4 2 2" xfId="3936"/>
    <cellStyle name="Nota 9 2 2 4 2 2 2" xfId="7144"/>
    <cellStyle name="Nota 9 2 2 4 2 2 2 2" xfId="18648"/>
    <cellStyle name="Nota 9 2 2 4 2 2 2 2 2" xfId="47829"/>
    <cellStyle name="Nota 9 2 2 4 2 2 2 3" xfId="36327"/>
    <cellStyle name="Nota 9 2 2 4 2 2 3" xfId="16880"/>
    <cellStyle name="Nota 9 2 2 4 2 2 3 2" xfId="46061"/>
    <cellStyle name="Nota 9 2 2 4 2 2 4" xfId="33119"/>
    <cellStyle name="Nota 9 2 2 4 2 3" xfId="9745"/>
    <cellStyle name="Nota 9 2 2 4 2 3 2" xfId="20217"/>
    <cellStyle name="Nota 9 2 2 4 2 3 2 2" xfId="49398"/>
    <cellStyle name="Nota 9 2 2 4 2 3 3" xfId="38928"/>
    <cellStyle name="Nota 9 2 2 4 2 4" xfId="14261"/>
    <cellStyle name="Nota 9 2 2 4 2 4 2" xfId="43442"/>
    <cellStyle name="Nota 9 2 2 4 2 5" xfId="31319"/>
    <cellStyle name="Nota 9 2 2 4 3" xfId="3036"/>
    <cellStyle name="Nota 9 2 2 4 3 2" xfId="8351"/>
    <cellStyle name="Nota 9 2 2 4 3 2 2" xfId="19376"/>
    <cellStyle name="Nota 9 2 2 4 3 2 2 2" xfId="48557"/>
    <cellStyle name="Nota 9 2 2 4 3 2 3" xfId="37534"/>
    <cellStyle name="Nota 9 2 2 4 3 3" xfId="12876"/>
    <cellStyle name="Nota 9 2 2 4 3 3 2" xfId="42057"/>
    <cellStyle name="Nota 9 2 2 4 3 4" xfId="32219"/>
    <cellStyle name="Nota 9 2 2 4 4" xfId="8018"/>
    <cellStyle name="Nota 9 2 2 4 4 2" xfId="19175"/>
    <cellStyle name="Nota 9 2 2 4 4 2 2" xfId="48356"/>
    <cellStyle name="Nota 9 2 2 4 4 3" xfId="37201"/>
    <cellStyle name="Nota 9 2 2 4 5" xfId="12042"/>
    <cellStyle name="Nota 9 2 2 4 5 2" xfId="41223"/>
    <cellStyle name="Nota 9 2 2 4 6" xfId="30419"/>
    <cellStyle name="Nota 9 2 2 5" xfId="1378"/>
    <cellStyle name="Nota 9 2 2 5 2" xfId="2280"/>
    <cellStyle name="Nota 9 2 2 5 2 2" xfId="4080"/>
    <cellStyle name="Nota 9 2 2 5 2 2 2" xfId="7000"/>
    <cellStyle name="Nota 9 2 2 5 2 2 2 2" xfId="18567"/>
    <cellStyle name="Nota 9 2 2 5 2 2 2 2 2" xfId="47748"/>
    <cellStyle name="Nota 9 2 2 5 2 2 2 3" xfId="36183"/>
    <cellStyle name="Nota 9 2 2 5 2 2 3" xfId="13431"/>
    <cellStyle name="Nota 9 2 2 5 2 2 3 2" xfId="42612"/>
    <cellStyle name="Nota 9 2 2 5 2 2 4" xfId="33263"/>
    <cellStyle name="Nota 9 2 2 5 2 3" xfId="7831"/>
    <cellStyle name="Nota 9 2 2 5 2 3 2" xfId="19063"/>
    <cellStyle name="Nota 9 2 2 5 2 3 2 2" xfId="48244"/>
    <cellStyle name="Nota 9 2 2 5 2 3 3" xfId="37014"/>
    <cellStyle name="Nota 9 2 2 5 2 4" xfId="17960"/>
    <cellStyle name="Nota 9 2 2 5 2 4 2" xfId="47141"/>
    <cellStyle name="Nota 9 2 2 5 2 5" xfId="31463"/>
    <cellStyle name="Nota 9 2 2 5 3" xfId="3180"/>
    <cellStyle name="Nota 9 2 2 5 3 2" xfId="7189"/>
    <cellStyle name="Nota 9 2 2 5 3 2 2" xfId="18672"/>
    <cellStyle name="Nota 9 2 2 5 3 2 2 2" xfId="47853"/>
    <cellStyle name="Nota 9 2 2 5 3 2 3" xfId="36372"/>
    <cellStyle name="Nota 9 2 2 5 3 3" xfId="17669"/>
    <cellStyle name="Nota 9 2 2 5 3 3 2" xfId="46850"/>
    <cellStyle name="Nota 9 2 2 5 3 4" xfId="32363"/>
    <cellStyle name="Nota 9 2 2 5 4" xfId="10107"/>
    <cellStyle name="Nota 9 2 2 5 4 2" xfId="20436"/>
    <cellStyle name="Nota 9 2 2 5 4 2 2" xfId="49617"/>
    <cellStyle name="Nota 9 2 2 5 4 3" xfId="39290"/>
    <cellStyle name="Nota 9 2 2 5 5" xfId="18051"/>
    <cellStyle name="Nota 9 2 2 5 5 2" xfId="47232"/>
    <cellStyle name="Nota 9 2 2 5 6" xfId="30563"/>
    <cellStyle name="Nota 9 2 2 6" xfId="1560"/>
    <cellStyle name="Nota 9 2 2 6 2" xfId="3360"/>
    <cellStyle name="Nota 9 2 2 6 2 2" xfId="7947"/>
    <cellStyle name="Nota 9 2 2 6 2 2 2" xfId="19130"/>
    <cellStyle name="Nota 9 2 2 6 2 2 2 2" xfId="48311"/>
    <cellStyle name="Nota 9 2 2 6 2 2 3" xfId="37130"/>
    <cellStyle name="Nota 9 2 2 6 2 3" xfId="16678"/>
    <cellStyle name="Nota 9 2 2 6 2 3 2" xfId="45859"/>
    <cellStyle name="Nota 9 2 2 6 2 4" xfId="32543"/>
    <cellStyle name="Nota 9 2 2 6 3" xfId="8133"/>
    <cellStyle name="Nota 9 2 2 6 3 2" xfId="19243"/>
    <cellStyle name="Nota 9 2 2 6 3 2 2" xfId="48424"/>
    <cellStyle name="Nota 9 2 2 6 3 3" xfId="37316"/>
    <cellStyle name="Nota 9 2 2 6 4" xfId="15824"/>
    <cellStyle name="Nota 9 2 2 6 4 2" xfId="45005"/>
    <cellStyle name="Nota 9 2 2 6 5" xfId="30743"/>
    <cellStyle name="Nota 9 2 2 7" xfId="2460"/>
    <cellStyle name="Nota 9 2 2 7 2" xfId="8898"/>
    <cellStyle name="Nota 9 2 2 7 2 2" xfId="19706"/>
    <cellStyle name="Nota 9 2 2 7 2 2 2" xfId="48887"/>
    <cellStyle name="Nota 9 2 2 7 2 3" xfId="38081"/>
    <cellStyle name="Nota 9 2 2 7 3" xfId="15137"/>
    <cellStyle name="Nota 9 2 2 7 3 2" xfId="44318"/>
    <cellStyle name="Nota 9 2 2 7 4" xfId="31643"/>
    <cellStyle name="Nota 9 2 2 8" xfId="7733"/>
    <cellStyle name="Nota 9 2 2 8 2" xfId="19001"/>
    <cellStyle name="Nota 9 2 2 8 2 2" xfId="48182"/>
    <cellStyle name="Nota 9 2 2 8 3" xfId="36916"/>
    <cellStyle name="Nota 9 2 2 9" xfId="16857"/>
    <cellStyle name="Nota 9 2 2 9 2" xfId="46038"/>
    <cellStyle name="Nota 9 2 3" xfId="800"/>
    <cellStyle name="Nota 9 2 3 2" xfId="1738"/>
    <cellStyle name="Nota 9 2 3 2 2" xfId="3538"/>
    <cellStyle name="Nota 9 2 3 2 2 2" xfId="7558"/>
    <cellStyle name="Nota 9 2 3 2 2 2 2" xfId="18891"/>
    <cellStyle name="Nota 9 2 3 2 2 2 2 2" xfId="48072"/>
    <cellStyle name="Nota 9 2 3 2 2 2 3" xfId="36741"/>
    <cellStyle name="Nota 9 2 3 2 2 3" xfId="12799"/>
    <cellStyle name="Nota 9 2 3 2 2 3 2" xfId="41980"/>
    <cellStyle name="Nota 9 2 3 2 2 4" xfId="32721"/>
    <cellStyle name="Nota 9 2 3 2 3" xfId="8983"/>
    <cellStyle name="Nota 9 2 3 2 3 2" xfId="19760"/>
    <cellStyle name="Nota 9 2 3 2 3 2 2" xfId="48941"/>
    <cellStyle name="Nota 9 2 3 2 3 3" xfId="38166"/>
    <cellStyle name="Nota 9 2 3 2 4" xfId="14586"/>
    <cellStyle name="Nota 9 2 3 2 4 2" xfId="43767"/>
    <cellStyle name="Nota 9 2 3 2 5" xfId="30921"/>
    <cellStyle name="Nota 9 2 3 3" xfId="2638"/>
    <cellStyle name="Nota 9 2 3 3 2" xfId="10510"/>
    <cellStyle name="Nota 9 2 3 3 2 2" xfId="20684"/>
    <cellStyle name="Nota 9 2 3 3 2 2 2" xfId="49865"/>
    <cellStyle name="Nota 9 2 3 3 2 3" xfId="39693"/>
    <cellStyle name="Nota 9 2 3 3 3" xfId="13960"/>
    <cellStyle name="Nota 9 2 3 3 3 2" xfId="43141"/>
    <cellStyle name="Nota 9 2 3 3 4" xfId="31821"/>
    <cellStyle name="Nota 9 2 3 4" xfId="8484"/>
    <cellStyle name="Nota 9 2 3 4 2" xfId="19464"/>
    <cellStyle name="Nota 9 2 3 4 2 2" xfId="48645"/>
    <cellStyle name="Nota 9 2 3 4 3" xfId="37667"/>
    <cellStyle name="Nota 9 2 3 5" xfId="17982"/>
    <cellStyle name="Nota 9 2 3 5 2" xfId="47163"/>
    <cellStyle name="Nota 9 2 3 6" xfId="29997"/>
    <cellStyle name="Nota 9 2 4" xfId="992"/>
    <cellStyle name="Nota 9 2 4 2" xfId="1902"/>
    <cellStyle name="Nota 9 2 4 2 2" xfId="3702"/>
    <cellStyle name="Nota 9 2 4 2 2 2" xfId="7565"/>
    <cellStyle name="Nota 9 2 4 2 2 2 2" xfId="18896"/>
    <cellStyle name="Nota 9 2 4 2 2 2 2 2" xfId="48077"/>
    <cellStyle name="Nota 9 2 4 2 2 2 3" xfId="36748"/>
    <cellStyle name="Nota 9 2 4 2 2 3" xfId="15304"/>
    <cellStyle name="Nota 9 2 4 2 2 3 2" xfId="44485"/>
    <cellStyle name="Nota 9 2 4 2 2 4" xfId="32885"/>
    <cellStyle name="Nota 9 2 4 2 3" xfId="8861"/>
    <cellStyle name="Nota 9 2 4 2 3 2" xfId="19683"/>
    <cellStyle name="Nota 9 2 4 2 3 2 2" xfId="48864"/>
    <cellStyle name="Nota 9 2 4 2 3 3" xfId="38044"/>
    <cellStyle name="Nota 9 2 4 2 4" xfId="11201"/>
    <cellStyle name="Nota 9 2 4 2 4 2" xfId="40382"/>
    <cellStyle name="Nota 9 2 4 2 5" xfId="31085"/>
    <cellStyle name="Nota 9 2 4 3" xfId="2802"/>
    <cellStyle name="Nota 9 2 4 3 2" xfId="10388"/>
    <cellStyle name="Nota 9 2 4 3 2 2" xfId="20607"/>
    <cellStyle name="Nota 9 2 4 3 2 2 2" xfId="49788"/>
    <cellStyle name="Nota 9 2 4 3 2 3" xfId="39571"/>
    <cellStyle name="Nota 9 2 4 3 3" xfId="16696"/>
    <cellStyle name="Nota 9 2 4 3 3 2" xfId="45877"/>
    <cellStyle name="Nota 9 2 4 3 4" xfId="31985"/>
    <cellStyle name="Nota 9 2 4 4" xfId="8021"/>
    <cellStyle name="Nota 9 2 4 4 2" xfId="19177"/>
    <cellStyle name="Nota 9 2 4 4 2 2" xfId="48358"/>
    <cellStyle name="Nota 9 2 4 4 3" xfId="37204"/>
    <cellStyle name="Nota 9 2 4 5" xfId="13349"/>
    <cellStyle name="Nota 9 2 4 5 2" xfId="42530"/>
    <cellStyle name="Nota 9 2 4 6" xfId="30182"/>
    <cellStyle name="Nota 9 2 5" xfId="1142"/>
    <cellStyle name="Nota 9 2 5 2" xfId="2046"/>
    <cellStyle name="Nota 9 2 5 2 2" xfId="3846"/>
    <cellStyle name="Nota 9 2 5 2 2 2" xfId="7370"/>
    <cellStyle name="Nota 9 2 5 2 2 2 2" xfId="18778"/>
    <cellStyle name="Nota 9 2 5 2 2 2 2 2" xfId="47959"/>
    <cellStyle name="Nota 9 2 5 2 2 2 3" xfId="36553"/>
    <cellStyle name="Nota 9 2 5 2 2 3" xfId="13986"/>
    <cellStyle name="Nota 9 2 5 2 2 3 2" xfId="43167"/>
    <cellStyle name="Nota 9 2 5 2 2 4" xfId="33029"/>
    <cellStyle name="Nota 9 2 5 2 3" xfId="10200"/>
    <cellStyle name="Nota 9 2 5 2 3 2" xfId="20491"/>
    <cellStyle name="Nota 9 2 5 2 3 2 2" xfId="49672"/>
    <cellStyle name="Nota 9 2 5 2 3 3" xfId="39383"/>
    <cellStyle name="Nota 9 2 5 2 4" xfId="11469"/>
    <cellStyle name="Nota 9 2 5 2 4 2" xfId="40650"/>
    <cellStyle name="Nota 9 2 5 2 5" xfId="31229"/>
    <cellStyle name="Nota 9 2 5 3" xfId="2946"/>
    <cellStyle name="Nota 9 2 5 3 2" xfId="9424"/>
    <cellStyle name="Nota 9 2 5 3 2 2" xfId="20024"/>
    <cellStyle name="Nota 9 2 5 3 2 2 2" xfId="49205"/>
    <cellStyle name="Nota 9 2 5 3 2 3" xfId="38607"/>
    <cellStyle name="Nota 9 2 5 3 3" xfId="16205"/>
    <cellStyle name="Nota 9 2 5 3 3 2" xfId="45386"/>
    <cellStyle name="Nota 9 2 5 3 4" xfId="32129"/>
    <cellStyle name="Nota 9 2 5 4" xfId="9067"/>
    <cellStyle name="Nota 9 2 5 4 2" xfId="19805"/>
    <cellStyle name="Nota 9 2 5 4 2 2" xfId="48986"/>
    <cellStyle name="Nota 9 2 5 4 3" xfId="38250"/>
    <cellStyle name="Nota 9 2 5 5" xfId="17098"/>
    <cellStyle name="Nota 9 2 5 5 2" xfId="46279"/>
    <cellStyle name="Nota 9 2 5 6" xfId="30329"/>
    <cellStyle name="Nota 9 2 6" xfId="1288"/>
    <cellStyle name="Nota 9 2 6 2" xfId="2190"/>
    <cellStyle name="Nota 9 2 6 2 2" xfId="3990"/>
    <cellStyle name="Nota 9 2 6 2 2 2" xfId="7090"/>
    <cellStyle name="Nota 9 2 6 2 2 2 2" xfId="18621"/>
    <cellStyle name="Nota 9 2 6 2 2 2 2 2" xfId="47802"/>
    <cellStyle name="Nota 9 2 6 2 2 2 3" xfId="36273"/>
    <cellStyle name="Nota 9 2 6 2 2 3" xfId="13239"/>
    <cellStyle name="Nota 9 2 6 2 2 3 2" xfId="42420"/>
    <cellStyle name="Nota 9 2 6 2 2 4" xfId="33173"/>
    <cellStyle name="Nota 9 2 6 2 3" xfId="10097"/>
    <cellStyle name="Nota 9 2 6 2 3 2" xfId="20430"/>
    <cellStyle name="Nota 9 2 6 2 3 2 2" xfId="49611"/>
    <cellStyle name="Nota 9 2 6 2 3 3" xfId="39280"/>
    <cellStyle name="Nota 9 2 6 2 4" xfId="13675"/>
    <cellStyle name="Nota 9 2 6 2 4 2" xfId="42856"/>
    <cellStyle name="Nota 9 2 6 2 5" xfId="31373"/>
    <cellStyle name="Nota 9 2 6 3" xfId="3090"/>
    <cellStyle name="Nota 9 2 6 3 2" xfId="9322"/>
    <cellStyle name="Nota 9 2 6 3 2 2" xfId="19964"/>
    <cellStyle name="Nota 9 2 6 3 2 2 2" xfId="49145"/>
    <cellStyle name="Nota 9 2 6 3 2 3" xfId="38505"/>
    <cellStyle name="Nota 9 2 6 3 3" xfId="12474"/>
    <cellStyle name="Nota 9 2 6 3 3 2" xfId="41655"/>
    <cellStyle name="Nota 9 2 6 3 4" xfId="32273"/>
    <cellStyle name="Nota 9 2 6 4" xfId="8175"/>
    <cellStyle name="Nota 9 2 6 4 2" xfId="19271"/>
    <cellStyle name="Nota 9 2 6 4 2 2" xfId="48452"/>
    <cellStyle name="Nota 9 2 6 4 3" xfId="37358"/>
    <cellStyle name="Nota 9 2 6 5" xfId="11805"/>
    <cellStyle name="Nota 9 2 6 5 2" xfId="40986"/>
    <cellStyle name="Nota 9 2 6 6" xfId="30473"/>
    <cellStyle name="Nota 9 2 7" xfId="1470"/>
    <cellStyle name="Nota 9 2 7 2" xfId="3270"/>
    <cellStyle name="Nota 9 2 7 2 2" xfId="10503"/>
    <cellStyle name="Nota 9 2 7 2 2 2" xfId="20679"/>
    <cellStyle name="Nota 9 2 7 2 2 2 2" xfId="49860"/>
    <cellStyle name="Nota 9 2 7 2 2 3" xfId="39686"/>
    <cellStyle name="Nota 9 2 7 2 3" xfId="12240"/>
    <cellStyle name="Nota 9 2 7 2 3 2" xfId="41421"/>
    <cellStyle name="Nota 9 2 7 2 4" xfId="32453"/>
    <cellStyle name="Nota 9 2 7 3" xfId="10325"/>
    <cellStyle name="Nota 9 2 7 3 2" xfId="20567"/>
    <cellStyle name="Nota 9 2 7 3 2 2" xfId="49748"/>
    <cellStyle name="Nota 9 2 7 3 3" xfId="39508"/>
    <cellStyle name="Nota 9 2 7 4" xfId="12070"/>
    <cellStyle name="Nota 9 2 7 4 2" xfId="41251"/>
    <cellStyle name="Nota 9 2 7 5" xfId="30653"/>
    <cellStyle name="Nota 9 2 8" xfId="2370"/>
    <cellStyle name="Nota 9 2 8 2" xfId="7268"/>
    <cellStyle name="Nota 9 2 8 2 2" xfId="18724"/>
    <cellStyle name="Nota 9 2 8 2 2 2" xfId="47905"/>
    <cellStyle name="Nota 9 2 8 2 3" xfId="36451"/>
    <cellStyle name="Nota 9 2 8 3" xfId="13703"/>
    <cellStyle name="Nota 9 2 8 3 2" xfId="42884"/>
    <cellStyle name="Nota 9 2 8 4" xfId="31553"/>
    <cellStyle name="Nota 9 2 9" xfId="10335"/>
    <cellStyle name="Nota 9 2 9 2" xfId="20575"/>
    <cellStyle name="Nota 9 2 9 2 2" xfId="49756"/>
    <cellStyle name="Nota 9 2 9 3" xfId="39518"/>
    <cellStyle name="Nota 9 3" xfId="492"/>
    <cellStyle name="Nota 9 3 10" xfId="29698"/>
    <cellStyle name="Nota 9 3 2" xfId="845"/>
    <cellStyle name="Nota 9 3 2 2" xfId="1783"/>
    <cellStyle name="Nota 9 3 2 2 2" xfId="3583"/>
    <cellStyle name="Nota 9 3 2 2 2 2" xfId="10046"/>
    <cellStyle name="Nota 9 3 2 2 2 2 2" xfId="20399"/>
    <cellStyle name="Nota 9 3 2 2 2 2 2 2" xfId="49580"/>
    <cellStyle name="Nota 9 3 2 2 2 2 3" xfId="39229"/>
    <cellStyle name="Nota 9 3 2 2 2 3" xfId="15919"/>
    <cellStyle name="Nota 9 3 2 2 2 3 2" xfId="45100"/>
    <cellStyle name="Nota 9 3 2 2 2 4" xfId="32766"/>
    <cellStyle name="Nota 9 3 2 2 3" xfId="8823"/>
    <cellStyle name="Nota 9 3 2 2 3 2" xfId="19662"/>
    <cellStyle name="Nota 9 3 2 2 3 2 2" xfId="48843"/>
    <cellStyle name="Nota 9 3 2 2 3 3" xfId="38006"/>
    <cellStyle name="Nota 9 3 2 2 4" xfId="13631"/>
    <cellStyle name="Nota 9 3 2 2 4 2" xfId="42812"/>
    <cellStyle name="Nota 9 3 2 2 5" xfId="30966"/>
    <cellStyle name="Nota 9 3 2 3" xfId="2683"/>
    <cellStyle name="Nota 9 3 2 3 2" xfId="10350"/>
    <cellStyle name="Nota 9 3 2 3 2 2" xfId="20583"/>
    <cellStyle name="Nota 9 3 2 3 2 2 2" xfId="49764"/>
    <cellStyle name="Nota 9 3 2 3 2 3" xfId="39533"/>
    <cellStyle name="Nota 9 3 2 3 3" xfId="12320"/>
    <cellStyle name="Nota 9 3 2 3 3 2" xfId="41501"/>
    <cellStyle name="Nota 9 3 2 3 4" xfId="31866"/>
    <cellStyle name="Nota 9 3 2 4" xfId="10529"/>
    <cellStyle name="Nota 9 3 2 4 2" xfId="20695"/>
    <cellStyle name="Nota 9 3 2 4 2 2" xfId="49876"/>
    <cellStyle name="Nota 9 3 2 4 3" xfId="39712"/>
    <cellStyle name="Nota 9 3 2 5" xfId="16293"/>
    <cellStyle name="Nota 9 3 2 5 2" xfId="45474"/>
    <cellStyle name="Nota 9 3 2 6" xfId="30042"/>
    <cellStyle name="Nota 9 3 3" xfId="1037"/>
    <cellStyle name="Nota 9 3 3 2" xfId="1947"/>
    <cellStyle name="Nota 9 3 3 2 2" xfId="3747"/>
    <cellStyle name="Nota 9 3 3 2 2 2" xfId="9880"/>
    <cellStyle name="Nota 9 3 3 2 2 2 2" xfId="20297"/>
    <cellStyle name="Nota 9 3 3 2 2 2 2 2" xfId="49478"/>
    <cellStyle name="Nota 9 3 3 2 2 2 3" xfId="39063"/>
    <cellStyle name="Nota 9 3 3 2 2 3" xfId="10634"/>
    <cellStyle name="Nota 9 3 3 2 2 3 2" xfId="39815"/>
    <cellStyle name="Nota 9 3 3 2 2 4" xfId="32930"/>
    <cellStyle name="Nota 9 3 3 2 3" xfId="8704"/>
    <cellStyle name="Nota 9 3 3 2 3 2" xfId="19590"/>
    <cellStyle name="Nota 9 3 3 2 3 2 2" xfId="48771"/>
    <cellStyle name="Nota 9 3 3 2 3 3" xfId="37887"/>
    <cellStyle name="Nota 9 3 3 2 4" xfId="13182"/>
    <cellStyle name="Nota 9 3 3 2 4 2" xfId="42363"/>
    <cellStyle name="Nota 9 3 3 2 5" xfId="31130"/>
    <cellStyle name="Nota 9 3 3 3" xfId="2847"/>
    <cellStyle name="Nota 9 3 3 3 2" xfId="10231"/>
    <cellStyle name="Nota 9 3 3 3 2 2" xfId="20507"/>
    <cellStyle name="Nota 9 3 3 3 2 2 2" xfId="49688"/>
    <cellStyle name="Nota 9 3 3 3 2 3" xfId="39414"/>
    <cellStyle name="Nota 9 3 3 3 3" xfId="17074"/>
    <cellStyle name="Nota 9 3 3 3 3 2" xfId="46255"/>
    <cellStyle name="Nota 9 3 3 3 4" xfId="32030"/>
    <cellStyle name="Nota 9 3 3 4" xfId="7489"/>
    <cellStyle name="Nota 9 3 3 4 2" xfId="18847"/>
    <cellStyle name="Nota 9 3 3 4 2 2" xfId="48028"/>
    <cellStyle name="Nota 9 3 3 4 3" xfId="36672"/>
    <cellStyle name="Nota 9 3 3 5" xfId="17176"/>
    <cellStyle name="Nota 9 3 3 5 2" xfId="46357"/>
    <cellStyle name="Nota 9 3 3 6" xfId="30227"/>
    <cellStyle name="Nota 9 3 4" xfId="1187"/>
    <cellStyle name="Nota 9 3 4 2" xfId="2091"/>
    <cellStyle name="Nota 9 3 4 2 2" xfId="3891"/>
    <cellStyle name="Nota 9 3 4 2 2 2" xfId="10417"/>
    <cellStyle name="Nota 9 3 4 2 2 2 2" xfId="20624"/>
    <cellStyle name="Nota 9 3 4 2 2 2 2 2" xfId="49805"/>
    <cellStyle name="Nota 9 3 4 2 2 2 3" xfId="39600"/>
    <cellStyle name="Nota 9 3 4 2 2 3" xfId="12351"/>
    <cellStyle name="Nota 9 3 4 2 2 3 2" xfId="41532"/>
    <cellStyle name="Nota 9 3 4 2 2 4" xfId="33074"/>
    <cellStyle name="Nota 9 3 4 2 3" xfId="10004"/>
    <cellStyle name="Nota 9 3 4 2 3 2" xfId="20376"/>
    <cellStyle name="Nota 9 3 4 2 3 2 2" xfId="49557"/>
    <cellStyle name="Nota 9 3 4 2 3 3" xfId="39187"/>
    <cellStyle name="Nota 9 3 4 2 4" xfId="15205"/>
    <cellStyle name="Nota 9 3 4 2 4 2" xfId="44386"/>
    <cellStyle name="Nota 9 3 4 2 5" xfId="31274"/>
    <cellStyle name="Nota 9 3 4 3" xfId="2991"/>
    <cellStyle name="Nota 9 3 4 3 2" xfId="9220"/>
    <cellStyle name="Nota 9 3 4 3 2 2" xfId="19903"/>
    <cellStyle name="Nota 9 3 4 3 2 2 2" xfId="49084"/>
    <cellStyle name="Nota 9 3 4 3 2 3" xfId="38403"/>
    <cellStyle name="Nota 9 3 4 3 3" xfId="10753"/>
    <cellStyle name="Nota 9 3 4 3 3 2" xfId="39934"/>
    <cellStyle name="Nota 9 3 4 3 4" xfId="32174"/>
    <cellStyle name="Nota 9 3 4 4" xfId="10171"/>
    <cellStyle name="Nota 9 3 4 4 2" xfId="20472"/>
    <cellStyle name="Nota 9 3 4 4 2 2" xfId="49653"/>
    <cellStyle name="Nota 9 3 4 4 3" xfId="39354"/>
    <cellStyle name="Nota 9 3 4 5" xfId="17324"/>
    <cellStyle name="Nota 9 3 4 5 2" xfId="46505"/>
    <cellStyle name="Nota 9 3 4 6" xfId="30374"/>
    <cellStyle name="Nota 9 3 5" xfId="1333"/>
    <cellStyle name="Nota 9 3 5 2" xfId="2235"/>
    <cellStyle name="Nota 9 3 5 2 2" xfId="4035"/>
    <cellStyle name="Nota 9 3 5 2 2 2" xfId="7045"/>
    <cellStyle name="Nota 9 3 5 2 2 2 2" xfId="18594"/>
    <cellStyle name="Nota 9 3 5 2 2 2 2 2" xfId="47775"/>
    <cellStyle name="Nota 9 3 5 2 2 2 3" xfId="36228"/>
    <cellStyle name="Nota 9 3 5 2 2 3" xfId="12241"/>
    <cellStyle name="Nota 9 3 5 2 2 3 2" xfId="41422"/>
    <cellStyle name="Nota 9 3 5 2 2 4" xfId="33218"/>
    <cellStyle name="Nota 9 3 5 2 3" xfId="7304"/>
    <cellStyle name="Nota 9 3 5 2 3 2" xfId="18741"/>
    <cellStyle name="Nota 9 3 5 2 3 2 2" xfId="47922"/>
    <cellStyle name="Nota 9 3 5 2 3 3" xfId="36487"/>
    <cellStyle name="Nota 9 3 5 2 4" xfId="11438"/>
    <cellStyle name="Nota 9 3 5 2 4 2" xfId="40619"/>
    <cellStyle name="Nota 9 3 5 2 5" xfId="31418"/>
    <cellStyle name="Nota 9 3 5 3" xfId="3135"/>
    <cellStyle name="Nota 9 3 5 3 2" xfId="7234"/>
    <cellStyle name="Nota 9 3 5 3 2 2" xfId="18699"/>
    <cellStyle name="Nota 9 3 5 3 2 2 2" xfId="47880"/>
    <cellStyle name="Nota 9 3 5 3 2 3" xfId="36417"/>
    <cellStyle name="Nota 9 3 5 3 3" xfId="17821"/>
    <cellStyle name="Nota 9 3 5 3 3 2" xfId="47002"/>
    <cellStyle name="Nota 9 3 5 3 4" xfId="32318"/>
    <cellStyle name="Nota 9 3 5 4" xfId="10287"/>
    <cellStyle name="Nota 9 3 5 4 2" xfId="20542"/>
    <cellStyle name="Nota 9 3 5 4 2 2" xfId="49723"/>
    <cellStyle name="Nota 9 3 5 4 3" xfId="39470"/>
    <cellStyle name="Nota 9 3 5 5" xfId="16631"/>
    <cellStyle name="Nota 9 3 5 5 2" xfId="45812"/>
    <cellStyle name="Nota 9 3 5 6" xfId="30518"/>
    <cellStyle name="Nota 9 3 6" xfId="1515"/>
    <cellStyle name="Nota 9 3 6 2" xfId="3315"/>
    <cellStyle name="Nota 9 3 6 2 2" xfId="10343"/>
    <cellStyle name="Nota 9 3 6 2 2 2" xfId="20579"/>
    <cellStyle name="Nota 9 3 6 2 2 2 2" xfId="49760"/>
    <cellStyle name="Nota 9 3 6 2 2 3" xfId="39526"/>
    <cellStyle name="Nota 9 3 6 2 3" xfId="15797"/>
    <cellStyle name="Nota 9 3 6 2 3 2" xfId="44978"/>
    <cellStyle name="Nota 9 3 6 2 4" xfId="32498"/>
    <cellStyle name="Nota 9 3 6 3" xfId="9024"/>
    <cellStyle name="Nota 9 3 6 3 2" xfId="19778"/>
    <cellStyle name="Nota 9 3 6 3 2 2" xfId="48959"/>
    <cellStyle name="Nota 9 3 6 3 3" xfId="38207"/>
    <cellStyle name="Nota 9 3 6 4" xfId="11114"/>
    <cellStyle name="Nota 9 3 6 4 2" xfId="40295"/>
    <cellStyle name="Nota 9 3 6 5" xfId="30698"/>
    <cellStyle name="Nota 9 3 7" xfId="2415"/>
    <cellStyle name="Nota 9 3 7 2" xfId="7243"/>
    <cellStyle name="Nota 9 3 7 2 2" xfId="18703"/>
    <cellStyle name="Nota 9 3 7 2 2 2" xfId="47884"/>
    <cellStyle name="Nota 9 3 7 2 3" xfId="36426"/>
    <cellStyle name="Nota 9 3 7 3" xfId="11379"/>
    <cellStyle name="Nota 9 3 7 3 2" xfId="40560"/>
    <cellStyle name="Nota 9 3 7 4" xfId="31598"/>
    <cellStyle name="Nota 9 3 8" xfId="10179"/>
    <cellStyle name="Nota 9 3 8 2" xfId="20478"/>
    <cellStyle name="Nota 9 3 8 2 2" xfId="49659"/>
    <cellStyle name="Nota 9 3 8 3" xfId="39362"/>
    <cellStyle name="Nota 9 3 9" xfId="13084"/>
    <cellStyle name="Nota 9 3 9 2" xfId="42265"/>
    <cellStyle name="Nota 9 4" xfId="708"/>
    <cellStyle name="Nota 9 4 2" xfId="1675"/>
    <cellStyle name="Nota 9 4 2 2" xfId="3475"/>
    <cellStyle name="Nota 9 4 2 2 2" xfId="10341"/>
    <cellStyle name="Nota 9 4 2 2 2 2" xfId="20577"/>
    <cellStyle name="Nota 9 4 2 2 2 2 2" xfId="49758"/>
    <cellStyle name="Nota 9 4 2 2 2 3" xfId="39524"/>
    <cellStyle name="Nota 9 4 2 2 3" xfId="17496"/>
    <cellStyle name="Nota 9 4 2 2 3 2" xfId="46677"/>
    <cellStyle name="Nota 9 4 2 2 4" xfId="32658"/>
    <cellStyle name="Nota 9 4 2 3" xfId="9022"/>
    <cellStyle name="Nota 9 4 2 3 2" xfId="19776"/>
    <cellStyle name="Nota 9 4 2 3 2 2" xfId="48957"/>
    <cellStyle name="Nota 9 4 2 3 3" xfId="38205"/>
    <cellStyle name="Nota 9 4 2 4" xfId="11056"/>
    <cellStyle name="Nota 9 4 2 4 2" xfId="40237"/>
    <cellStyle name="Nota 9 4 2 5" xfId="30858"/>
    <cellStyle name="Nota 9 4 3" xfId="2575"/>
    <cellStyle name="Nota 9 4 3 2" xfId="7241"/>
    <cellStyle name="Nota 9 4 3 2 2" xfId="18701"/>
    <cellStyle name="Nota 9 4 3 2 2 2" xfId="47882"/>
    <cellStyle name="Nota 9 4 3 2 3" xfId="36424"/>
    <cellStyle name="Nota 9 4 3 3" xfId="15807"/>
    <cellStyle name="Nota 9 4 3 3 2" xfId="44988"/>
    <cellStyle name="Nota 9 4 3 4" xfId="31758"/>
    <cellStyle name="Nota 9 4 4" xfId="8099"/>
    <cellStyle name="Nota 9 4 4 2" xfId="19220"/>
    <cellStyle name="Nota 9 4 4 2 2" xfId="48401"/>
    <cellStyle name="Nota 9 4 4 3" xfId="37282"/>
    <cellStyle name="Nota 9 4 5" xfId="12744"/>
    <cellStyle name="Nota 9 4 5 2" xfId="41925"/>
    <cellStyle name="Nota 9 4 6" xfId="29909"/>
    <cellStyle name="Nota 9 5" xfId="570"/>
    <cellStyle name="Nota 9 5 2" xfId="1586"/>
    <cellStyle name="Nota 9 5 2 2" xfId="3386"/>
    <cellStyle name="Nota 9 5 2 2 2" xfId="7572"/>
    <cellStyle name="Nota 9 5 2 2 2 2" xfId="18901"/>
    <cellStyle name="Nota 9 5 2 2 2 2 2" xfId="48082"/>
    <cellStyle name="Nota 9 5 2 2 2 3" xfId="36755"/>
    <cellStyle name="Nota 9 5 2 2 3" xfId="17351"/>
    <cellStyle name="Nota 9 5 2 2 3 2" xfId="46532"/>
    <cellStyle name="Nota 9 5 2 2 4" xfId="32569"/>
    <cellStyle name="Nota 9 5 2 3" xfId="8748"/>
    <cellStyle name="Nota 9 5 2 3 2" xfId="19618"/>
    <cellStyle name="Nota 9 5 2 3 2 2" xfId="48799"/>
    <cellStyle name="Nota 9 5 2 3 3" xfId="37931"/>
    <cellStyle name="Nota 9 5 2 4" xfId="16859"/>
    <cellStyle name="Nota 9 5 2 4 2" xfId="46040"/>
    <cellStyle name="Nota 9 5 2 5" xfId="30769"/>
    <cellStyle name="Nota 9 5 3" xfId="2486"/>
    <cellStyle name="Nota 9 5 3 2" xfId="10275"/>
    <cellStyle name="Nota 9 5 3 2 2" xfId="20534"/>
    <cellStyle name="Nota 9 5 3 2 2 2" xfId="49715"/>
    <cellStyle name="Nota 9 5 3 2 3" xfId="39458"/>
    <cellStyle name="Nota 9 5 3 3" xfId="11337"/>
    <cellStyle name="Nota 9 5 3 3 2" xfId="40518"/>
    <cellStyle name="Nota 9 5 3 4" xfId="31669"/>
    <cellStyle name="Nota 9 5 4" xfId="7986"/>
    <cellStyle name="Nota 9 5 4 2" xfId="19154"/>
    <cellStyle name="Nota 9 5 4 2 2" xfId="48335"/>
    <cellStyle name="Nota 9 5 4 3" xfId="37169"/>
    <cellStyle name="Nota 9 5 5" xfId="17855"/>
    <cellStyle name="Nota 9 5 5 2" xfId="47036"/>
    <cellStyle name="Nota 9 5 6" xfId="29775"/>
    <cellStyle name="Nota 9 6" xfId="751"/>
    <cellStyle name="Nota 9 6 2" xfId="1693"/>
    <cellStyle name="Nota 9 6 2 2" xfId="3493"/>
    <cellStyle name="Nota 9 6 2 2 2" xfId="8112"/>
    <cellStyle name="Nota 9 6 2 2 2 2" xfId="19230"/>
    <cellStyle name="Nota 9 6 2 2 2 2 2" xfId="48411"/>
    <cellStyle name="Nota 9 6 2 2 2 3" xfId="37295"/>
    <cellStyle name="Nota 9 6 2 2 3" xfId="17469"/>
    <cellStyle name="Nota 9 6 2 2 3 2" xfId="46650"/>
    <cellStyle name="Nota 9 6 2 2 4" xfId="32676"/>
    <cellStyle name="Nota 9 6 2 3" xfId="7635"/>
    <cellStyle name="Nota 9 6 2 3 2" xfId="18940"/>
    <cellStyle name="Nota 9 6 2 3 2 2" xfId="48121"/>
    <cellStyle name="Nota 9 6 2 3 3" xfId="36818"/>
    <cellStyle name="Nota 9 6 2 4" xfId="14422"/>
    <cellStyle name="Nota 9 6 2 4 2" xfId="43603"/>
    <cellStyle name="Nota 9 6 2 5" xfId="30876"/>
    <cellStyle name="Nota 9 6 3" xfId="2593"/>
    <cellStyle name="Nota 9 6 3 2" xfId="8455"/>
    <cellStyle name="Nota 9 6 3 2 2" xfId="19446"/>
    <cellStyle name="Nota 9 6 3 2 2 2" xfId="48627"/>
    <cellStyle name="Nota 9 6 3 2 3" xfId="37638"/>
    <cellStyle name="Nota 9 6 3 3" xfId="13314"/>
    <cellStyle name="Nota 9 6 3 3 2" xfId="42495"/>
    <cellStyle name="Nota 9 6 3 4" xfId="31776"/>
    <cellStyle name="Nota 9 6 4" xfId="7354"/>
    <cellStyle name="Nota 9 6 4 2" xfId="18766"/>
    <cellStyle name="Nota 9 6 4 2 2" xfId="47947"/>
    <cellStyle name="Nota 9 6 4 3" xfId="36537"/>
    <cellStyle name="Nota 9 6 5" xfId="12681"/>
    <cellStyle name="Nota 9 6 5 2" xfId="41862"/>
    <cellStyle name="Nota 9 6 6" xfId="29949"/>
    <cellStyle name="Nota 9 7" xfId="943"/>
    <cellStyle name="Nota 9 7 2" xfId="1857"/>
    <cellStyle name="Nota 9 7 2 2" xfId="3657"/>
    <cellStyle name="Nota 9 7 2 2 2" xfId="7991"/>
    <cellStyle name="Nota 9 7 2 2 2 2" xfId="19157"/>
    <cellStyle name="Nota 9 7 2 2 2 2 2" xfId="48338"/>
    <cellStyle name="Nota 9 7 2 2 2 3" xfId="37174"/>
    <cellStyle name="Nota 9 7 2 2 3" xfId="11556"/>
    <cellStyle name="Nota 9 7 2 2 3 2" xfId="40737"/>
    <cellStyle name="Nota 9 7 2 2 4" xfId="32840"/>
    <cellStyle name="Nota 9 7 2 3" xfId="9709"/>
    <cellStyle name="Nota 9 7 2 3 2" xfId="20195"/>
    <cellStyle name="Nota 9 7 2 3 2 2" xfId="49376"/>
    <cellStyle name="Nota 9 7 2 3 3" xfId="38892"/>
    <cellStyle name="Nota 9 7 2 4" xfId="13436"/>
    <cellStyle name="Nota 9 7 2 4 2" xfId="42617"/>
    <cellStyle name="Nota 9 7 2 5" xfId="31040"/>
    <cellStyle name="Nota 9 7 3" xfId="2757"/>
    <cellStyle name="Nota 9 7 3 2" xfId="8315"/>
    <cellStyle name="Nota 9 7 3 2 2" xfId="19354"/>
    <cellStyle name="Nota 9 7 3 2 2 2" xfId="48535"/>
    <cellStyle name="Nota 9 7 3 2 3" xfId="37498"/>
    <cellStyle name="Nota 9 7 3 3" xfId="12098"/>
    <cellStyle name="Nota 9 7 3 3 2" xfId="41279"/>
    <cellStyle name="Nota 9 7 3 4" xfId="31940"/>
    <cellStyle name="Nota 9 7 4" xfId="9030"/>
    <cellStyle name="Nota 9 7 4 2" xfId="19783"/>
    <cellStyle name="Nota 9 7 4 2 2" xfId="48964"/>
    <cellStyle name="Nota 9 7 4 3" xfId="38213"/>
    <cellStyle name="Nota 9 7 5" xfId="12133"/>
    <cellStyle name="Nota 9 7 5 2" xfId="41314"/>
    <cellStyle name="Nota 9 7 6" xfId="30134"/>
    <cellStyle name="Nota 9 8" xfId="1425"/>
    <cellStyle name="Nota 9 8 2" xfId="3225"/>
    <cellStyle name="Nota 9 8 2 2" xfId="8437"/>
    <cellStyle name="Nota 9 8 2 2 2" xfId="19433"/>
    <cellStyle name="Nota 9 8 2 2 2 2" xfId="48614"/>
    <cellStyle name="Nota 9 8 2 2 3" xfId="37620"/>
    <cellStyle name="Nota 9 8 2 3" xfId="13022"/>
    <cellStyle name="Nota 9 8 2 3 2" xfId="42203"/>
    <cellStyle name="Nota 9 8 2 4" xfId="32408"/>
    <cellStyle name="Nota 9 8 3" xfId="8253"/>
    <cellStyle name="Nota 9 8 3 2" xfId="19313"/>
    <cellStyle name="Nota 9 8 3 2 2" xfId="48494"/>
    <cellStyle name="Nota 9 8 3 3" xfId="37436"/>
    <cellStyle name="Nota 9 8 4" xfId="16664"/>
    <cellStyle name="Nota 9 8 4 2" xfId="45845"/>
    <cellStyle name="Nota 9 8 5" xfId="30608"/>
    <cellStyle name="Nota 9 9" xfId="2325"/>
    <cellStyle name="Nota 9 9 2" xfId="7520"/>
    <cellStyle name="Nota 9 9 2 2" xfId="18868"/>
    <cellStyle name="Nota 9 9 2 2 2" xfId="48049"/>
    <cellStyle name="Nota 9 9 2 3" xfId="36703"/>
    <cellStyle name="Nota 9 9 3" xfId="14648"/>
    <cellStyle name="Nota 9 9 3 2" xfId="43829"/>
    <cellStyle name="Nota 9 9 4" xfId="31508"/>
    <cellStyle name="Porcentagem" xfId="1" builtinId="5"/>
    <cellStyle name="Porcentagem 10" xfId="336"/>
    <cellStyle name="Porcentagem 2" xfId="337"/>
    <cellStyle name="Porcentagem 2 2" xfId="711"/>
    <cellStyle name="Porcentagem 2 3" xfId="912"/>
    <cellStyle name="Porcentagem 3" xfId="338"/>
    <cellStyle name="Porcentagem 4" xfId="335"/>
    <cellStyle name="Porcentagem 4 2" xfId="709"/>
    <cellStyle name="Porcentagem 4 2 2" xfId="10960"/>
    <cellStyle name="Porcentagem 4 2 2 2" xfId="25284"/>
    <cellStyle name="Porcentagem 4 2 2 2 2" xfId="54463"/>
    <cellStyle name="Porcentagem 4 2 2 3" xfId="40141"/>
    <cellStyle name="Porcentagem 4 2 3" xfId="20856"/>
    <cellStyle name="Porcentagem 4 2 3 2" xfId="50035"/>
    <cellStyle name="Porcentagem 4 2 4" xfId="29910"/>
    <cellStyle name="Porcentagem 4 3" xfId="569"/>
    <cellStyle name="Porcentagem 4 3 2" xfId="10855"/>
    <cellStyle name="Porcentagem 4 3 2 2" xfId="25238"/>
    <cellStyle name="Porcentagem 4 3 2 2 2" xfId="54417"/>
    <cellStyle name="Porcentagem 4 3 2 3" xfId="40036"/>
    <cellStyle name="Porcentagem 4 3 3" xfId="20810"/>
    <cellStyle name="Porcentagem 4 3 3 2" xfId="49989"/>
    <cellStyle name="Porcentagem 4 3 4" xfId="29774"/>
    <cellStyle name="Porcentagem 4 4" xfId="752"/>
    <cellStyle name="Porcentagem 4 4 2" xfId="10994"/>
    <cellStyle name="Porcentagem 4 4 2 2" xfId="25315"/>
    <cellStyle name="Porcentagem 4 4 2 2 2" xfId="54494"/>
    <cellStyle name="Porcentagem 4 4 2 3" xfId="40175"/>
    <cellStyle name="Porcentagem 4 4 3" xfId="20887"/>
    <cellStyle name="Porcentagem 4 4 3 2" xfId="50066"/>
    <cellStyle name="Porcentagem 4 4 4" xfId="29950"/>
    <cellStyle name="Porcentagem 4 5" xfId="944"/>
    <cellStyle name="Porcentagem 4 5 2" xfId="11139"/>
    <cellStyle name="Porcentagem 4 5 2 2" xfId="25410"/>
    <cellStyle name="Porcentagem 4 5 2 2 2" xfId="54589"/>
    <cellStyle name="Porcentagem 4 5 2 3" xfId="40320"/>
    <cellStyle name="Porcentagem 4 5 3" xfId="20982"/>
    <cellStyle name="Porcentagem 4 5 3 2" xfId="50161"/>
    <cellStyle name="Porcentagem 4 5 4" xfId="30135"/>
    <cellStyle name="Porcentagem 4 6" xfId="10727"/>
    <cellStyle name="Porcentagem 4 6 2" xfId="25153"/>
    <cellStyle name="Porcentagem 4 6 2 2" xfId="54332"/>
    <cellStyle name="Porcentagem 4 6 3" xfId="39908"/>
    <cellStyle name="Porcentagem 4 7" xfId="20725"/>
    <cellStyle name="Porcentagem 4 7 2" xfId="49904"/>
    <cellStyle name="Porcentagem 4 8" xfId="29608"/>
    <cellStyle name="Porcentagem 4 9" xfId="58832"/>
    <cellStyle name="Porcentagem 5" xfId="339"/>
    <cellStyle name="Porcentagem 6" xfId="10537"/>
    <cellStyle name="Porcentagem 7" xfId="20701"/>
    <cellStyle name="Saída 10" xfId="340"/>
    <cellStyle name="Saída 10 10" xfId="4117"/>
    <cellStyle name="Saída 10 10 2" xfId="13381"/>
    <cellStyle name="Saída 10 10 2 2" xfId="26694"/>
    <cellStyle name="Saída 10 10 2 2 2" xfId="55873"/>
    <cellStyle name="Saída 10 10 2 3" xfId="42562"/>
    <cellStyle name="Saída 10 10 3" xfId="22266"/>
    <cellStyle name="Saída 10 10 3 2" xfId="51445"/>
    <cellStyle name="Saída 10 10 4" xfId="33300"/>
    <cellStyle name="Saída 10 11" xfId="10728"/>
    <cellStyle name="Saída 10 11 2" xfId="25154"/>
    <cellStyle name="Saída 10 11 2 2" xfId="54333"/>
    <cellStyle name="Saída 10 11 3" xfId="39909"/>
    <cellStyle name="Saída 10 12" xfId="20726"/>
    <cellStyle name="Saída 10 12 2" xfId="49905"/>
    <cellStyle name="Saída 10 13" xfId="58746"/>
    <cellStyle name="Saída 10 14" xfId="29609"/>
    <cellStyle name="Saída 10 2" xfId="448"/>
    <cellStyle name="Saída 10 2 10" xfId="8799"/>
    <cellStyle name="Saída 10 2 10 2" xfId="16897"/>
    <cellStyle name="Saída 10 2 10 2 2" xfId="28867"/>
    <cellStyle name="Saída 10 2 10 2 2 2" xfId="58046"/>
    <cellStyle name="Saída 10 2 10 2 3" xfId="46078"/>
    <cellStyle name="Saída 10 2 10 3" xfId="24439"/>
    <cellStyle name="Saída 10 2 10 3 2" xfId="53618"/>
    <cellStyle name="Saída 10 2 10 4" xfId="37982"/>
    <cellStyle name="Saída 10 2 11" xfId="10762"/>
    <cellStyle name="Saída 10 2 11 2" xfId="25172"/>
    <cellStyle name="Saída 10 2 11 2 2" xfId="54351"/>
    <cellStyle name="Saída 10 2 11 3" xfId="39943"/>
    <cellStyle name="Saída 10 2 12" xfId="20744"/>
    <cellStyle name="Saída 10 2 12 2" xfId="49923"/>
    <cellStyle name="Saída 10 2 13" xfId="58791"/>
    <cellStyle name="Saída 10 2 14" xfId="29654"/>
    <cellStyle name="Saída 10 2 2" xfId="538"/>
    <cellStyle name="Saída 10 2 2 10" xfId="10825"/>
    <cellStyle name="Saída 10 2 2 10 2" xfId="25208"/>
    <cellStyle name="Saída 10 2 2 10 2 2" xfId="54387"/>
    <cellStyle name="Saída 10 2 2 10 3" xfId="40006"/>
    <cellStyle name="Saída 10 2 2 11" xfId="20780"/>
    <cellStyle name="Saída 10 2 2 11 2" xfId="49959"/>
    <cellStyle name="Saída 10 2 2 12" xfId="29744"/>
    <cellStyle name="Saída 10 2 2 2" xfId="891"/>
    <cellStyle name="Saída 10 2 2 2 2" xfId="1829"/>
    <cellStyle name="Saída 10 2 2 2 2 2" xfId="3629"/>
    <cellStyle name="Saída 10 2 2 2 2 2 2" xfId="6599"/>
    <cellStyle name="Saída 10 2 2 2 2 2 2 2" xfId="15311"/>
    <cellStyle name="Saída 10 2 2 2 2 2 2 2 2" xfId="27916"/>
    <cellStyle name="Saída 10 2 2 2 2 2 2 2 2 2" xfId="57095"/>
    <cellStyle name="Saída 10 2 2 2 2 2 2 2 3" xfId="44492"/>
    <cellStyle name="Saída 10 2 2 2 2 2 2 3" xfId="23488"/>
    <cellStyle name="Saída 10 2 2 2 2 2 2 3 2" xfId="52667"/>
    <cellStyle name="Saída 10 2 2 2 2 2 2 4" xfId="35782"/>
    <cellStyle name="Saída 10 2 2 2 2 2 3" xfId="8305"/>
    <cellStyle name="Saída 10 2 2 2 2 2 3 2" xfId="16543"/>
    <cellStyle name="Saída 10 2 2 2 2 2 3 2 2" xfId="28676"/>
    <cellStyle name="Saída 10 2 2 2 2 2 3 2 2 2" xfId="57855"/>
    <cellStyle name="Saída 10 2 2 2 2 2 3 2 3" xfId="45724"/>
    <cellStyle name="Saída 10 2 2 2 2 2 3 3" xfId="24248"/>
    <cellStyle name="Saída 10 2 2 2 2 2 3 3 2" xfId="53427"/>
    <cellStyle name="Saída 10 2 2 2 2 2 3 4" xfId="37488"/>
    <cellStyle name="Saída 10 2 2 2 2 2 4" xfId="13030"/>
    <cellStyle name="Saída 10 2 2 2 2 2 4 2" xfId="26476"/>
    <cellStyle name="Saída 10 2 2 2 2 2 4 2 2" xfId="55655"/>
    <cellStyle name="Saída 10 2 2 2 2 2 4 3" xfId="42211"/>
    <cellStyle name="Saída 10 2 2 2 2 2 5" xfId="22048"/>
    <cellStyle name="Saída 10 2 2 2 2 2 5 2" xfId="51227"/>
    <cellStyle name="Saída 10 2 2 2 2 2 6" xfId="32812"/>
    <cellStyle name="Saída 10 2 2 2 2 3" xfId="5159"/>
    <cellStyle name="Saída 10 2 2 2 2 3 2" xfId="14189"/>
    <cellStyle name="Saída 10 2 2 2 2 3 2 2" xfId="27196"/>
    <cellStyle name="Saída 10 2 2 2 2 3 2 2 2" xfId="56375"/>
    <cellStyle name="Saída 10 2 2 2 2 3 2 3" xfId="43370"/>
    <cellStyle name="Saída 10 2 2 2 2 3 3" xfId="22768"/>
    <cellStyle name="Saída 10 2 2 2 2 3 3 2" xfId="51947"/>
    <cellStyle name="Saída 10 2 2 2 2 3 4" xfId="34342"/>
    <cellStyle name="Saída 10 2 2 2 2 4" xfId="10140"/>
    <cellStyle name="Saída 10 2 2 2 2 4 2" xfId="17853"/>
    <cellStyle name="Saída 10 2 2 2 2 4 2 2" xfId="29403"/>
    <cellStyle name="Saída 10 2 2 2 2 4 2 2 2" xfId="58582"/>
    <cellStyle name="Saída 10 2 2 2 2 4 2 3" xfId="47034"/>
    <cellStyle name="Saída 10 2 2 2 2 4 3" xfId="24975"/>
    <cellStyle name="Saída 10 2 2 2 2 4 3 2" xfId="54154"/>
    <cellStyle name="Saída 10 2 2 2 2 4 4" xfId="39323"/>
    <cellStyle name="Saída 10 2 2 2 2 5" xfId="11754"/>
    <cellStyle name="Saída 10 2 2 2 2 5 2" xfId="25756"/>
    <cellStyle name="Saída 10 2 2 2 2 5 2 2" xfId="54935"/>
    <cellStyle name="Saída 10 2 2 2 2 5 3" xfId="40935"/>
    <cellStyle name="Saída 10 2 2 2 2 6" xfId="21328"/>
    <cellStyle name="Saída 10 2 2 2 2 6 2" xfId="50507"/>
    <cellStyle name="Saída 10 2 2 2 2 7" xfId="31012"/>
    <cellStyle name="Saída 10 2 2 2 3" xfId="2729"/>
    <cellStyle name="Saída 10 2 2 2 3 2" xfId="5879"/>
    <cellStyle name="Saída 10 2 2 2 3 2 2" xfId="14754"/>
    <cellStyle name="Saída 10 2 2 2 3 2 2 2" xfId="27556"/>
    <cellStyle name="Saída 10 2 2 2 3 2 2 2 2" xfId="56735"/>
    <cellStyle name="Saída 10 2 2 2 3 2 2 3" xfId="43935"/>
    <cellStyle name="Saída 10 2 2 2 3 2 3" xfId="23128"/>
    <cellStyle name="Saída 10 2 2 2 3 2 3 2" xfId="52307"/>
    <cellStyle name="Saída 10 2 2 2 3 2 4" xfId="35062"/>
    <cellStyle name="Saída 10 2 2 2 3 3" xfId="9366"/>
    <cellStyle name="Saída 10 2 2 2 3 3 2" xfId="17313"/>
    <cellStyle name="Saída 10 2 2 2 3 3 2 2" xfId="29096"/>
    <cellStyle name="Saída 10 2 2 2 3 3 2 2 2" xfId="58275"/>
    <cellStyle name="Saída 10 2 2 2 3 3 2 3" xfId="46494"/>
    <cellStyle name="Saída 10 2 2 2 3 3 3" xfId="24668"/>
    <cellStyle name="Saída 10 2 2 2 3 3 3 2" xfId="53847"/>
    <cellStyle name="Saída 10 2 2 2 3 3 4" xfId="38549"/>
    <cellStyle name="Saída 10 2 2 2 3 4" xfId="12395"/>
    <cellStyle name="Saída 10 2 2 2 3 4 2" xfId="26116"/>
    <cellStyle name="Saída 10 2 2 2 3 4 2 2" xfId="55295"/>
    <cellStyle name="Saída 10 2 2 2 3 4 3" xfId="41576"/>
    <cellStyle name="Saída 10 2 2 2 3 5" xfId="21688"/>
    <cellStyle name="Saída 10 2 2 2 3 5 2" xfId="50867"/>
    <cellStyle name="Saída 10 2 2 2 3 6" xfId="31912"/>
    <cellStyle name="Saída 10 2 2 2 4" xfId="4439"/>
    <cellStyle name="Saída 10 2 2 2 4 2" xfId="13632"/>
    <cellStyle name="Saída 10 2 2 2 4 2 2" xfId="26836"/>
    <cellStyle name="Saída 10 2 2 2 4 2 2 2" xfId="56015"/>
    <cellStyle name="Saída 10 2 2 2 4 2 3" xfId="42813"/>
    <cellStyle name="Saída 10 2 2 2 4 3" xfId="22408"/>
    <cellStyle name="Saída 10 2 2 2 4 3 2" xfId="51587"/>
    <cellStyle name="Saída 10 2 2 2 4 4" xfId="33622"/>
    <cellStyle name="Saída 10 2 2 2 5" xfId="8834"/>
    <cellStyle name="Saída 10 2 2 2 5 2" xfId="16925"/>
    <cellStyle name="Saída 10 2 2 2 5 2 2" xfId="28884"/>
    <cellStyle name="Saída 10 2 2 2 5 2 2 2" xfId="58063"/>
    <cellStyle name="Saída 10 2 2 2 5 2 3" xfId="46106"/>
    <cellStyle name="Saída 10 2 2 2 5 3" xfId="24456"/>
    <cellStyle name="Saída 10 2 2 2 5 3 2" xfId="53635"/>
    <cellStyle name="Saída 10 2 2 2 5 4" xfId="38017"/>
    <cellStyle name="Saída 10 2 2 2 6" xfId="11095"/>
    <cellStyle name="Saída 10 2 2 2 6 2" xfId="25372"/>
    <cellStyle name="Saída 10 2 2 2 6 2 2" xfId="54551"/>
    <cellStyle name="Saída 10 2 2 2 6 3" xfId="40276"/>
    <cellStyle name="Saída 10 2 2 2 7" xfId="20944"/>
    <cellStyle name="Saída 10 2 2 2 7 2" xfId="50123"/>
    <cellStyle name="Saída 10 2 2 2 8" xfId="30088"/>
    <cellStyle name="Saída 10 2 2 3" xfId="1083"/>
    <cellStyle name="Saída 10 2 2 3 2" xfId="1993"/>
    <cellStyle name="Saída 10 2 2 3 2 2" xfId="3793"/>
    <cellStyle name="Saída 10 2 2 3 2 2 2" xfId="6727"/>
    <cellStyle name="Saída 10 2 2 3 2 2 2 2" xfId="15413"/>
    <cellStyle name="Saída 10 2 2 3 2 2 2 2 2" xfId="27990"/>
    <cellStyle name="Saída 10 2 2 3 2 2 2 2 2 2" xfId="57169"/>
    <cellStyle name="Saída 10 2 2 3 2 2 2 2 3" xfId="44594"/>
    <cellStyle name="Saída 10 2 2 3 2 2 2 3" xfId="23562"/>
    <cellStyle name="Saída 10 2 2 3 2 2 2 3 2" xfId="52741"/>
    <cellStyle name="Saída 10 2 2 3 2 2 2 4" xfId="35910"/>
    <cellStyle name="Saída 10 2 2 3 2 2 3" xfId="8147"/>
    <cellStyle name="Saída 10 2 2 3 2 2 3 2" xfId="16427"/>
    <cellStyle name="Saída 10 2 2 3 2 2 3 2 2" xfId="28613"/>
    <cellStyle name="Saída 10 2 2 3 2 2 3 2 2 2" xfId="57792"/>
    <cellStyle name="Saída 10 2 2 3 2 2 3 2 3" xfId="45608"/>
    <cellStyle name="Saída 10 2 2 3 2 2 3 3" xfId="24185"/>
    <cellStyle name="Saída 10 2 2 3 2 2 3 3 2" xfId="53364"/>
    <cellStyle name="Saída 10 2 2 3 2 2 3 4" xfId="37330"/>
    <cellStyle name="Saída 10 2 2 3 2 2 4" xfId="13150"/>
    <cellStyle name="Saída 10 2 2 3 2 2 4 2" xfId="26550"/>
    <cellStyle name="Saída 10 2 2 3 2 2 4 2 2" xfId="55729"/>
    <cellStyle name="Saída 10 2 2 3 2 2 4 3" xfId="42331"/>
    <cellStyle name="Saída 10 2 2 3 2 2 5" xfId="22122"/>
    <cellStyle name="Saída 10 2 2 3 2 2 5 2" xfId="51301"/>
    <cellStyle name="Saída 10 2 2 3 2 2 6" xfId="32976"/>
    <cellStyle name="Saída 10 2 2 3 2 3" xfId="5287"/>
    <cellStyle name="Saída 10 2 2 3 2 3 2" xfId="14292"/>
    <cellStyle name="Saída 10 2 2 3 2 3 2 2" xfId="27270"/>
    <cellStyle name="Saída 10 2 2 3 2 3 2 2 2" xfId="56449"/>
    <cellStyle name="Saída 10 2 2 3 2 3 2 3" xfId="43473"/>
    <cellStyle name="Saída 10 2 2 3 2 3 3" xfId="22842"/>
    <cellStyle name="Saída 10 2 2 3 2 3 3 2" xfId="52021"/>
    <cellStyle name="Saída 10 2 2 3 2 3 4" xfId="34470"/>
    <cellStyle name="Saída 10 2 2 3 2 4" xfId="7390"/>
    <cellStyle name="Saída 10 2 2 3 2 4 2" xfId="15904"/>
    <cellStyle name="Saída 10 2 2 3 2 4 2 2" xfId="28320"/>
    <cellStyle name="Saída 10 2 2 3 2 4 2 2 2" xfId="57499"/>
    <cellStyle name="Saída 10 2 2 3 2 4 2 3" xfId="45085"/>
    <cellStyle name="Saída 10 2 2 3 2 4 3" xfId="23892"/>
    <cellStyle name="Saída 10 2 2 3 2 4 3 2" xfId="53071"/>
    <cellStyle name="Saída 10 2 2 3 2 4 4" xfId="36573"/>
    <cellStyle name="Saída 10 2 2 3 2 5" xfId="11874"/>
    <cellStyle name="Saída 10 2 2 3 2 5 2" xfId="25830"/>
    <cellStyle name="Saída 10 2 2 3 2 5 2 2" xfId="55009"/>
    <cellStyle name="Saída 10 2 2 3 2 5 3" xfId="41055"/>
    <cellStyle name="Saída 10 2 2 3 2 6" xfId="21402"/>
    <cellStyle name="Saída 10 2 2 3 2 6 2" xfId="50581"/>
    <cellStyle name="Saída 10 2 2 3 2 7" xfId="31176"/>
    <cellStyle name="Saída 10 2 2 3 3" xfId="2893"/>
    <cellStyle name="Saída 10 2 2 3 3 2" xfId="6007"/>
    <cellStyle name="Saída 10 2 2 3 3 2 2" xfId="14853"/>
    <cellStyle name="Saída 10 2 2 3 3 2 2 2" xfId="27630"/>
    <cellStyle name="Saída 10 2 2 3 3 2 2 2 2" xfId="56809"/>
    <cellStyle name="Saída 10 2 2 3 3 2 2 3" xfId="44034"/>
    <cellStyle name="Saída 10 2 2 3 3 2 3" xfId="23202"/>
    <cellStyle name="Saída 10 2 2 3 3 2 3 2" xfId="52381"/>
    <cellStyle name="Saída 10 2 2 3 3 2 4" xfId="35190"/>
    <cellStyle name="Saída 10 2 2 3 3 3" xfId="7458"/>
    <cellStyle name="Saída 10 2 2 3 3 3 2" xfId="15948"/>
    <cellStyle name="Saída 10 2 2 3 3 3 2 2" xfId="28347"/>
    <cellStyle name="Saída 10 2 2 3 3 3 2 2 2" xfId="57526"/>
    <cellStyle name="Saída 10 2 2 3 3 3 2 3" xfId="45129"/>
    <cellStyle name="Saída 10 2 2 3 3 3 3" xfId="23919"/>
    <cellStyle name="Saída 10 2 2 3 3 3 3 2" xfId="53098"/>
    <cellStyle name="Saída 10 2 2 3 3 3 4" xfId="36641"/>
    <cellStyle name="Saída 10 2 2 3 3 4" xfId="12510"/>
    <cellStyle name="Saída 10 2 2 3 3 4 2" xfId="26190"/>
    <cellStyle name="Saída 10 2 2 3 3 4 2 2" xfId="55369"/>
    <cellStyle name="Saída 10 2 2 3 3 4 3" xfId="41691"/>
    <cellStyle name="Saída 10 2 2 3 3 5" xfId="21762"/>
    <cellStyle name="Saída 10 2 2 3 3 5 2" xfId="50941"/>
    <cellStyle name="Saída 10 2 2 3 3 6" xfId="32076"/>
    <cellStyle name="Saída 10 2 2 3 4" xfId="4567"/>
    <cellStyle name="Saída 10 2 2 3 4 2" xfId="13733"/>
    <cellStyle name="Saída 10 2 2 3 4 2 2" xfId="26910"/>
    <cellStyle name="Saída 10 2 2 3 4 2 2 2" xfId="56089"/>
    <cellStyle name="Saída 10 2 2 3 4 2 3" xfId="42914"/>
    <cellStyle name="Saída 10 2 2 3 4 3" xfId="22482"/>
    <cellStyle name="Saída 10 2 2 3 4 3 2" xfId="51661"/>
    <cellStyle name="Saída 10 2 2 3 4 4" xfId="33750"/>
    <cellStyle name="Saída 10 2 2 3 5" xfId="8373"/>
    <cellStyle name="Saída 10 2 2 3 5 2" xfId="16594"/>
    <cellStyle name="Saída 10 2 2 3 5 2 2" xfId="28701"/>
    <cellStyle name="Saída 10 2 2 3 5 2 2 2" xfId="57880"/>
    <cellStyle name="Saída 10 2 2 3 5 2 3" xfId="45775"/>
    <cellStyle name="Saída 10 2 2 3 5 3" xfId="24273"/>
    <cellStyle name="Saída 10 2 2 3 5 3 2" xfId="53452"/>
    <cellStyle name="Saída 10 2 2 3 5 4" xfId="37556"/>
    <cellStyle name="Saída 10 2 2 3 6" xfId="11238"/>
    <cellStyle name="Saída 10 2 2 3 6 2" xfId="25467"/>
    <cellStyle name="Saída 10 2 2 3 6 2 2" xfId="54646"/>
    <cellStyle name="Saída 10 2 2 3 6 3" xfId="40419"/>
    <cellStyle name="Saída 10 2 2 3 7" xfId="21039"/>
    <cellStyle name="Saída 10 2 2 3 7 2" xfId="50218"/>
    <cellStyle name="Saída 10 2 2 3 8" xfId="30273"/>
    <cellStyle name="Saída 10 2 2 4" xfId="1233"/>
    <cellStyle name="Saída 10 2 2 4 2" xfId="2137"/>
    <cellStyle name="Saída 10 2 2 4 2 2" xfId="3937"/>
    <cellStyle name="Saída 10 2 2 4 2 2 2" xfId="6844"/>
    <cellStyle name="Saída 10 2 2 4 2 2 2 2" xfId="15503"/>
    <cellStyle name="Saída 10 2 2 4 2 2 2 2 2" xfId="28053"/>
    <cellStyle name="Saída 10 2 2 4 2 2 2 2 2 2" xfId="57232"/>
    <cellStyle name="Saída 10 2 2 4 2 2 2 2 3" xfId="44684"/>
    <cellStyle name="Saída 10 2 2 4 2 2 2 3" xfId="23625"/>
    <cellStyle name="Saída 10 2 2 4 2 2 2 3 2" xfId="52804"/>
    <cellStyle name="Saída 10 2 2 4 2 2 2 4" xfId="36027"/>
    <cellStyle name="Saída 10 2 2 4 2 2 3" xfId="7143"/>
    <cellStyle name="Saída 10 2 2 4 2 2 3 2" xfId="15733"/>
    <cellStyle name="Saída 10 2 2 4 2 2 3 2 2" xfId="28215"/>
    <cellStyle name="Saída 10 2 2 4 2 2 3 2 2 2" xfId="57394"/>
    <cellStyle name="Saída 10 2 2 4 2 2 3 2 3" xfId="44914"/>
    <cellStyle name="Saída 10 2 2 4 2 2 3 3" xfId="23787"/>
    <cellStyle name="Saída 10 2 2 4 2 2 3 3 2" xfId="52966"/>
    <cellStyle name="Saída 10 2 2 4 2 2 3 4" xfId="36326"/>
    <cellStyle name="Saída 10 2 2 4 2 2 4" xfId="13248"/>
    <cellStyle name="Saída 10 2 2 4 2 2 4 2" xfId="26613"/>
    <cellStyle name="Saída 10 2 2 4 2 2 4 2 2" xfId="55792"/>
    <cellStyle name="Saída 10 2 2 4 2 2 4 3" xfId="42429"/>
    <cellStyle name="Saída 10 2 2 4 2 2 5" xfId="22185"/>
    <cellStyle name="Saída 10 2 2 4 2 2 5 2" xfId="51364"/>
    <cellStyle name="Saída 10 2 2 4 2 2 6" xfId="33120"/>
    <cellStyle name="Saída 10 2 2 4 2 3" xfId="5404"/>
    <cellStyle name="Saída 10 2 2 4 2 3 2" xfId="14381"/>
    <cellStyle name="Saída 10 2 2 4 2 3 2 2" xfId="27333"/>
    <cellStyle name="Saída 10 2 2 4 2 3 2 2 2" xfId="56512"/>
    <cellStyle name="Saída 10 2 2 4 2 3 2 3" xfId="43562"/>
    <cellStyle name="Saída 10 2 2 4 2 3 3" xfId="22905"/>
    <cellStyle name="Saída 10 2 2 4 2 3 3 2" xfId="52084"/>
    <cellStyle name="Saída 10 2 2 4 2 3 4" xfId="34587"/>
    <cellStyle name="Saída 10 2 2 4 2 4" xfId="10514"/>
    <cellStyle name="Saída 10 2 2 4 2 4 2" xfId="18116"/>
    <cellStyle name="Saída 10 2 2 4 2 4 2 2" xfId="29547"/>
    <cellStyle name="Saída 10 2 2 4 2 4 2 2 2" xfId="58726"/>
    <cellStyle name="Saída 10 2 2 4 2 4 2 3" xfId="47297"/>
    <cellStyle name="Saída 10 2 2 4 2 4 3" xfId="25119"/>
    <cellStyle name="Saída 10 2 2 4 2 4 3 2" xfId="54298"/>
    <cellStyle name="Saída 10 2 2 4 2 4 4" xfId="39697"/>
    <cellStyle name="Saída 10 2 2 4 2 5" xfId="11973"/>
    <cellStyle name="Saída 10 2 2 4 2 5 2" xfId="25893"/>
    <cellStyle name="Saída 10 2 2 4 2 5 2 2" xfId="55072"/>
    <cellStyle name="Saída 10 2 2 4 2 5 3" xfId="41154"/>
    <cellStyle name="Saída 10 2 2 4 2 6" xfId="21465"/>
    <cellStyle name="Saída 10 2 2 4 2 6 2" xfId="50644"/>
    <cellStyle name="Saída 10 2 2 4 2 7" xfId="31320"/>
    <cellStyle name="Saída 10 2 2 4 3" xfId="3037"/>
    <cellStyle name="Saída 10 2 2 4 3 2" xfId="6124"/>
    <cellStyle name="Saída 10 2 2 4 3 2 2" xfId="14942"/>
    <cellStyle name="Saída 10 2 2 4 3 2 2 2" xfId="27693"/>
    <cellStyle name="Saída 10 2 2 4 3 2 2 2 2" xfId="56872"/>
    <cellStyle name="Saída 10 2 2 4 3 2 2 3" xfId="44123"/>
    <cellStyle name="Saída 10 2 2 4 3 2 3" xfId="23265"/>
    <cellStyle name="Saída 10 2 2 4 3 2 3 2" xfId="52444"/>
    <cellStyle name="Saída 10 2 2 4 3 2 4" xfId="35307"/>
    <cellStyle name="Saída 10 2 2 4 3 3" xfId="9736"/>
    <cellStyle name="Saída 10 2 2 4 3 3 2" xfId="17574"/>
    <cellStyle name="Saída 10 2 2 4 3 3 2 2" xfId="29245"/>
    <cellStyle name="Saída 10 2 2 4 3 3 2 2 2" xfId="58424"/>
    <cellStyle name="Saída 10 2 2 4 3 3 2 3" xfId="46755"/>
    <cellStyle name="Saída 10 2 2 4 3 3 3" xfId="24817"/>
    <cellStyle name="Saída 10 2 2 4 3 3 3 2" xfId="53996"/>
    <cellStyle name="Saída 10 2 2 4 3 3 4" xfId="38919"/>
    <cellStyle name="Saída 10 2 2 4 3 4" xfId="12609"/>
    <cellStyle name="Saída 10 2 2 4 3 4 2" xfId="26253"/>
    <cellStyle name="Saída 10 2 2 4 3 4 2 2" xfId="55432"/>
    <cellStyle name="Saída 10 2 2 4 3 4 3" xfId="41790"/>
    <cellStyle name="Saída 10 2 2 4 3 5" xfId="21825"/>
    <cellStyle name="Saída 10 2 2 4 3 5 2" xfId="51004"/>
    <cellStyle name="Saída 10 2 2 4 3 6" xfId="32220"/>
    <cellStyle name="Saída 10 2 2 4 4" xfId="4684"/>
    <cellStyle name="Saída 10 2 2 4 4 2" xfId="13822"/>
    <cellStyle name="Saída 10 2 2 4 4 2 2" xfId="26973"/>
    <cellStyle name="Saída 10 2 2 4 4 2 2 2" xfId="56152"/>
    <cellStyle name="Saída 10 2 2 4 4 2 3" xfId="43003"/>
    <cellStyle name="Saída 10 2 2 4 4 3" xfId="22545"/>
    <cellStyle name="Saída 10 2 2 4 4 3 2" xfId="51724"/>
    <cellStyle name="Saída 10 2 2 4 4 4" xfId="33867"/>
    <cellStyle name="Saída 10 2 2 4 5" xfId="9443"/>
    <cellStyle name="Saída 10 2 2 4 5 2" xfId="17362"/>
    <cellStyle name="Saída 10 2 2 4 5 2 2" xfId="29126"/>
    <cellStyle name="Saída 10 2 2 4 5 2 2 2" xfId="58305"/>
    <cellStyle name="Saída 10 2 2 4 5 2 3" xfId="46543"/>
    <cellStyle name="Saída 10 2 2 4 5 3" xfId="24698"/>
    <cellStyle name="Saída 10 2 2 4 5 3 2" xfId="53877"/>
    <cellStyle name="Saída 10 2 2 4 5 4" xfId="38626"/>
    <cellStyle name="Saída 10 2 2 4 6" xfId="11343"/>
    <cellStyle name="Saída 10 2 2 4 6 2" xfId="25533"/>
    <cellStyle name="Saída 10 2 2 4 6 2 2" xfId="54712"/>
    <cellStyle name="Saída 10 2 2 4 6 3" xfId="40524"/>
    <cellStyle name="Saída 10 2 2 4 7" xfId="21105"/>
    <cellStyle name="Saída 10 2 2 4 7 2" xfId="50284"/>
    <cellStyle name="Saída 10 2 2 4 8" xfId="30420"/>
    <cellStyle name="Saída 10 2 2 5" xfId="1379"/>
    <cellStyle name="Saída 10 2 2 5 2" xfId="2281"/>
    <cellStyle name="Saída 10 2 2 5 2 2" xfId="4081"/>
    <cellStyle name="Saída 10 2 2 5 2 2 2" xfId="6961"/>
    <cellStyle name="Saída 10 2 2 5 2 2 2 2" xfId="15593"/>
    <cellStyle name="Saída 10 2 2 5 2 2 2 2 2" xfId="28116"/>
    <cellStyle name="Saída 10 2 2 5 2 2 2 2 2 2" xfId="57295"/>
    <cellStyle name="Saída 10 2 2 5 2 2 2 2 3" xfId="44774"/>
    <cellStyle name="Saída 10 2 2 5 2 2 2 3" xfId="23688"/>
    <cellStyle name="Saída 10 2 2 5 2 2 2 3 2" xfId="52867"/>
    <cellStyle name="Saída 10 2 2 5 2 2 2 4" xfId="36144"/>
    <cellStyle name="Saída 10 2 2 5 2 2 3" xfId="6999"/>
    <cellStyle name="Saída 10 2 2 5 2 2 3 2" xfId="15629"/>
    <cellStyle name="Saída 10 2 2 5 2 2 3 2 2" xfId="28152"/>
    <cellStyle name="Saída 10 2 2 5 2 2 3 2 2 2" xfId="57331"/>
    <cellStyle name="Saída 10 2 2 5 2 2 3 2 3" xfId="44810"/>
    <cellStyle name="Saída 10 2 2 5 2 2 3 3" xfId="23724"/>
    <cellStyle name="Saída 10 2 2 5 2 2 3 3 2" xfId="52903"/>
    <cellStyle name="Saída 10 2 2 5 2 2 3 4" xfId="36182"/>
    <cellStyle name="Saída 10 2 2 5 2 2 4" xfId="13353"/>
    <cellStyle name="Saída 10 2 2 5 2 2 4 2" xfId="26676"/>
    <cellStyle name="Saída 10 2 2 5 2 2 4 2 2" xfId="55855"/>
    <cellStyle name="Saída 10 2 2 5 2 2 4 3" xfId="42534"/>
    <cellStyle name="Saída 10 2 2 5 2 2 5" xfId="22248"/>
    <cellStyle name="Saída 10 2 2 5 2 2 5 2" xfId="51427"/>
    <cellStyle name="Saída 10 2 2 5 2 2 6" xfId="33264"/>
    <cellStyle name="Saída 10 2 2 5 2 3" xfId="5521"/>
    <cellStyle name="Saída 10 2 2 5 2 3 2" xfId="14474"/>
    <cellStyle name="Saída 10 2 2 5 2 3 2 2" xfId="27396"/>
    <cellStyle name="Saída 10 2 2 5 2 3 2 2 2" xfId="56575"/>
    <cellStyle name="Saída 10 2 2 5 2 3 2 3" xfId="43655"/>
    <cellStyle name="Saída 10 2 2 5 2 3 3" xfId="22968"/>
    <cellStyle name="Saída 10 2 2 5 2 3 3 2" xfId="52147"/>
    <cellStyle name="Saída 10 2 2 5 2 3 4" xfId="34704"/>
    <cellStyle name="Saída 10 2 2 5 2 4" xfId="7665"/>
    <cellStyle name="Saída 10 2 2 5 2 4 2" xfId="16092"/>
    <cellStyle name="Saída 10 2 2 5 2 4 2 2" xfId="28427"/>
    <cellStyle name="Saída 10 2 2 5 2 4 2 2 2" xfId="57606"/>
    <cellStyle name="Saída 10 2 2 5 2 4 2 3" xfId="45273"/>
    <cellStyle name="Saída 10 2 2 5 2 4 3" xfId="23999"/>
    <cellStyle name="Saída 10 2 2 5 2 4 3 2" xfId="53178"/>
    <cellStyle name="Saída 10 2 2 5 2 4 4" xfId="36848"/>
    <cellStyle name="Saída 10 2 2 5 2 5" xfId="12074"/>
    <cellStyle name="Saída 10 2 2 5 2 5 2" xfId="25956"/>
    <cellStyle name="Saída 10 2 2 5 2 5 2 2" xfId="55135"/>
    <cellStyle name="Saída 10 2 2 5 2 5 3" xfId="41255"/>
    <cellStyle name="Saída 10 2 2 5 2 6" xfId="21528"/>
    <cellStyle name="Saída 10 2 2 5 2 6 2" xfId="50707"/>
    <cellStyle name="Saída 10 2 2 5 2 7" xfId="31464"/>
    <cellStyle name="Saída 10 2 2 5 3" xfId="3181"/>
    <cellStyle name="Saída 10 2 2 5 3 2" xfId="6241"/>
    <cellStyle name="Saída 10 2 2 5 3 2 2" xfId="15034"/>
    <cellStyle name="Saída 10 2 2 5 3 2 2 2" xfId="27756"/>
    <cellStyle name="Saída 10 2 2 5 3 2 2 2 2" xfId="56935"/>
    <cellStyle name="Saída 10 2 2 5 3 2 2 3" xfId="44215"/>
    <cellStyle name="Saída 10 2 2 5 3 2 3" xfId="23328"/>
    <cellStyle name="Saída 10 2 2 5 3 2 3 2" xfId="52507"/>
    <cellStyle name="Saída 10 2 2 5 3 2 4" xfId="35424"/>
    <cellStyle name="Saída 10 2 2 5 3 3" xfId="7188"/>
    <cellStyle name="Saída 10 2 2 5 3 3 2" xfId="15764"/>
    <cellStyle name="Saída 10 2 2 5 3 3 2 2" xfId="28236"/>
    <cellStyle name="Saída 10 2 2 5 3 3 2 2 2" xfId="57415"/>
    <cellStyle name="Saída 10 2 2 5 3 3 2 3" xfId="44945"/>
    <cellStyle name="Saída 10 2 2 5 3 3 3" xfId="23808"/>
    <cellStyle name="Saída 10 2 2 5 3 3 3 2" xfId="52987"/>
    <cellStyle name="Saída 10 2 2 5 3 3 4" xfId="36371"/>
    <cellStyle name="Saída 10 2 2 5 3 4" xfId="12715"/>
    <cellStyle name="Saída 10 2 2 5 3 4 2" xfId="26316"/>
    <cellStyle name="Saída 10 2 2 5 3 4 2 2" xfId="55495"/>
    <cellStyle name="Saída 10 2 2 5 3 4 3" xfId="41896"/>
    <cellStyle name="Saída 10 2 2 5 3 5" xfId="21888"/>
    <cellStyle name="Saída 10 2 2 5 3 5 2" xfId="51067"/>
    <cellStyle name="Saída 10 2 2 5 3 6" xfId="32364"/>
    <cellStyle name="Saída 10 2 2 5 4" xfId="4801"/>
    <cellStyle name="Saída 10 2 2 5 4 2" xfId="13910"/>
    <cellStyle name="Saída 10 2 2 5 4 2 2" xfId="27036"/>
    <cellStyle name="Saída 10 2 2 5 4 2 2 2" xfId="56215"/>
    <cellStyle name="Saída 10 2 2 5 4 2 3" xfId="43091"/>
    <cellStyle name="Saída 10 2 2 5 4 3" xfId="22608"/>
    <cellStyle name="Saída 10 2 2 5 4 3 2" xfId="51787"/>
    <cellStyle name="Saída 10 2 2 5 4 4" xfId="33984"/>
    <cellStyle name="Saída 10 2 2 5 5" xfId="8572"/>
    <cellStyle name="Saída 10 2 2 5 5 2" xfId="16728"/>
    <cellStyle name="Saída 10 2 2 5 5 2 2" xfId="28775"/>
    <cellStyle name="Saída 10 2 2 5 5 2 2 2" xfId="57954"/>
    <cellStyle name="Saída 10 2 2 5 5 2 3" xfId="45909"/>
    <cellStyle name="Saída 10 2 2 5 5 3" xfId="24347"/>
    <cellStyle name="Saída 10 2 2 5 5 3 2" xfId="53526"/>
    <cellStyle name="Saída 10 2 2 5 5 4" xfId="37755"/>
    <cellStyle name="Saída 10 2 2 5 6" xfId="11443"/>
    <cellStyle name="Saída 10 2 2 5 6 2" xfId="25596"/>
    <cellStyle name="Saída 10 2 2 5 6 2 2" xfId="54775"/>
    <cellStyle name="Saída 10 2 2 5 6 3" xfId="40624"/>
    <cellStyle name="Saída 10 2 2 5 7" xfId="21168"/>
    <cellStyle name="Saída 10 2 2 5 7 2" xfId="50347"/>
    <cellStyle name="Saída 10 2 2 5 8" xfId="30564"/>
    <cellStyle name="Saída 10 2 2 6" xfId="1561"/>
    <cellStyle name="Saída 10 2 2 6 2" xfId="3361"/>
    <cellStyle name="Saída 10 2 2 6 2 2" xfId="6385"/>
    <cellStyle name="Saída 10 2 2 6 2 2 2" xfId="15140"/>
    <cellStyle name="Saída 10 2 2 6 2 2 2 2" xfId="27828"/>
    <cellStyle name="Saída 10 2 2 6 2 2 2 2 2" xfId="57007"/>
    <cellStyle name="Saída 10 2 2 6 2 2 2 3" xfId="44321"/>
    <cellStyle name="Saída 10 2 2 6 2 2 3" xfId="23400"/>
    <cellStyle name="Saída 10 2 2 6 2 2 3 2" xfId="52579"/>
    <cellStyle name="Saída 10 2 2 6 2 2 4" xfId="35568"/>
    <cellStyle name="Saída 10 2 2 6 2 3" xfId="9359"/>
    <cellStyle name="Saída 10 2 2 6 2 3 2" xfId="17307"/>
    <cellStyle name="Saída 10 2 2 6 2 3 2 2" xfId="29092"/>
    <cellStyle name="Saída 10 2 2 6 2 3 2 2 2" xfId="58271"/>
    <cellStyle name="Saída 10 2 2 6 2 3 2 3" xfId="46488"/>
    <cellStyle name="Saída 10 2 2 6 2 3 3" xfId="24664"/>
    <cellStyle name="Saída 10 2 2 6 2 3 3 2" xfId="53843"/>
    <cellStyle name="Saída 10 2 2 6 2 3 4" xfId="38542"/>
    <cellStyle name="Saída 10 2 2 6 2 4" xfId="12837"/>
    <cellStyle name="Saída 10 2 2 6 2 4 2" xfId="26388"/>
    <cellStyle name="Saída 10 2 2 6 2 4 2 2" xfId="55567"/>
    <cellStyle name="Saída 10 2 2 6 2 4 3" xfId="42018"/>
    <cellStyle name="Saída 10 2 2 6 2 5" xfId="21960"/>
    <cellStyle name="Saída 10 2 2 6 2 5 2" xfId="51139"/>
    <cellStyle name="Saída 10 2 2 6 2 6" xfId="32544"/>
    <cellStyle name="Saída 10 2 2 6 3" xfId="4945"/>
    <cellStyle name="Saída 10 2 2 6 3 2" xfId="14019"/>
    <cellStyle name="Saída 10 2 2 6 3 2 2" xfId="27108"/>
    <cellStyle name="Saída 10 2 2 6 3 2 2 2" xfId="56287"/>
    <cellStyle name="Saída 10 2 2 6 3 2 3" xfId="43200"/>
    <cellStyle name="Saída 10 2 2 6 3 3" xfId="22680"/>
    <cellStyle name="Saída 10 2 2 6 3 3 2" xfId="51859"/>
    <cellStyle name="Saída 10 2 2 6 3 4" xfId="34128"/>
    <cellStyle name="Saída 10 2 2 6 4" xfId="9556"/>
    <cellStyle name="Saída 10 2 2 6 4 2" xfId="17442"/>
    <cellStyle name="Saída 10 2 2 6 4 2 2" xfId="29174"/>
    <cellStyle name="Saída 10 2 2 6 4 2 2 2" xfId="58353"/>
    <cellStyle name="Saída 10 2 2 6 4 2 3" xfId="46623"/>
    <cellStyle name="Saída 10 2 2 6 4 3" xfId="24746"/>
    <cellStyle name="Saída 10 2 2 6 4 3 2" xfId="53925"/>
    <cellStyle name="Saída 10 2 2 6 4 4" xfId="38739"/>
    <cellStyle name="Saída 10 2 2 6 5" xfId="11566"/>
    <cellStyle name="Saída 10 2 2 6 5 2" xfId="25668"/>
    <cellStyle name="Saída 10 2 2 6 5 2 2" xfId="54847"/>
    <cellStyle name="Saída 10 2 2 6 5 3" xfId="40747"/>
    <cellStyle name="Saída 10 2 2 6 6" xfId="21240"/>
    <cellStyle name="Saída 10 2 2 6 6 2" xfId="50419"/>
    <cellStyle name="Saída 10 2 2 6 7" xfId="30744"/>
    <cellStyle name="Saída 10 2 2 7" xfId="2461"/>
    <cellStyle name="Saída 10 2 2 7 2" xfId="5665"/>
    <cellStyle name="Saída 10 2 2 7 2 2" xfId="14587"/>
    <cellStyle name="Saída 10 2 2 7 2 2 2" xfId="27468"/>
    <cellStyle name="Saída 10 2 2 7 2 2 2 2" xfId="56647"/>
    <cellStyle name="Saída 10 2 2 7 2 2 3" xfId="43768"/>
    <cellStyle name="Saída 10 2 2 7 2 3" xfId="23040"/>
    <cellStyle name="Saída 10 2 2 7 2 3 2" xfId="52219"/>
    <cellStyle name="Saída 10 2 2 7 2 4" xfId="34848"/>
    <cellStyle name="Saída 10 2 2 7 3" xfId="8124"/>
    <cellStyle name="Saída 10 2 2 7 3 2" xfId="16410"/>
    <cellStyle name="Saída 10 2 2 7 3 2 2" xfId="28606"/>
    <cellStyle name="Saída 10 2 2 7 3 2 2 2" xfId="57785"/>
    <cellStyle name="Saída 10 2 2 7 3 2 3" xfId="45591"/>
    <cellStyle name="Saída 10 2 2 7 3 3" xfId="24178"/>
    <cellStyle name="Saída 10 2 2 7 3 3 2" xfId="53357"/>
    <cellStyle name="Saída 10 2 2 7 3 4" xfId="37307"/>
    <cellStyle name="Saída 10 2 2 7 4" xfId="12203"/>
    <cellStyle name="Saída 10 2 2 7 4 2" xfId="26028"/>
    <cellStyle name="Saída 10 2 2 7 4 2 2" xfId="55207"/>
    <cellStyle name="Saída 10 2 2 7 4 3" xfId="41384"/>
    <cellStyle name="Saída 10 2 2 7 5" xfId="21600"/>
    <cellStyle name="Saída 10 2 2 7 5 2" xfId="50779"/>
    <cellStyle name="Saída 10 2 2 7 6" xfId="31644"/>
    <cellStyle name="Saída 10 2 2 8" xfId="4225"/>
    <cellStyle name="Saída 10 2 2 8 2" xfId="13468"/>
    <cellStyle name="Saída 10 2 2 8 2 2" xfId="26748"/>
    <cellStyle name="Saída 10 2 2 8 2 2 2" xfId="55927"/>
    <cellStyle name="Saída 10 2 2 8 2 3" xfId="42649"/>
    <cellStyle name="Saída 10 2 2 8 3" xfId="22320"/>
    <cellStyle name="Saída 10 2 2 8 3 2" xfId="51499"/>
    <cellStyle name="Saída 10 2 2 8 4" xfId="33408"/>
    <cellStyle name="Saída 10 2 2 9" xfId="9148"/>
    <cellStyle name="Saída 10 2 2 9 2" xfId="17151"/>
    <cellStyle name="Saída 10 2 2 9 2 2" xfId="29009"/>
    <cellStyle name="Saída 10 2 2 9 2 2 2" xfId="58188"/>
    <cellStyle name="Saída 10 2 2 9 2 3" xfId="46332"/>
    <cellStyle name="Saída 10 2 2 9 3" xfId="24581"/>
    <cellStyle name="Saída 10 2 2 9 3 2" xfId="53760"/>
    <cellStyle name="Saída 10 2 2 9 4" xfId="38331"/>
    <cellStyle name="Saída 10 2 3" xfId="801"/>
    <cellStyle name="Saída 10 2 3 2" xfId="1739"/>
    <cellStyle name="Saída 10 2 3 2 2" xfId="3539"/>
    <cellStyle name="Saída 10 2 3 2 2 2" xfId="6527"/>
    <cellStyle name="Saída 10 2 3 2 2 2 2" xfId="15256"/>
    <cellStyle name="Saída 10 2 3 2 2 2 2 2" xfId="27880"/>
    <cellStyle name="Saída 10 2 3 2 2 2 2 2 2" xfId="57059"/>
    <cellStyle name="Saída 10 2 3 2 2 2 2 3" xfId="44437"/>
    <cellStyle name="Saída 10 2 3 2 2 2 3" xfId="23452"/>
    <cellStyle name="Saída 10 2 3 2 2 2 3 2" xfId="52631"/>
    <cellStyle name="Saída 10 2 3 2 2 2 4" xfId="35710"/>
    <cellStyle name="Saída 10 2 3 2 2 3" xfId="9196"/>
    <cellStyle name="Saída 10 2 3 2 2 3 2" xfId="17192"/>
    <cellStyle name="Saída 10 2 3 2 2 3 2 2" xfId="29029"/>
    <cellStyle name="Saída 10 2 3 2 2 3 2 2 2" xfId="58208"/>
    <cellStyle name="Saída 10 2 3 2 2 3 2 3" xfId="46373"/>
    <cellStyle name="Saída 10 2 3 2 2 3 3" xfId="24601"/>
    <cellStyle name="Saída 10 2 3 2 2 3 3 2" xfId="53780"/>
    <cellStyle name="Saída 10 2 3 2 2 3 4" xfId="38379"/>
    <cellStyle name="Saída 10 2 3 2 2 4" xfId="12967"/>
    <cellStyle name="Saída 10 2 3 2 2 4 2" xfId="26440"/>
    <cellStyle name="Saída 10 2 3 2 2 4 2 2" xfId="55619"/>
    <cellStyle name="Saída 10 2 3 2 2 4 3" xfId="42148"/>
    <cellStyle name="Saída 10 2 3 2 2 5" xfId="22012"/>
    <cellStyle name="Saída 10 2 3 2 2 5 2" xfId="51191"/>
    <cellStyle name="Saída 10 2 3 2 2 6" xfId="32722"/>
    <cellStyle name="Saída 10 2 3 2 3" xfId="5087"/>
    <cellStyle name="Saída 10 2 3 2 3 2" xfId="14132"/>
    <cellStyle name="Saída 10 2 3 2 3 2 2" xfId="27160"/>
    <cellStyle name="Saída 10 2 3 2 3 2 2 2" xfId="56339"/>
    <cellStyle name="Saída 10 2 3 2 3 2 3" xfId="43313"/>
    <cellStyle name="Saída 10 2 3 2 3 3" xfId="22732"/>
    <cellStyle name="Saída 10 2 3 2 3 3 2" xfId="51911"/>
    <cellStyle name="Saída 10 2 3 2 3 4" xfId="34270"/>
    <cellStyle name="Saída 10 2 3 2 4" xfId="8209"/>
    <cellStyle name="Saída 10 2 3 2 4 2" xfId="16474"/>
    <cellStyle name="Saída 10 2 3 2 4 2 2" xfId="28637"/>
    <cellStyle name="Saída 10 2 3 2 4 2 2 2" xfId="57816"/>
    <cellStyle name="Saída 10 2 3 2 4 2 3" xfId="45655"/>
    <cellStyle name="Saída 10 2 3 2 4 3" xfId="24209"/>
    <cellStyle name="Saída 10 2 3 2 4 3 2" xfId="53388"/>
    <cellStyle name="Saída 10 2 3 2 4 4" xfId="37392"/>
    <cellStyle name="Saída 10 2 3 2 5" xfId="11693"/>
    <cellStyle name="Saída 10 2 3 2 5 2" xfId="25720"/>
    <cellStyle name="Saída 10 2 3 2 5 2 2" xfId="54899"/>
    <cellStyle name="Saída 10 2 3 2 5 3" xfId="40874"/>
    <cellStyle name="Saída 10 2 3 2 6" xfId="21292"/>
    <cellStyle name="Saída 10 2 3 2 6 2" xfId="50471"/>
    <cellStyle name="Saída 10 2 3 2 7" xfId="30922"/>
    <cellStyle name="Saída 10 2 3 3" xfId="2639"/>
    <cellStyle name="Saída 10 2 3 3 2" xfId="5807"/>
    <cellStyle name="Saída 10 2 3 3 2 2" xfId="14697"/>
    <cellStyle name="Saída 10 2 3 3 2 2 2" xfId="27520"/>
    <cellStyle name="Saída 10 2 3 3 2 2 2 2" xfId="56699"/>
    <cellStyle name="Saída 10 2 3 3 2 2 3" xfId="43878"/>
    <cellStyle name="Saída 10 2 3 3 2 3" xfId="23092"/>
    <cellStyle name="Saída 10 2 3 3 2 3 2" xfId="52271"/>
    <cellStyle name="Saída 10 2 3 3 2 4" xfId="34990"/>
    <cellStyle name="Saída 10 2 3 3 3" xfId="8974"/>
    <cellStyle name="Saída 10 2 3 3 3 2" xfId="17032"/>
    <cellStyle name="Saída 10 2 3 3 3 2 2" xfId="28939"/>
    <cellStyle name="Saída 10 2 3 3 3 2 2 2" xfId="58118"/>
    <cellStyle name="Saída 10 2 3 3 3 2 3" xfId="46213"/>
    <cellStyle name="Saída 10 2 3 3 3 3" xfId="24511"/>
    <cellStyle name="Saída 10 2 3 3 3 3 2" xfId="53690"/>
    <cellStyle name="Saída 10 2 3 3 3 4" xfId="38157"/>
    <cellStyle name="Saída 10 2 3 3 4" xfId="12329"/>
    <cellStyle name="Saída 10 2 3 3 4 2" xfId="26080"/>
    <cellStyle name="Saída 10 2 3 3 4 2 2" xfId="55259"/>
    <cellStyle name="Saída 10 2 3 3 4 3" xfId="41510"/>
    <cellStyle name="Saída 10 2 3 3 5" xfId="21652"/>
    <cellStyle name="Saída 10 2 3 3 5 2" xfId="50831"/>
    <cellStyle name="Saída 10 2 3 3 6" xfId="31822"/>
    <cellStyle name="Saída 10 2 3 4" xfId="4367"/>
    <cellStyle name="Saída 10 2 3 4 2" xfId="13573"/>
    <cellStyle name="Saída 10 2 3 4 2 2" xfId="26800"/>
    <cellStyle name="Saída 10 2 3 4 2 2 2" xfId="55979"/>
    <cellStyle name="Saída 10 2 3 4 2 3" xfId="42754"/>
    <cellStyle name="Saída 10 2 3 4 3" xfId="22372"/>
    <cellStyle name="Saída 10 2 3 4 3 2" xfId="51551"/>
    <cellStyle name="Saída 10 2 3 4 4" xfId="33550"/>
    <cellStyle name="Saída 10 2 3 5" xfId="7651"/>
    <cellStyle name="Saída 10 2 3 5 2" xfId="16083"/>
    <cellStyle name="Saída 10 2 3 5 2 2" xfId="28422"/>
    <cellStyle name="Saída 10 2 3 5 2 2 2" xfId="57601"/>
    <cellStyle name="Saída 10 2 3 5 2 3" xfId="45264"/>
    <cellStyle name="Saída 10 2 3 5 3" xfId="23994"/>
    <cellStyle name="Saída 10 2 3 5 3 2" xfId="53173"/>
    <cellStyle name="Saída 10 2 3 5 4" xfId="36834"/>
    <cellStyle name="Saída 10 2 3 6" xfId="11032"/>
    <cellStyle name="Saída 10 2 3 6 2" xfId="25336"/>
    <cellStyle name="Saída 10 2 3 6 2 2" xfId="54515"/>
    <cellStyle name="Saída 10 2 3 6 3" xfId="40213"/>
    <cellStyle name="Saída 10 2 3 7" xfId="20908"/>
    <cellStyle name="Saída 10 2 3 7 2" xfId="50087"/>
    <cellStyle name="Saída 10 2 3 8" xfId="29998"/>
    <cellStyle name="Saída 10 2 4" xfId="993"/>
    <cellStyle name="Saída 10 2 4 2" xfId="1903"/>
    <cellStyle name="Saída 10 2 4 2 2" xfId="3703"/>
    <cellStyle name="Saída 10 2 4 2 2 2" xfId="6655"/>
    <cellStyle name="Saída 10 2 4 2 2 2 2" xfId="15356"/>
    <cellStyle name="Saída 10 2 4 2 2 2 2 2" xfId="27954"/>
    <cellStyle name="Saída 10 2 4 2 2 2 2 2 2" xfId="57133"/>
    <cellStyle name="Saída 10 2 4 2 2 2 2 3" xfId="44537"/>
    <cellStyle name="Saída 10 2 4 2 2 2 3" xfId="23526"/>
    <cellStyle name="Saída 10 2 4 2 2 2 3 2" xfId="52705"/>
    <cellStyle name="Saída 10 2 4 2 2 2 4" xfId="35838"/>
    <cellStyle name="Saída 10 2 4 2 2 3" xfId="9201"/>
    <cellStyle name="Saída 10 2 4 2 2 3 2" xfId="17196"/>
    <cellStyle name="Saída 10 2 4 2 2 3 2 2" xfId="29031"/>
    <cellStyle name="Saída 10 2 4 2 2 3 2 2 2" xfId="58210"/>
    <cellStyle name="Saída 10 2 4 2 2 3 2 3" xfId="46377"/>
    <cellStyle name="Saída 10 2 4 2 2 3 3" xfId="24603"/>
    <cellStyle name="Saída 10 2 4 2 2 3 3 2" xfId="53782"/>
    <cellStyle name="Saída 10 2 4 2 2 3 4" xfId="38384"/>
    <cellStyle name="Saída 10 2 4 2 2 4" xfId="13087"/>
    <cellStyle name="Saída 10 2 4 2 2 4 2" xfId="26514"/>
    <cellStyle name="Saída 10 2 4 2 2 4 2 2" xfId="55693"/>
    <cellStyle name="Saída 10 2 4 2 2 4 3" xfId="42268"/>
    <cellStyle name="Saída 10 2 4 2 2 5" xfId="22086"/>
    <cellStyle name="Saída 10 2 4 2 2 5 2" xfId="51265"/>
    <cellStyle name="Saída 10 2 4 2 2 6" xfId="32886"/>
    <cellStyle name="Saída 10 2 4 2 3" xfId="5215"/>
    <cellStyle name="Saída 10 2 4 2 3 2" xfId="14234"/>
    <cellStyle name="Saída 10 2 4 2 3 2 2" xfId="27234"/>
    <cellStyle name="Saída 10 2 4 2 3 2 2 2" xfId="56413"/>
    <cellStyle name="Saída 10 2 4 2 3 2 3" xfId="43415"/>
    <cellStyle name="Saída 10 2 4 2 3 3" xfId="22806"/>
    <cellStyle name="Saída 10 2 4 2 3 3 2" xfId="51985"/>
    <cellStyle name="Saída 10 2 4 2 3 4" xfId="34398"/>
    <cellStyle name="Saída 10 2 4 2 4" xfId="8087"/>
    <cellStyle name="Saída 10 2 4 2 4 2" xfId="16387"/>
    <cellStyle name="Saída 10 2 4 2 4 2 2" xfId="28594"/>
    <cellStyle name="Saída 10 2 4 2 4 2 2 2" xfId="57773"/>
    <cellStyle name="Saída 10 2 4 2 4 2 3" xfId="45568"/>
    <cellStyle name="Saída 10 2 4 2 4 3" xfId="24166"/>
    <cellStyle name="Saída 10 2 4 2 4 3 2" xfId="53345"/>
    <cellStyle name="Saída 10 2 4 2 4 4" xfId="37270"/>
    <cellStyle name="Saída 10 2 4 2 5" xfId="11811"/>
    <cellStyle name="Saída 10 2 4 2 5 2" xfId="25794"/>
    <cellStyle name="Saída 10 2 4 2 5 2 2" xfId="54973"/>
    <cellStyle name="Saída 10 2 4 2 5 3" xfId="40992"/>
    <cellStyle name="Saída 10 2 4 2 6" xfId="21366"/>
    <cellStyle name="Saída 10 2 4 2 6 2" xfId="50545"/>
    <cellStyle name="Saída 10 2 4 2 7" xfId="31086"/>
    <cellStyle name="Saída 10 2 4 3" xfId="2803"/>
    <cellStyle name="Saída 10 2 4 3 2" xfId="5935"/>
    <cellStyle name="Saída 10 2 4 3 2 2" xfId="14798"/>
    <cellStyle name="Saída 10 2 4 3 2 2 2" xfId="27594"/>
    <cellStyle name="Saída 10 2 4 3 2 2 2 2" xfId="56773"/>
    <cellStyle name="Saída 10 2 4 3 2 2 3" xfId="43979"/>
    <cellStyle name="Saída 10 2 4 3 2 3" xfId="23166"/>
    <cellStyle name="Saída 10 2 4 3 2 3 2" xfId="52345"/>
    <cellStyle name="Saída 10 2 4 3 2 4" xfId="35118"/>
    <cellStyle name="Saída 10 2 4 3 3" xfId="8852"/>
    <cellStyle name="Saída 10 2 4 3 3 2" xfId="16942"/>
    <cellStyle name="Saída 10 2 4 3 3 2 2" xfId="28893"/>
    <cellStyle name="Saída 10 2 4 3 3 2 2 2" xfId="58072"/>
    <cellStyle name="Saída 10 2 4 3 3 2 3" xfId="46123"/>
    <cellStyle name="Saída 10 2 4 3 3 3" xfId="24465"/>
    <cellStyle name="Saída 10 2 4 3 3 3 2" xfId="53644"/>
    <cellStyle name="Saída 10 2 4 3 3 4" xfId="38035"/>
    <cellStyle name="Saída 10 2 4 3 4" xfId="12448"/>
    <cellStyle name="Saída 10 2 4 3 4 2" xfId="26154"/>
    <cellStyle name="Saída 10 2 4 3 4 2 2" xfId="55333"/>
    <cellStyle name="Saída 10 2 4 3 4 3" xfId="41629"/>
    <cellStyle name="Saída 10 2 4 3 5" xfId="21726"/>
    <cellStyle name="Saída 10 2 4 3 5 2" xfId="50905"/>
    <cellStyle name="Saída 10 2 4 3 6" xfId="31986"/>
    <cellStyle name="Saída 10 2 4 4" xfId="4495"/>
    <cellStyle name="Saída 10 2 4 4 2" xfId="13677"/>
    <cellStyle name="Saída 10 2 4 4 2 2" xfId="26874"/>
    <cellStyle name="Saída 10 2 4 4 2 2 2" xfId="56053"/>
    <cellStyle name="Saída 10 2 4 4 2 3" xfId="42858"/>
    <cellStyle name="Saída 10 2 4 4 3" xfId="22446"/>
    <cellStyle name="Saída 10 2 4 4 3 2" xfId="51625"/>
    <cellStyle name="Saída 10 2 4 4 4" xfId="33678"/>
    <cellStyle name="Saída 10 2 4 5" xfId="9446"/>
    <cellStyle name="Saída 10 2 4 5 2" xfId="17365"/>
    <cellStyle name="Saída 10 2 4 5 2 2" xfId="29128"/>
    <cellStyle name="Saída 10 2 4 5 2 2 2" xfId="58307"/>
    <cellStyle name="Saída 10 2 4 5 2 3" xfId="46546"/>
    <cellStyle name="Saída 10 2 4 5 3" xfId="24700"/>
    <cellStyle name="Saída 10 2 4 5 3 2" xfId="53879"/>
    <cellStyle name="Saída 10 2 4 5 4" xfId="38629"/>
    <cellStyle name="Saída 10 2 4 6" xfId="11174"/>
    <cellStyle name="Saída 10 2 4 6 2" xfId="25431"/>
    <cellStyle name="Saída 10 2 4 6 2 2" xfId="54610"/>
    <cellStyle name="Saída 10 2 4 6 3" xfId="40355"/>
    <cellStyle name="Saída 10 2 4 7" xfId="21003"/>
    <cellStyle name="Saída 10 2 4 7 2" xfId="50182"/>
    <cellStyle name="Saída 10 2 4 8" xfId="30183"/>
    <cellStyle name="Saída 10 2 5" xfId="1143"/>
    <cellStyle name="Saída 10 2 5 2" xfId="2047"/>
    <cellStyle name="Saída 10 2 5 2 2" xfId="3847"/>
    <cellStyle name="Saída 10 2 5 2 2 2" xfId="6772"/>
    <cellStyle name="Saída 10 2 5 2 2 2 2" xfId="15448"/>
    <cellStyle name="Saída 10 2 5 2 2 2 2 2" xfId="28017"/>
    <cellStyle name="Saída 10 2 5 2 2 2 2 2 2" xfId="57196"/>
    <cellStyle name="Saída 10 2 5 2 2 2 2 3" xfId="44629"/>
    <cellStyle name="Saída 10 2 5 2 2 2 3" xfId="23589"/>
    <cellStyle name="Saída 10 2 5 2 2 2 3 2" xfId="52768"/>
    <cellStyle name="Saída 10 2 5 2 2 2 4" xfId="35955"/>
    <cellStyle name="Saída 10 2 5 2 2 3" xfId="7154"/>
    <cellStyle name="Saída 10 2 5 2 2 3 2" xfId="15738"/>
    <cellStyle name="Saída 10 2 5 2 2 3 2 2" xfId="28216"/>
    <cellStyle name="Saída 10 2 5 2 2 3 2 2 2" xfId="57395"/>
    <cellStyle name="Saída 10 2 5 2 2 3 2 3" xfId="44919"/>
    <cellStyle name="Saída 10 2 5 2 2 3 3" xfId="23788"/>
    <cellStyle name="Saída 10 2 5 2 2 3 3 2" xfId="52967"/>
    <cellStyle name="Saída 10 2 5 2 2 3 4" xfId="36337"/>
    <cellStyle name="Saída 10 2 5 2 2 4" xfId="13187"/>
    <cellStyle name="Saída 10 2 5 2 2 4 2" xfId="26577"/>
    <cellStyle name="Saída 10 2 5 2 2 4 2 2" xfId="55756"/>
    <cellStyle name="Saída 10 2 5 2 2 4 3" xfId="42368"/>
    <cellStyle name="Saída 10 2 5 2 2 5" xfId="22149"/>
    <cellStyle name="Saída 10 2 5 2 2 5 2" xfId="51328"/>
    <cellStyle name="Saída 10 2 5 2 2 6" xfId="33030"/>
    <cellStyle name="Saída 10 2 5 2 3" xfId="5332"/>
    <cellStyle name="Saída 10 2 5 2 3 2" xfId="14327"/>
    <cellStyle name="Saída 10 2 5 2 3 2 2" xfId="27297"/>
    <cellStyle name="Saída 10 2 5 2 3 2 2 2" xfId="56476"/>
    <cellStyle name="Saída 10 2 5 2 3 2 3" xfId="43508"/>
    <cellStyle name="Saída 10 2 5 2 3 3" xfId="22869"/>
    <cellStyle name="Saída 10 2 5 2 3 3 2" xfId="52048"/>
    <cellStyle name="Saída 10 2 5 2 3 4" xfId="34515"/>
    <cellStyle name="Saída 10 2 5 2 4" xfId="8665"/>
    <cellStyle name="Saída 10 2 5 2 4 2" xfId="16800"/>
    <cellStyle name="Saída 10 2 5 2 4 2 2" xfId="28814"/>
    <cellStyle name="Saída 10 2 5 2 4 2 2 2" xfId="57993"/>
    <cellStyle name="Saída 10 2 5 2 4 2 3" xfId="45981"/>
    <cellStyle name="Saída 10 2 5 2 4 3" xfId="24386"/>
    <cellStyle name="Saída 10 2 5 2 4 3 2" xfId="53565"/>
    <cellStyle name="Saída 10 2 5 2 4 4" xfId="37848"/>
    <cellStyle name="Saída 10 2 5 2 5" xfId="11912"/>
    <cellStyle name="Saída 10 2 5 2 5 2" xfId="25857"/>
    <cellStyle name="Saída 10 2 5 2 5 2 2" xfId="55036"/>
    <cellStyle name="Saída 10 2 5 2 5 3" xfId="41093"/>
    <cellStyle name="Saída 10 2 5 2 6" xfId="21429"/>
    <cellStyle name="Saída 10 2 5 2 6 2" xfId="50608"/>
    <cellStyle name="Saída 10 2 5 2 7" xfId="31230"/>
    <cellStyle name="Saída 10 2 5 3" xfId="2947"/>
    <cellStyle name="Saída 10 2 5 3 2" xfId="6052"/>
    <cellStyle name="Saída 10 2 5 3 2 2" xfId="14889"/>
    <cellStyle name="Saída 10 2 5 3 2 2 2" xfId="27657"/>
    <cellStyle name="Saída 10 2 5 3 2 2 2 2" xfId="56836"/>
    <cellStyle name="Saída 10 2 5 3 2 2 3" xfId="44070"/>
    <cellStyle name="Saída 10 2 5 3 2 3" xfId="23229"/>
    <cellStyle name="Saída 10 2 5 3 2 3 2" xfId="52408"/>
    <cellStyle name="Saída 10 2 5 3 2 4" xfId="35235"/>
    <cellStyle name="Saída 10 2 5 3 3" xfId="10191"/>
    <cellStyle name="Saída 10 2 5 3 3 2" xfId="17896"/>
    <cellStyle name="Saída 10 2 5 3 3 2 2" xfId="29426"/>
    <cellStyle name="Saída 10 2 5 3 3 2 2 2" xfId="58605"/>
    <cellStyle name="Saída 10 2 5 3 3 2 3" xfId="47077"/>
    <cellStyle name="Saída 10 2 5 3 3 3" xfId="24998"/>
    <cellStyle name="Saída 10 2 5 3 3 3 2" xfId="54177"/>
    <cellStyle name="Saída 10 2 5 3 3 4" xfId="39374"/>
    <cellStyle name="Saída 10 2 5 3 4" xfId="12551"/>
    <cellStyle name="Saída 10 2 5 3 4 2" xfId="26217"/>
    <cellStyle name="Saída 10 2 5 3 4 2 2" xfId="55396"/>
    <cellStyle name="Saída 10 2 5 3 4 3" xfId="41732"/>
    <cellStyle name="Saída 10 2 5 3 5" xfId="21789"/>
    <cellStyle name="Saída 10 2 5 3 5 2" xfId="50968"/>
    <cellStyle name="Saída 10 2 5 3 6" xfId="32130"/>
    <cellStyle name="Saída 10 2 5 4" xfId="4612"/>
    <cellStyle name="Saída 10 2 5 4 2" xfId="13770"/>
    <cellStyle name="Saída 10 2 5 4 2 2" xfId="26937"/>
    <cellStyle name="Saída 10 2 5 4 2 2 2" xfId="56116"/>
    <cellStyle name="Saída 10 2 5 4 2 3" xfId="42951"/>
    <cellStyle name="Saída 10 2 5 4 3" xfId="22509"/>
    <cellStyle name="Saída 10 2 5 4 3 2" xfId="51688"/>
    <cellStyle name="Saída 10 2 5 4 4" xfId="33795"/>
    <cellStyle name="Saída 10 2 5 5" xfId="9833"/>
    <cellStyle name="Saída 10 2 5 5 2" xfId="17649"/>
    <cellStyle name="Saída 10 2 5 5 2 2" xfId="29285"/>
    <cellStyle name="Saída 10 2 5 5 2 2 2" xfId="58464"/>
    <cellStyle name="Saída 10 2 5 5 2 3" xfId="46830"/>
    <cellStyle name="Saída 10 2 5 5 3" xfId="24857"/>
    <cellStyle name="Saída 10 2 5 5 3 2" xfId="54036"/>
    <cellStyle name="Saída 10 2 5 5 4" xfId="39016"/>
    <cellStyle name="Saída 10 2 5 6" xfId="11280"/>
    <cellStyle name="Saída 10 2 5 6 2" xfId="25497"/>
    <cellStyle name="Saída 10 2 5 6 2 2" xfId="54676"/>
    <cellStyle name="Saída 10 2 5 6 3" xfId="40461"/>
    <cellStyle name="Saída 10 2 5 7" xfId="21069"/>
    <cellStyle name="Saída 10 2 5 7 2" xfId="50248"/>
    <cellStyle name="Saída 10 2 5 8" xfId="30330"/>
    <cellStyle name="Saída 10 2 6" xfId="1289"/>
    <cellStyle name="Saída 10 2 6 2" xfId="2191"/>
    <cellStyle name="Saída 10 2 6 2 2" xfId="3991"/>
    <cellStyle name="Saída 10 2 6 2 2 2" xfId="6889"/>
    <cellStyle name="Saída 10 2 6 2 2 2 2" xfId="15543"/>
    <cellStyle name="Saída 10 2 6 2 2 2 2 2" xfId="28080"/>
    <cellStyle name="Saída 10 2 6 2 2 2 2 2 2" xfId="57259"/>
    <cellStyle name="Saída 10 2 6 2 2 2 2 3" xfId="44724"/>
    <cellStyle name="Saída 10 2 6 2 2 2 3" xfId="23652"/>
    <cellStyle name="Saída 10 2 6 2 2 2 3 2" xfId="52831"/>
    <cellStyle name="Saída 10 2 6 2 2 2 4" xfId="36072"/>
    <cellStyle name="Saída 10 2 6 2 2 3" xfId="7089"/>
    <cellStyle name="Saída 10 2 6 2 2 3 2" xfId="15689"/>
    <cellStyle name="Saída 10 2 6 2 2 3 2 2" xfId="28188"/>
    <cellStyle name="Saída 10 2 6 2 2 3 2 2 2" xfId="57367"/>
    <cellStyle name="Saída 10 2 6 2 2 3 2 3" xfId="44870"/>
    <cellStyle name="Saída 10 2 6 2 2 3 3" xfId="23760"/>
    <cellStyle name="Saída 10 2 6 2 2 3 3 2" xfId="52939"/>
    <cellStyle name="Saída 10 2 6 2 2 3 4" xfId="36272"/>
    <cellStyle name="Saída 10 2 6 2 2 4" xfId="13292"/>
    <cellStyle name="Saída 10 2 6 2 2 4 2" xfId="26640"/>
    <cellStyle name="Saída 10 2 6 2 2 4 2 2" xfId="55819"/>
    <cellStyle name="Saída 10 2 6 2 2 4 3" xfId="42473"/>
    <cellStyle name="Saída 10 2 6 2 2 5" xfId="22212"/>
    <cellStyle name="Saída 10 2 6 2 2 5 2" xfId="51391"/>
    <cellStyle name="Saída 10 2 6 2 2 6" xfId="33174"/>
    <cellStyle name="Saída 10 2 6 2 3" xfId="5449"/>
    <cellStyle name="Saída 10 2 6 2 3 2" xfId="14423"/>
    <cellStyle name="Saída 10 2 6 2 3 2 2" xfId="27360"/>
    <cellStyle name="Saída 10 2 6 2 3 2 2 2" xfId="56539"/>
    <cellStyle name="Saída 10 2 6 2 3 2 3" xfId="43604"/>
    <cellStyle name="Saída 10 2 6 2 3 3" xfId="22932"/>
    <cellStyle name="Saída 10 2 6 2 3 3 2" xfId="52111"/>
    <cellStyle name="Saída 10 2 6 2 3 4" xfId="34632"/>
    <cellStyle name="Saída 10 2 6 2 4" xfId="8562"/>
    <cellStyle name="Saída 10 2 6 2 4 2" xfId="16722"/>
    <cellStyle name="Saída 10 2 6 2 4 2 2" xfId="28770"/>
    <cellStyle name="Saída 10 2 6 2 4 2 2 2" xfId="57949"/>
    <cellStyle name="Saída 10 2 6 2 4 2 3" xfId="45903"/>
    <cellStyle name="Saída 10 2 6 2 4 3" xfId="24342"/>
    <cellStyle name="Saída 10 2 6 2 4 3 2" xfId="53521"/>
    <cellStyle name="Saída 10 2 6 2 4 4" xfId="37745"/>
    <cellStyle name="Saída 10 2 6 2 5" xfId="12016"/>
    <cellStyle name="Saída 10 2 6 2 5 2" xfId="25920"/>
    <cellStyle name="Saída 10 2 6 2 5 2 2" xfId="55099"/>
    <cellStyle name="Saída 10 2 6 2 5 3" xfId="41197"/>
    <cellStyle name="Saída 10 2 6 2 6" xfId="21492"/>
    <cellStyle name="Saída 10 2 6 2 6 2" xfId="50671"/>
    <cellStyle name="Saída 10 2 6 2 7" xfId="31374"/>
    <cellStyle name="Saída 10 2 6 3" xfId="3091"/>
    <cellStyle name="Saída 10 2 6 3 2" xfId="6169"/>
    <cellStyle name="Saída 10 2 6 3 2 2" xfId="14984"/>
    <cellStyle name="Saída 10 2 6 3 2 2 2" xfId="27720"/>
    <cellStyle name="Saída 10 2 6 3 2 2 2 2" xfId="56899"/>
    <cellStyle name="Saída 10 2 6 3 2 2 3" xfId="44165"/>
    <cellStyle name="Saída 10 2 6 3 2 3" xfId="23292"/>
    <cellStyle name="Saída 10 2 6 3 2 3 2" xfId="52471"/>
    <cellStyle name="Saída 10 2 6 3 2 4" xfId="35352"/>
    <cellStyle name="Saída 10 2 6 3 3" xfId="10088"/>
    <cellStyle name="Saída 10 2 6 3 3 2" xfId="17819"/>
    <cellStyle name="Saída 10 2 6 3 3 2 2" xfId="29382"/>
    <cellStyle name="Saída 10 2 6 3 3 2 2 2" xfId="58561"/>
    <cellStyle name="Saída 10 2 6 3 3 2 3" xfId="47000"/>
    <cellStyle name="Saída 10 2 6 3 3 3" xfId="24954"/>
    <cellStyle name="Saída 10 2 6 3 3 3 2" xfId="54133"/>
    <cellStyle name="Saída 10 2 6 3 3 4" xfId="39271"/>
    <cellStyle name="Saída 10 2 6 3 4" xfId="12654"/>
    <cellStyle name="Saída 10 2 6 3 4 2" xfId="26280"/>
    <cellStyle name="Saída 10 2 6 3 4 2 2" xfId="55459"/>
    <cellStyle name="Saída 10 2 6 3 4 3" xfId="41835"/>
    <cellStyle name="Saída 10 2 6 3 5" xfId="21852"/>
    <cellStyle name="Saída 10 2 6 3 5 2" xfId="51031"/>
    <cellStyle name="Saída 10 2 6 3 6" xfId="32274"/>
    <cellStyle name="Saída 10 2 6 4" xfId="4729"/>
    <cellStyle name="Saída 10 2 6 4 2" xfId="13861"/>
    <cellStyle name="Saída 10 2 6 4 2 2" xfId="27000"/>
    <cellStyle name="Saída 10 2 6 4 2 2 2" xfId="56179"/>
    <cellStyle name="Saída 10 2 6 4 2 3" xfId="43042"/>
    <cellStyle name="Saída 10 2 6 4 3" xfId="22572"/>
    <cellStyle name="Saída 10 2 6 4 3 2" xfId="51751"/>
    <cellStyle name="Saída 10 2 6 4 4" xfId="33912"/>
    <cellStyle name="Saída 10 2 6 5" xfId="9597"/>
    <cellStyle name="Saída 10 2 6 5 2" xfId="17466"/>
    <cellStyle name="Saída 10 2 6 5 2 2" xfId="29188"/>
    <cellStyle name="Saída 10 2 6 5 2 2 2" xfId="58367"/>
    <cellStyle name="Saída 10 2 6 5 2 3" xfId="46647"/>
    <cellStyle name="Saída 10 2 6 5 3" xfId="24760"/>
    <cellStyle name="Saída 10 2 6 5 3 2" xfId="53939"/>
    <cellStyle name="Saída 10 2 6 5 4" xfId="38780"/>
    <cellStyle name="Saída 10 2 6 6" xfId="11386"/>
    <cellStyle name="Saída 10 2 6 6 2" xfId="25560"/>
    <cellStyle name="Saída 10 2 6 6 2 2" xfId="54739"/>
    <cellStyle name="Saída 10 2 6 6 3" xfId="40567"/>
    <cellStyle name="Saída 10 2 6 7" xfId="21132"/>
    <cellStyle name="Saída 10 2 6 7 2" xfId="50311"/>
    <cellStyle name="Saída 10 2 6 8" xfId="30474"/>
    <cellStyle name="Saída 10 2 7" xfId="1471"/>
    <cellStyle name="Saída 10 2 7 2" xfId="3271"/>
    <cellStyle name="Saída 10 2 7 2 2" xfId="6313"/>
    <cellStyle name="Saída 10 2 7 2 2 2" xfId="15087"/>
    <cellStyle name="Saída 10 2 7 2 2 2 2" xfId="27792"/>
    <cellStyle name="Saída 10 2 7 2 2 2 2 2" xfId="56971"/>
    <cellStyle name="Saída 10 2 7 2 2 2 3" xfId="44268"/>
    <cellStyle name="Saída 10 2 7 2 2 3" xfId="23364"/>
    <cellStyle name="Saída 10 2 7 2 2 3 2" xfId="52543"/>
    <cellStyle name="Saída 10 2 7 2 2 4" xfId="35496"/>
    <cellStyle name="Saída 10 2 7 2 3" xfId="8967"/>
    <cellStyle name="Saída 10 2 7 2 3 2" xfId="17026"/>
    <cellStyle name="Saída 10 2 7 2 3 2 2" xfId="28936"/>
    <cellStyle name="Saída 10 2 7 2 3 2 2 2" xfId="58115"/>
    <cellStyle name="Saída 10 2 7 2 3 2 3" xfId="46207"/>
    <cellStyle name="Saída 10 2 7 2 3 3" xfId="24508"/>
    <cellStyle name="Saída 10 2 7 2 3 3 2" xfId="53687"/>
    <cellStyle name="Saída 10 2 7 2 3 4" xfId="38150"/>
    <cellStyle name="Saída 10 2 7 2 4" xfId="12778"/>
    <cellStyle name="Saída 10 2 7 2 4 2" xfId="26352"/>
    <cellStyle name="Saída 10 2 7 2 4 2 2" xfId="55531"/>
    <cellStyle name="Saída 10 2 7 2 4 3" xfId="41959"/>
    <cellStyle name="Saída 10 2 7 2 5" xfId="21924"/>
    <cellStyle name="Saída 10 2 7 2 5 2" xfId="51103"/>
    <cellStyle name="Saída 10 2 7 2 6" xfId="32454"/>
    <cellStyle name="Saída 10 2 7 3" xfId="4873"/>
    <cellStyle name="Saída 10 2 7 3 2" xfId="13963"/>
    <cellStyle name="Saída 10 2 7 3 2 2" xfId="27072"/>
    <cellStyle name="Saída 10 2 7 3 2 2 2" xfId="56251"/>
    <cellStyle name="Saída 10 2 7 3 2 3" xfId="43144"/>
    <cellStyle name="Saída 10 2 7 3 3" xfId="22644"/>
    <cellStyle name="Saída 10 2 7 3 3 2" xfId="51823"/>
    <cellStyle name="Saída 10 2 7 3 4" xfId="34056"/>
    <cellStyle name="Saída 10 2 7 4" xfId="8789"/>
    <cellStyle name="Saída 10 2 7 4 2" xfId="16892"/>
    <cellStyle name="Saída 10 2 7 4 2 2" xfId="28864"/>
    <cellStyle name="Saída 10 2 7 4 2 2 2" xfId="58043"/>
    <cellStyle name="Saída 10 2 7 4 2 3" xfId="46073"/>
    <cellStyle name="Saída 10 2 7 4 3" xfId="24436"/>
    <cellStyle name="Saída 10 2 7 4 3 2" xfId="53615"/>
    <cellStyle name="Saída 10 2 7 4 4" xfId="37972"/>
    <cellStyle name="Saída 10 2 7 5" xfId="11508"/>
    <cellStyle name="Saída 10 2 7 5 2" xfId="25632"/>
    <cellStyle name="Saída 10 2 7 5 2 2" xfId="54811"/>
    <cellStyle name="Saída 10 2 7 5 3" xfId="40689"/>
    <cellStyle name="Saída 10 2 7 6" xfId="21204"/>
    <cellStyle name="Saída 10 2 7 6 2" xfId="50383"/>
    <cellStyle name="Saída 10 2 7 7" xfId="30654"/>
    <cellStyle name="Saída 10 2 8" xfId="2371"/>
    <cellStyle name="Saída 10 2 8 2" xfId="5593"/>
    <cellStyle name="Saída 10 2 8 2 2" xfId="14528"/>
    <cellStyle name="Saída 10 2 8 2 2 2" xfId="27432"/>
    <cellStyle name="Saída 10 2 8 2 2 2 2" xfId="56611"/>
    <cellStyle name="Saída 10 2 8 2 2 3" xfId="43709"/>
    <cellStyle name="Saída 10 2 8 2 3" xfId="23004"/>
    <cellStyle name="Saída 10 2 8 2 3 2" xfId="52183"/>
    <cellStyle name="Saída 10 2 8 2 4" xfId="34776"/>
    <cellStyle name="Saída 10 2 8 3" xfId="7496"/>
    <cellStyle name="Saída 10 2 8 3 2" xfId="15973"/>
    <cellStyle name="Saída 10 2 8 3 2 2" xfId="28364"/>
    <cellStyle name="Saída 10 2 8 3 2 2 2" xfId="57543"/>
    <cellStyle name="Saída 10 2 8 3 2 3" xfId="45154"/>
    <cellStyle name="Saída 10 2 8 3 3" xfId="23936"/>
    <cellStyle name="Saída 10 2 8 3 3 2" xfId="53115"/>
    <cellStyle name="Saída 10 2 8 3 4" xfId="36679"/>
    <cellStyle name="Saída 10 2 8 4" xfId="12137"/>
    <cellStyle name="Saída 10 2 8 4 2" xfId="25992"/>
    <cellStyle name="Saída 10 2 8 4 2 2" xfId="55171"/>
    <cellStyle name="Saída 10 2 8 4 3" xfId="41318"/>
    <cellStyle name="Saída 10 2 8 5" xfId="21564"/>
    <cellStyle name="Saída 10 2 8 5 2" xfId="50743"/>
    <cellStyle name="Saída 10 2 8 6" xfId="31554"/>
    <cellStyle name="Saída 10 2 9" xfId="4153"/>
    <cellStyle name="Saída 10 2 9 2" xfId="13406"/>
    <cellStyle name="Saída 10 2 9 2 2" xfId="26712"/>
    <cellStyle name="Saída 10 2 9 2 2 2" xfId="55891"/>
    <cellStyle name="Saída 10 2 9 2 3" xfId="42587"/>
    <cellStyle name="Saída 10 2 9 3" xfId="22284"/>
    <cellStyle name="Saída 10 2 9 3 2" xfId="51463"/>
    <cellStyle name="Saída 10 2 9 4" xfId="33336"/>
    <cellStyle name="Saída 10 3" xfId="493"/>
    <cellStyle name="Saída 10 3 10" xfId="10791"/>
    <cellStyle name="Saída 10 3 10 2" xfId="25190"/>
    <cellStyle name="Saída 10 3 10 2 2" xfId="54369"/>
    <cellStyle name="Saída 10 3 10 3" xfId="39972"/>
    <cellStyle name="Saída 10 3 11" xfId="20762"/>
    <cellStyle name="Saída 10 3 11 2" xfId="49941"/>
    <cellStyle name="Saída 10 3 12" xfId="29699"/>
    <cellStyle name="Saída 10 3 2" xfId="846"/>
    <cellStyle name="Saída 10 3 2 2" xfId="1784"/>
    <cellStyle name="Saída 10 3 2 2 2" xfId="3584"/>
    <cellStyle name="Saída 10 3 2 2 2 2" xfId="6563"/>
    <cellStyle name="Saída 10 3 2 2 2 2 2" xfId="15280"/>
    <cellStyle name="Saída 10 3 2 2 2 2 2 2" xfId="27898"/>
    <cellStyle name="Saída 10 3 2 2 2 2 2 2 2" xfId="57077"/>
    <cellStyle name="Saída 10 3 2 2 2 2 2 3" xfId="44461"/>
    <cellStyle name="Saída 10 3 2 2 2 2 3" xfId="23470"/>
    <cellStyle name="Saída 10 3 2 2 2 2 3 2" xfId="52649"/>
    <cellStyle name="Saída 10 3 2 2 2 2 4" xfId="35746"/>
    <cellStyle name="Saída 10 3 2 2 2 3" xfId="8510"/>
    <cellStyle name="Saída 10 3 2 2 2 3 2" xfId="16688"/>
    <cellStyle name="Saída 10 3 2 2 2 3 2 2" xfId="28751"/>
    <cellStyle name="Saída 10 3 2 2 2 3 2 2 2" xfId="57930"/>
    <cellStyle name="Saída 10 3 2 2 2 3 2 3" xfId="45869"/>
    <cellStyle name="Saída 10 3 2 2 2 3 3" xfId="24323"/>
    <cellStyle name="Saída 10 3 2 2 2 3 3 2" xfId="53502"/>
    <cellStyle name="Saída 10 3 2 2 2 3 4" xfId="37693"/>
    <cellStyle name="Saída 10 3 2 2 2 4" xfId="12996"/>
    <cellStyle name="Saída 10 3 2 2 2 4 2" xfId="26458"/>
    <cellStyle name="Saída 10 3 2 2 2 4 2 2" xfId="55637"/>
    <cellStyle name="Saída 10 3 2 2 2 4 3" xfId="42177"/>
    <cellStyle name="Saída 10 3 2 2 2 5" xfId="22030"/>
    <cellStyle name="Saída 10 3 2 2 2 5 2" xfId="51209"/>
    <cellStyle name="Saída 10 3 2 2 2 6" xfId="32767"/>
    <cellStyle name="Saída 10 3 2 2 3" xfId="5123"/>
    <cellStyle name="Saída 10 3 2 2 3 2" xfId="14157"/>
    <cellStyle name="Saída 10 3 2 2 3 2 2" xfId="27178"/>
    <cellStyle name="Saída 10 3 2 2 3 2 2 2" xfId="56357"/>
    <cellStyle name="Saída 10 3 2 2 3 2 3" xfId="43338"/>
    <cellStyle name="Saída 10 3 2 2 3 3" xfId="22750"/>
    <cellStyle name="Saída 10 3 2 2 3 3 2" xfId="51929"/>
    <cellStyle name="Saída 10 3 2 2 3 4" xfId="34306"/>
    <cellStyle name="Saída 10 3 2 2 4" xfId="8049"/>
    <cellStyle name="Saída 10 3 2 2 4 2" xfId="16360"/>
    <cellStyle name="Saída 10 3 2 2 4 2 2" xfId="28577"/>
    <cellStyle name="Saída 10 3 2 2 4 2 2 2" xfId="57756"/>
    <cellStyle name="Saída 10 3 2 2 4 2 3" xfId="45541"/>
    <cellStyle name="Saída 10 3 2 2 4 3" xfId="24149"/>
    <cellStyle name="Saída 10 3 2 2 4 3 2" xfId="53328"/>
    <cellStyle name="Saída 10 3 2 2 4 4" xfId="37232"/>
    <cellStyle name="Saída 10 3 2 2 5" xfId="11722"/>
    <cellStyle name="Saída 10 3 2 2 5 2" xfId="25738"/>
    <cellStyle name="Saída 10 3 2 2 5 2 2" xfId="54917"/>
    <cellStyle name="Saída 10 3 2 2 5 3" xfId="40903"/>
    <cellStyle name="Saída 10 3 2 2 6" xfId="21310"/>
    <cellStyle name="Saída 10 3 2 2 6 2" xfId="50489"/>
    <cellStyle name="Saída 10 3 2 2 7" xfId="30967"/>
    <cellStyle name="Saída 10 3 2 3" xfId="2684"/>
    <cellStyle name="Saída 10 3 2 3 2" xfId="5843"/>
    <cellStyle name="Saída 10 3 2 3 2 2" xfId="14724"/>
    <cellStyle name="Saída 10 3 2 3 2 2 2" xfId="27538"/>
    <cellStyle name="Saída 10 3 2 3 2 2 2 2" xfId="56717"/>
    <cellStyle name="Saída 10 3 2 3 2 2 3" xfId="43905"/>
    <cellStyle name="Saída 10 3 2 3 2 3" xfId="23110"/>
    <cellStyle name="Saída 10 3 2 3 2 3 2" xfId="52289"/>
    <cellStyle name="Saída 10 3 2 3 2 4" xfId="35026"/>
    <cellStyle name="Saída 10 3 2 3 3" xfId="8814"/>
    <cellStyle name="Saída 10 3 2 3 3 2" xfId="16910"/>
    <cellStyle name="Saída 10 3 2 3 3 2 2" xfId="28877"/>
    <cellStyle name="Saída 10 3 2 3 3 2 2 2" xfId="58056"/>
    <cellStyle name="Saída 10 3 2 3 3 2 3" xfId="46091"/>
    <cellStyle name="Saída 10 3 2 3 3 3" xfId="24449"/>
    <cellStyle name="Saída 10 3 2 3 3 3 2" xfId="53628"/>
    <cellStyle name="Saída 10 3 2 3 3 4" xfId="37997"/>
    <cellStyle name="Saída 10 3 2 3 4" xfId="12359"/>
    <cellStyle name="Saída 10 3 2 3 4 2" xfId="26098"/>
    <cellStyle name="Saída 10 3 2 3 4 2 2" xfId="55277"/>
    <cellStyle name="Saída 10 3 2 3 4 3" xfId="41540"/>
    <cellStyle name="Saída 10 3 2 3 5" xfId="21670"/>
    <cellStyle name="Saída 10 3 2 3 5 2" xfId="50849"/>
    <cellStyle name="Saída 10 3 2 3 6" xfId="31867"/>
    <cellStyle name="Saída 10 3 2 4" xfId="4403"/>
    <cellStyle name="Saída 10 3 2 4 2" xfId="13601"/>
    <cellStyle name="Saída 10 3 2 4 2 2" xfId="26818"/>
    <cellStyle name="Saída 10 3 2 4 2 2 2" xfId="55997"/>
    <cellStyle name="Saída 10 3 2 4 2 3" xfId="42782"/>
    <cellStyle name="Saída 10 3 2 4 3" xfId="22390"/>
    <cellStyle name="Saída 10 3 2 4 3 2" xfId="51569"/>
    <cellStyle name="Saída 10 3 2 4 4" xfId="33586"/>
    <cellStyle name="Saída 10 3 2 5" xfId="8993"/>
    <cellStyle name="Saída 10 3 2 5 2" xfId="17047"/>
    <cellStyle name="Saída 10 3 2 5 2 2" xfId="28948"/>
    <cellStyle name="Saída 10 3 2 5 2 2 2" xfId="58127"/>
    <cellStyle name="Saída 10 3 2 5 2 3" xfId="46228"/>
    <cellStyle name="Saída 10 3 2 5 3" xfId="24520"/>
    <cellStyle name="Saída 10 3 2 5 3 2" xfId="53699"/>
    <cellStyle name="Saída 10 3 2 5 4" xfId="38176"/>
    <cellStyle name="Saída 10 3 2 6" xfId="11061"/>
    <cellStyle name="Saída 10 3 2 6 2" xfId="25354"/>
    <cellStyle name="Saída 10 3 2 6 2 2" xfId="54533"/>
    <cellStyle name="Saída 10 3 2 6 3" xfId="40242"/>
    <cellStyle name="Saída 10 3 2 7" xfId="20926"/>
    <cellStyle name="Saída 10 3 2 7 2" xfId="50105"/>
    <cellStyle name="Saída 10 3 2 8" xfId="30043"/>
    <cellStyle name="Saída 10 3 3" xfId="1038"/>
    <cellStyle name="Saída 10 3 3 2" xfId="1948"/>
    <cellStyle name="Saída 10 3 3 2 2" xfId="3748"/>
    <cellStyle name="Saída 10 3 3 2 2 2" xfId="6691"/>
    <cellStyle name="Saída 10 3 3 2 2 2 2" xfId="15385"/>
    <cellStyle name="Saída 10 3 3 2 2 2 2 2" xfId="27972"/>
    <cellStyle name="Saída 10 3 3 2 2 2 2 2 2" xfId="57151"/>
    <cellStyle name="Saída 10 3 3 2 2 2 2 3" xfId="44566"/>
    <cellStyle name="Saída 10 3 3 2 2 2 3" xfId="23544"/>
    <cellStyle name="Saída 10 3 3 2 2 2 3 2" xfId="52723"/>
    <cellStyle name="Saída 10 3 3 2 2 2 4" xfId="35874"/>
    <cellStyle name="Saída 10 3 3 2 2 3" xfId="8343"/>
    <cellStyle name="Saída 10 3 3 2 2 3 2" xfId="16575"/>
    <cellStyle name="Saída 10 3 3 2 2 3 2 2" xfId="28691"/>
    <cellStyle name="Saída 10 3 3 2 2 3 2 2 2" xfId="57870"/>
    <cellStyle name="Saída 10 3 3 2 2 3 2 3" xfId="45756"/>
    <cellStyle name="Saída 10 3 3 2 2 3 3" xfId="24263"/>
    <cellStyle name="Saída 10 3 3 2 2 3 3 2" xfId="53442"/>
    <cellStyle name="Saída 10 3 3 2 2 3 4" xfId="37526"/>
    <cellStyle name="Saída 10 3 3 2 2 4" xfId="13118"/>
    <cellStyle name="Saída 10 3 3 2 2 4 2" xfId="26532"/>
    <cellStyle name="Saída 10 3 3 2 2 4 2 2" xfId="55711"/>
    <cellStyle name="Saída 10 3 3 2 2 4 3" xfId="42299"/>
    <cellStyle name="Saída 10 3 3 2 2 5" xfId="22104"/>
    <cellStyle name="Saída 10 3 3 2 2 5 2" xfId="51283"/>
    <cellStyle name="Saída 10 3 3 2 2 6" xfId="32931"/>
    <cellStyle name="Saída 10 3 3 2 3" xfId="5251"/>
    <cellStyle name="Saída 10 3 3 2 3 2" xfId="14264"/>
    <cellStyle name="Saída 10 3 3 2 3 2 2" xfId="27252"/>
    <cellStyle name="Saída 10 3 3 2 3 2 2 2" xfId="56431"/>
    <cellStyle name="Saída 10 3 3 2 3 2 3" xfId="43445"/>
    <cellStyle name="Saída 10 3 3 2 3 3" xfId="22824"/>
    <cellStyle name="Saída 10 3 3 2 3 3 2" xfId="52003"/>
    <cellStyle name="Saída 10 3 3 2 3 4" xfId="34434"/>
    <cellStyle name="Saída 10 3 3 2 4" xfId="7922"/>
    <cellStyle name="Saída 10 3 3 2 4 2" xfId="16271"/>
    <cellStyle name="Saída 10 3 3 2 4 2 2" xfId="28528"/>
    <cellStyle name="Saída 10 3 3 2 4 2 2 2" xfId="57707"/>
    <cellStyle name="Saída 10 3 3 2 4 2 3" xfId="45452"/>
    <cellStyle name="Saída 10 3 3 2 4 3" xfId="24100"/>
    <cellStyle name="Saída 10 3 3 2 4 3 2" xfId="53279"/>
    <cellStyle name="Saída 10 3 3 2 4 4" xfId="37105"/>
    <cellStyle name="Saída 10 3 3 2 5" xfId="11842"/>
    <cellStyle name="Saída 10 3 3 2 5 2" xfId="25812"/>
    <cellStyle name="Saída 10 3 3 2 5 2 2" xfId="54991"/>
    <cellStyle name="Saída 10 3 3 2 5 3" xfId="41023"/>
    <cellStyle name="Saída 10 3 3 2 6" xfId="21384"/>
    <cellStyle name="Saída 10 3 3 2 6 2" xfId="50563"/>
    <cellStyle name="Saída 10 3 3 2 7" xfId="31131"/>
    <cellStyle name="Saída 10 3 3 3" xfId="2848"/>
    <cellStyle name="Saída 10 3 3 3 2" xfId="5971"/>
    <cellStyle name="Saída 10 3 3 3 2 2" xfId="14828"/>
    <cellStyle name="Saída 10 3 3 3 2 2 2" xfId="27612"/>
    <cellStyle name="Saída 10 3 3 3 2 2 2 2" xfId="56791"/>
    <cellStyle name="Saída 10 3 3 3 2 2 3" xfId="44009"/>
    <cellStyle name="Saída 10 3 3 3 2 3" xfId="23184"/>
    <cellStyle name="Saída 10 3 3 3 2 3 2" xfId="52363"/>
    <cellStyle name="Saída 10 3 3 3 2 4" xfId="35154"/>
    <cellStyle name="Saída 10 3 3 3 3" xfId="8695"/>
    <cellStyle name="Saída 10 3 3 3 3 2" xfId="16823"/>
    <cellStyle name="Saída 10 3 3 3 3 2 2" xfId="28829"/>
    <cellStyle name="Saída 10 3 3 3 3 2 2 2" xfId="58008"/>
    <cellStyle name="Saída 10 3 3 3 3 2 3" xfId="46004"/>
    <cellStyle name="Saída 10 3 3 3 3 3" xfId="24401"/>
    <cellStyle name="Saída 10 3 3 3 3 3 2" xfId="53580"/>
    <cellStyle name="Saída 10 3 3 3 3 4" xfId="37878"/>
    <cellStyle name="Saída 10 3 3 3 4" xfId="12481"/>
    <cellStyle name="Saída 10 3 3 3 4 2" xfId="26172"/>
    <cellStyle name="Saída 10 3 3 3 4 2 2" xfId="55351"/>
    <cellStyle name="Saída 10 3 3 3 4 3" xfId="41662"/>
    <cellStyle name="Saída 10 3 3 3 5" xfId="21744"/>
    <cellStyle name="Saída 10 3 3 3 5 2" xfId="50923"/>
    <cellStyle name="Saída 10 3 3 3 6" xfId="32031"/>
    <cellStyle name="Saída 10 3 3 4" xfId="4531"/>
    <cellStyle name="Saída 10 3 3 4 2" xfId="13707"/>
    <cellStyle name="Saída 10 3 3 4 2 2" xfId="26892"/>
    <cellStyle name="Saída 10 3 3 4 2 2 2" xfId="56071"/>
    <cellStyle name="Saída 10 3 3 4 2 3" xfId="42888"/>
    <cellStyle name="Saída 10 3 3 4 3" xfId="22464"/>
    <cellStyle name="Saída 10 3 3 4 3 2" xfId="51643"/>
    <cellStyle name="Saída 10 3 3 4 4" xfId="33714"/>
    <cellStyle name="Saída 10 3 3 5" xfId="9251"/>
    <cellStyle name="Saída 10 3 3 5 2" xfId="17228"/>
    <cellStyle name="Saída 10 3 3 5 2 2" xfId="29048"/>
    <cellStyle name="Saída 10 3 3 5 2 2 2" xfId="58227"/>
    <cellStyle name="Saída 10 3 3 5 2 3" xfId="46409"/>
    <cellStyle name="Saída 10 3 3 5 3" xfId="24620"/>
    <cellStyle name="Saída 10 3 3 5 3 2" xfId="53799"/>
    <cellStyle name="Saída 10 3 3 5 4" xfId="38434"/>
    <cellStyle name="Saída 10 3 3 6" xfId="11205"/>
    <cellStyle name="Saída 10 3 3 6 2" xfId="25449"/>
    <cellStyle name="Saída 10 3 3 6 2 2" xfId="54628"/>
    <cellStyle name="Saída 10 3 3 6 3" xfId="40386"/>
    <cellStyle name="Saída 10 3 3 7" xfId="21021"/>
    <cellStyle name="Saída 10 3 3 7 2" xfId="50200"/>
    <cellStyle name="Saída 10 3 3 8" xfId="30228"/>
    <cellStyle name="Saída 10 3 4" xfId="1188"/>
    <cellStyle name="Saída 10 3 4 2" xfId="2092"/>
    <cellStyle name="Saída 10 3 4 2 2" xfId="3892"/>
    <cellStyle name="Saída 10 3 4 2 2 2" xfId="6808"/>
    <cellStyle name="Saída 10 3 4 2 2 2 2" xfId="15478"/>
    <cellStyle name="Saída 10 3 4 2 2 2 2 2" xfId="28035"/>
    <cellStyle name="Saída 10 3 4 2 2 2 2 2 2" xfId="57214"/>
    <cellStyle name="Saída 10 3 4 2 2 2 2 3" xfId="44659"/>
    <cellStyle name="Saída 10 3 4 2 2 2 3" xfId="23607"/>
    <cellStyle name="Saída 10 3 4 2 2 2 3 2" xfId="52786"/>
    <cellStyle name="Saída 10 3 4 2 2 2 4" xfId="35991"/>
    <cellStyle name="Saída 10 3 4 2 2 3" xfId="8881"/>
    <cellStyle name="Saída 10 3 4 2 2 3 2" xfId="16966"/>
    <cellStyle name="Saída 10 3 4 2 2 3 2 2" xfId="28906"/>
    <cellStyle name="Saída 10 3 4 2 2 3 2 2 2" xfId="58085"/>
    <cellStyle name="Saída 10 3 4 2 2 3 2 3" xfId="46147"/>
    <cellStyle name="Saída 10 3 4 2 2 3 3" xfId="24478"/>
    <cellStyle name="Saída 10 3 4 2 2 3 3 2" xfId="53657"/>
    <cellStyle name="Saída 10 3 4 2 2 3 4" xfId="38064"/>
    <cellStyle name="Saída 10 3 4 2 2 4" xfId="13220"/>
    <cellStyle name="Saída 10 3 4 2 2 4 2" xfId="26595"/>
    <cellStyle name="Saída 10 3 4 2 2 4 2 2" xfId="55774"/>
    <cellStyle name="Saída 10 3 4 2 2 4 3" xfId="42401"/>
    <cellStyle name="Saída 10 3 4 2 2 5" xfId="22167"/>
    <cellStyle name="Saída 10 3 4 2 2 5 2" xfId="51346"/>
    <cellStyle name="Saída 10 3 4 2 2 6" xfId="33075"/>
    <cellStyle name="Saída 10 3 4 2 3" xfId="5368"/>
    <cellStyle name="Saída 10 3 4 2 3 2" xfId="14356"/>
    <cellStyle name="Saída 10 3 4 2 3 2 2" xfId="27315"/>
    <cellStyle name="Saída 10 3 4 2 3 2 2 2" xfId="56494"/>
    <cellStyle name="Saída 10 3 4 2 3 2 3" xfId="43537"/>
    <cellStyle name="Saída 10 3 4 2 3 3" xfId="22887"/>
    <cellStyle name="Saída 10 3 4 2 3 3 2" xfId="52066"/>
    <cellStyle name="Saída 10 3 4 2 3 4" xfId="34551"/>
    <cellStyle name="Saída 10 3 4 2 4" xfId="8468"/>
    <cellStyle name="Saída 10 3 4 2 4 2" xfId="16658"/>
    <cellStyle name="Saída 10 3 4 2 4 2 2" xfId="28733"/>
    <cellStyle name="Saída 10 3 4 2 4 2 2 2" xfId="57912"/>
    <cellStyle name="Saída 10 3 4 2 4 2 3" xfId="45839"/>
    <cellStyle name="Saída 10 3 4 2 4 3" xfId="24305"/>
    <cellStyle name="Saída 10 3 4 2 4 3 2" xfId="53484"/>
    <cellStyle name="Saída 10 3 4 2 4 4" xfId="37651"/>
    <cellStyle name="Saída 10 3 4 2 5" xfId="11946"/>
    <cellStyle name="Saída 10 3 4 2 5 2" xfId="25875"/>
    <cellStyle name="Saída 10 3 4 2 5 2 2" xfId="55054"/>
    <cellStyle name="Saída 10 3 4 2 5 3" xfId="41127"/>
    <cellStyle name="Saída 10 3 4 2 6" xfId="21447"/>
    <cellStyle name="Saída 10 3 4 2 6 2" xfId="50626"/>
    <cellStyle name="Saída 10 3 4 2 7" xfId="31275"/>
    <cellStyle name="Saída 10 3 4 3" xfId="2992"/>
    <cellStyle name="Saída 10 3 4 3 2" xfId="6088"/>
    <cellStyle name="Saída 10 3 4 3 2 2" xfId="14917"/>
    <cellStyle name="Saída 10 3 4 3 2 2 2" xfId="27675"/>
    <cellStyle name="Saída 10 3 4 3 2 2 2 2" xfId="56854"/>
    <cellStyle name="Saída 10 3 4 3 2 2 3" xfId="44098"/>
    <cellStyle name="Saída 10 3 4 3 2 3" xfId="23247"/>
    <cellStyle name="Saída 10 3 4 3 2 3 2" xfId="52426"/>
    <cellStyle name="Saída 10 3 4 3 2 4" xfId="35271"/>
    <cellStyle name="Saída 10 3 4 3 3" xfId="9986"/>
    <cellStyle name="Saída 10 3 4 3 3 2" xfId="17754"/>
    <cellStyle name="Saída 10 3 4 3 3 2 2" xfId="29341"/>
    <cellStyle name="Saída 10 3 4 3 3 2 2 2" xfId="58520"/>
    <cellStyle name="Saída 10 3 4 3 3 2 3" xfId="46935"/>
    <cellStyle name="Saída 10 3 4 3 3 3" xfId="24913"/>
    <cellStyle name="Saída 10 3 4 3 3 3 2" xfId="54092"/>
    <cellStyle name="Saída 10 3 4 3 3 4" xfId="39169"/>
    <cellStyle name="Saída 10 3 4 3 4" xfId="12581"/>
    <cellStyle name="Saída 10 3 4 3 4 2" xfId="26235"/>
    <cellStyle name="Saída 10 3 4 3 4 2 2" xfId="55414"/>
    <cellStyle name="Saída 10 3 4 3 4 3" xfId="41762"/>
    <cellStyle name="Saída 10 3 4 3 5" xfId="21807"/>
    <cellStyle name="Saída 10 3 4 3 5 2" xfId="50986"/>
    <cellStyle name="Saída 10 3 4 3 6" xfId="32175"/>
    <cellStyle name="Saída 10 3 4 4" xfId="4648"/>
    <cellStyle name="Saída 10 3 4 4 2" xfId="13797"/>
    <cellStyle name="Saída 10 3 4 4 2 2" xfId="26955"/>
    <cellStyle name="Saída 10 3 4 4 2 2 2" xfId="56134"/>
    <cellStyle name="Saída 10 3 4 4 2 3" xfId="42978"/>
    <cellStyle name="Saída 10 3 4 4 3" xfId="22527"/>
    <cellStyle name="Saída 10 3 4 4 3 2" xfId="51706"/>
    <cellStyle name="Saída 10 3 4 4 4" xfId="33831"/>
    <cellStyle name="Saída 10 3 4 5" xfId="8636"/>
    <cellStyle name="Saída 10 3 4 5 2" xfId="16779"/>
    <cellStyle name="Saída 10 3 4 5 2 2" xfId="28803"/>
    <cellStyle name="Saída 10 3 4 5 2 2 2" xfId="57982"/>
    <cellStyle name="Saída 10 3 4 5 2 3" xfId="45960"/>
    <cellStyle name="Saída 10 3 4 5 3" xfId="24375"/>
    <cellStyle name="Saída 10 3 4 5 3 2" xfId="53554"/>
    <cellStyle name="Saída 10 3 4 5 4" xfId="37819"/>
    <cellStyle name="Saída 10 3 4 6" xfId="11315"/>
    <cellStyle name="Saída 10 3 4 6 2" xfId="25515"/>
    <cellStyle name="Saída 10 3 4 6 2 2" xfId="54694"/>
    <cellStyle name="Saída 10 3 4 6 3" xfId="40496"/>
    <cellStyle name="Saída 10 3 4 7" xfId="21087"/>
    <cellStyle name="Saída 10 3 4 7 2" xfId="50266"/>
    <cellStyle name="Saída 10 3 4 8" xfId="30375"/>
    <cellStyle name="Saída 10 3 5" xfId="1334"/>
    <cellStyle name="Saída 10 3 5 2" xfId="2236"/>
    <cellStyle name="Saída 10 3 5 2 2" xfId="4036"/>
    <cellStyle name="Saída 10 3 5 2 2 2" xfId="6925"/>
    <cellStyle name="Saída 10 3 5 2 2 2 2" xfId="15568"/>
    <cellStyle name="Saída 10 3 5 2 2 2 2 2" xfId="28098"/>
    <cellStyle name="Saída 10 3 5 2 2 2 2 2 2" xfId="57277"/>
    <cellStyle name="Saída 10 3 5 2 2 2 2 3" xfId="44749"/>
    <cellStyle name="Saída 10 3 5 2 2 2 3" xfId="23670"/>
    <cellStyle name="Saída 10 3 5 2 2 2 3 2" xfId="52849"/>
    <cellStyle name="Saída 10 3 5 2 2 2 4" xfId="36108"/>
    <cellStyle name="Saída 10 3 5 2 2 3" xfId="7044"/>
    <cellStyle name="Saída 10 3 5 2 2 3 2" xfId="15661"/>
    <cellStyle name="Saída 10 3 5 2 2 3 2 2" xfId="28170"/>
    <cellStyle name="Saída 10 3 5 2 2 3 2 2 2" xfId="57349"/>
    <cellStyle name="Saída 10 3 5 2 2 3 2 3" xfId="44842"/>
    <cellStyle name="Saída 10 3 5 2 2 3 3" xfId="23742"/>
    <cellStyle name="Saída 10 3 5 2 2 3 3 2" xfId="52921"/>
    <cellStyle name="Saída 10 3 5 2 2 3 4" xfId="36227"/>
    <cellStyle name="Saída 10 3 5 2 2 4" xfId="13322"/>
    <cellStyle name="Saída 10 3 5 2 2 4 2" xfId="26658"/>
    <cellStyle name="Saída 10 3 5 2 2 4 2 2" xfId="55837"/>
    <cellStyle name="Saída 10 3 5 2 2 4 3" xfId="42503"/>
    <cellStyle name="Saída 10 3 5 2 2 5" xfId="22230"/>
    <cellStyle name="Saída 10 3 5 2 2 5 2" xfId="51409"/>
    <cellStyle name="Saída 10 3 5 2 2 6" xfId="33219"/>
    <cellStyle name="Saída 10 3 5 2 3" xfId="5485"/>
    <cellStyle name="Saída 10 3 5 2 3 2" xfId="14448"/>
    <cellStyle name="Saída 10 3 5 2 3 2 2" xfId="27378"/>
    <cellStyle name="Saída 10 3 5 2 3 2 2 2" xfId="56557"/>
    <cellStyle name="Saída 10 3 5 2 3 2 3" xfId="43629"/>
    <cellStyle name="Saída 10 3 5 2 3 3" xfId="22950"/>
    <cellStyle name="Saída 10 3 5 2 3 3 2" xfId="52129"/>
    <cellStyle name="Saída 10 3 5 2 3 4" xfId="34668"/>
    <cellStyle name="Saída 10 3 5 2 4" xfId="7303"/>
    <cellStyle name="Saída 10 3 5 2 4 2" xfId="15843"/>
    <cellStyle name="Saída 10 3 5 2 4 2 2" xfId="28282"/>
    <cellStyle name="Saída 10 3 5 2 4 2 2 2" xfId="57461"/>
    <cellStyle name="Saída 10 3 5 2 4 2 3" xfId="45024"/>
    <cellStyle name="Saída 10 3 5 2 4 3" xfId="23854"/>
    <cellStyle name="Saída 10 3 5 2 4 3 2" xfId="53033"/>
    <cellStyle name="Saída 10 3 5 2 4 4" xfId="36486"/>
    <cellStyle name="Saída 10 3 5 2 5" xfId="12045"/>
    <cellStyle name="Saída 10 3 5 2 5 2" xfId="25938"/>
    <cellStyle name="Saída 10 3 5 2 5 2 2" xfId="55117"/>
    <cellStyle name="Saída 10 3 5 2 5 3" xfId="41226"/>
    <cellStyle name="Saída 10 3 5 2 6" xfId="21510"/>
    <cellStyle name="Saída 10 3 5 2 6 2" xfId="50689"/>
    <cellStyle name="Saída 10 3 5 2 7" xfId="31419"/>
    <cellStyle name="Saída 10 3 5 3" xfId="3136"/>
    <cellStyle name="Saída 10 3 5 3 2" xfId="6205"/>
    <cellStyle name="Saída 10 3 5 3 2 2" xfId="15008"/>
    <cellStyle name="Saída 10 3 5 3 2 2 2" xfId="27738"/>
    <cellStyle name="Saída 10 3 5 3 2 2 2 2" xfId="56917"/>
    <cellStyle name="Saída 10 3 5 3 2 2 3" xfId="44189"/>
    <cellStyle name="Saída 10 3 5 3 2 3" xfId="23310"/>
    <cellStyle name="Saída 10 3 5 3 2 3 2" xfId="52489"/>
    <cellStyle name="Saída 10 3 5 3 2 4" xfId="35388"/>
    <cellStyle name="Saída 10 3 5 3 3" xfId="7233"/>
    <cellStyle name="Saída 10 3 5 3 3 2" xfId="15795"/>
    <cellStyle name="Saída 10 3 5 3 3 2 2" xfId="28254"/>
    <cellStyle name="Saída 10 3 5 3 3 2 2 2" xfId="57433"/>
    <cellStyle name="Saída 10 3 5 3 3 2 3" xfId="44976"/>
    <cellStyle name="Saída 10 3 5 3 3 3" xfId="23826"/>
    <cellStyle name="Saída 10 3 5 3 3 3 2" xfId="53005"/>
    <cellStyle name="Saída 10 3 5 3 3 4" xfId="36416"/>
    <cellStyle name="Saída 10 3 5 3 4" xfId="12683"/>
    <cellStyle name="Saída 10 3 5 3 4 2" xfId="26298"/>
    <cellStyle name="Saída 10 3 5 3 4 2 2" xfId="55477"/>
    <cellStyle name="Saída 10 3 5 3 4 3" xfId="41864"/>
    <cellStyle name="Saída 10 3 5 3 5" xfId="21870"/>
    <cellStyle name="Saída 10 3 5 3 5 2" xfId="51049"/>
    <cellStyle name="Saída 10 3 5 3 6" xfId="32319"/>
    <cellStyle name="Saída 10 3 5 4" xfId="4765"/>
    <cellStyle name="Saída 10 3 5 4 2" xfId="13885"/>
    <cellStyle name="Saída 10 3 5 4 2 2" xfId="27018"/>
    <cellStyle name="Saída 10 3 5 4 2 2 2" xfId="56197"/>
    <cellStyle name="Saída 10 3 5 4 2 3" xfId="43066"/>
    <cellStyle name="Saída 10 3 5 4 3" xfId="22590"/>
    <cellStyle name="Saída 10 3 5 4 3 2" xfId="51769"/>
    <cellStyle name="Saída 10 3 5 4 4" xfId="33948"/>
    <cellStyle name="Saída 10 3 5 5" xfId="8751"/>
    <cellStyle name="Saída 10 3 5 5 2" xfId="16862"/>
    <cellStyle name="Saída 10 3 5 5 2 2" xfId="28850"/>
    <cellStyle name="Saída 10 3 5 5 2 2 2" xfId="58029"/>
    <cellStyle name="Saída 10 3 5 5 2 3" xfId="46043"/>
    <cellStyle name="Saída 10 3 5 5 3" xfId="24422"/>
    <cellStyle name="Saída 10 3 5 5 3 2" xfId="53601"/>
    <cellStyle name="Saída 10 3 5 5 4" xfId="37934"/>
    <cellStyle name="Saída 10 3 5 6" xfId="11414"/>
    <cellStyle name="Saída 10 3 5 6 2" xfId="25578"/>
    <cellStyle name="Saída 10 3 5 6 2 2" xfId="54757"/>
    <cellStyle name="Saída 10 3 5 6 3" xfId="40595"/>
    <cellStyle name="Saída 10 3 5 7" xfId="21150"/>
    <cellStyle name="Saída 10 3 5 7 2" xfId="50329"/>
    <cellStyle name="Saída 10 3 5 8" xfId="30519"/>
    <cellStyle name="Saída 10 3 6" xfId="1516"/>
    <cellStyle name="Saída 10 3 6 2" xfId="3316"/>
    <cellStyle name="Saída 10 3 6 2 2" xfId="6349"/>
    <cellStyle name="Saída 10 3 6 2 2 2" xfId="15111"/>
    <cellStyle name="Saída 10 3 6 2 2 2 2" xfId="27810"/>
    <cellStyle name="Saída 10 3 6 2 2 2 2 2" xfId="56989"/>
    <cellStyle name="Saída 10 3 6 2 2 2 3" xfId="44292"/>
    <cellStyle name="Saída 10 3 6 2 2 3" xfId="23382"/>
    <cellStyle name="Saída 10 3 6 2 2 3 2" xfId="52561"/>
    <cellStyle name="Saída 10 3 6 2 2 4" xfId="35532"/>
    <cellStyle name="Saída 10 3 6 2 3" xfId="8807"/>
    <cellStyle name="Saída 10 3 6 2 3 2" xfId="16905"/>
    <cellStyle name="Saída 10 3 6 2 3 2 2" xfId="28873"/>
    <cellStyle name="Saída 10 3 6 2 3 2 2 2" xfId="58052"/>
    <cellStyle name="Saída 10 3 6 2 3 2 3" xfId="46086"/>
    <cellStyle name="Saída 10 3 6 2 3 3" xfId="24445"/>
    <cellStyle name="Saída 10 3 6 2 3 3 2" xfId="53624"/>
    <cellStyle name="Saída 10 3 6 2 3 4" xfId="37990"/>
    <cellStyle name="Saída 10 3 6 2 4" xfId="12807"/>
    <cellStyle name="Saída 10 3 6 2 4 2" xfId="26370"/>
    <cellStyle name="Saída 10 3 6 2 4 2 2" xfId="55549"/>
    <cellStyle name="Saída 10 3 6 2 4 3" xfId="41988"/>
    <cellStyle name="Saída 10 3 6 2 5" xfId="21942"/>
    <cellStyle name="Saída 10 3 6 2 5 2" xfId="51121"/>
    <cellStyle name="Saída 10 3 6 2 6" xfId="32499"/>
    <cellStyle name="Saída 10 3 6 3" xfId="4909"/>
    <cellStyle name="Saída 10 3 6 3 2" xfId="13990"/>
    <cellStyle name="Saída 10 3 6 3 2 2" xfId="27090"/>
    <cellStyle name="Saída 10 3 6 3 2 2 2" xfId="56269"/>
    <cellStyle name="Saída 10 3 6 3 2 3" xfId="43171"/>
    <cellStyle name="Saída 10 3 6 3 3" xfId="22662"/>
    <cellStyle name="Saída 10 3 6 3 3 2" xfId="51841"/>
    <cellStyle name="Saída 10 3 6 3 4" xfId="34092"/>
    <cellStyle name="Saída 10 3 6 4" xfId="9791"/>
    <cellStyle name="Saída 10 3 6 4 2" xfId="17618"/>
    <cellStyle name="Saída 10 3 6 4 2 2" xfId="29270"/>
    <cellStyle name="Saída 10 3 6 4 2 2 2" xfId="58449"/>
    <cellStyle name="Saída 10 3 6 4 2 3" xfId="46799"/>
    <cellStyle name="Saída 10 3 6 4 3" xfId="24842"/>
    <cellStyle name="Saída 10 3 6 4 3 2" xfId="54021"/>
    <cellStyle name="Saída 10 3 6 4 4" xfId="38974"/>
    <cellStyle name="Saída 10 3 6 5" xfId="11535"/>
    <cellStyle name="Saída 10 3 6 5 2" xfId="25650"/>
    <cellStyle name="Saída 10 3 6 5 2 2" xfId="54829"/>
    <cellStyle name="Saída 10 3 6 5 3" xfId="40716"/>
    <cellStyle name="Saída 10 3 6 6" xfId="21222"/>
    <cellStyle name="Saída 10 3 6 6 2" xfId="50401"/>
    <cellStyle name="Saída 10 3 6 7" xfId="30699"/>
    <cellStyle name="Saída 10 3 7" xfId="2416"/>
    <cellStyle name="Saída 10 3 7 2" xfId="5629"/>
    <cellStyle name="Saída 10 3 7 2 2" xfId="14557"/>
    <cellStyle name="Saída 10 3 7 2 2 2" xfId="27450"/>
    <cellStyle name="Saída 10 3 7 2 2 2 2" xfId="56629"/>
    <cellStyle name="Saída 10 3 7 2 2 3" xfId="43738"/>
    <cellStyle name="Saída 10 3 7 2 3" xfId="23022"/>
    <cellStyle name="Saída 10 3 7 2 3 2" xfId="52201"/>
    <cellStyle name="Saída 10 3 7 2 4" xfId="34812"/>
    <cellStyle name="Saída 10 3 7 3" xfId="9015"/>
    <cellStyle name="Saída 10 3 7 3 2" xfId="17066"/>
    <cellStyle name="Saída 10 3 7 3 2 2" xfId="28960"/>
    <cellStyle name="Saída 10 3 7 3 2 2 2" xfId="58139"/>
    <cellStyle name="Saída 10 3 7 3 2 3" xfId="46247"/>
    <cellStyle name="Saída 10 3 7 3 3" xfId="24532"/>
    <cellStyle name="Saída 10 3 7 3 3 2" xfId="53711"/>
    <cellStyle name="Saída 10 3 7 3 4" xfId="38198"/>
    <cellStyle name="Saída 10 3 7 4" xfId="12169"/>
    <cellStyle name="Saída 10 3 7 4 2" xfId="26010"/>
    <cellStyle name="Saída 10 3 7 4 2 2" xfId="55189"/>
    <cellStyle name="Saída 10 3 7 4 3" xfId="41350"/>
    <cellStyle name="Saída 10 3 7 5" xfId="21582"/>
    <cellStyle name="Saída 10 3 7 5 2" xfId="50761"/>
    <cellStyle name="Saída 10 3 7 6" xfId="31599"/>
    <cellStyle name="Saída 10 3 8" xfId="4189"/>
    <cellStyle name="Saída 10 3 8 2" xfId="13438"/>
    <cellStyle name="Saída 10 3 8 2 2" xfId="26730"/>
    <cellStyle name="Saída 10 3 8 2 2 2" xfId="55909"/>
    <cellStyle name="Saída 10 3 8 2 3" xfId="42619"/>
    <cellStyle name="Saída 10 3 8 3" xfId="22302"/>
    <cellStyle name="Saída 10 3 8 3 2" xfId="51481"/>
    <cellStyle name="Saída 10 3 8 4" xfId="33372"/>
    <cellStyle name="Saída 10 3 9" xfId="8644"/>
    <cellStyle name="Saída 10 3 9 2" xfId="16785"/>
    <cellStyle name="Saída 10 3 9 2 2" xfId="28806"/>
    <cellStyle name="Saída 10 3 9 2 2 2" xfId="57985"/>
    <cellStyle name="Saída 10 3 9 2 3" xfId="45966"/>
    <cellStyle name="Saída 10 3 9 3" xfId="24378"/>
    <cellStyle name="Saída 10 3 9 3 2" xfId="53557"/>
    <cellStyle name="Saída 10 3 9 4" xfId="37827"/>
    <cellStyle name="Saída 10 4" xfId="714"/>
    <cellStyle name="Saída 10 4 2" xfId="1676"/>
    <cellStyle name="Saída 10 4 2 2" xfId="3476"/>
    <cellStyle name="Saída 10 4 2 2 2" xfId="6482"/>
    <cellStyle name="Saída 10 4 2 2 2 2" xfId="15216"/>
    <cellStyle name="Saída 10 4 2 2 2 2 2" xfId="27853"/>
    <cellStyle name="Saída 10 4 2 2 2 2 2 2" xfId="57032"/>
    <cellStyle name="Saída 10 4 2 2 2 2 3" xfId="44397"/>
    <cellStyle name="Saída 10 4 2 2 2 3" xfId="23425"/>
    <cellStyle name="Saída 10 4 2 2 2 3 2" xfId="52604"/>
    <cellStyle name="Saída 10 4 2 2 2 4" xfId="35665"/>
    <cellStyle name="Saída 10 4 2 2 3" xfId="8805"/>
    <cellStyle name="Saída 10 4 2 2 3 2" xfId="16903"/>
    <cellStyle name="Saída 10 4 2 2 3 2 2" xfId="28872"/>
    <cellStyle name="Saída 10 4 2 2 3 2 2 2" xfId="58051"/>
    <cellStyle name="Saída 10 4 2 2 3 2 3" xfId="46084"/>
    <cellStyle name="Saída 10 4 2 2 3 3" xfId="24444"/>
    <cellStyle name="Saída 10 4 2 2 3 3 2" xfId="53623"/>
    <cellStyle name="Saída 10 4 2 2 3 4" xfId="37988"/>
    <cellStyle name="Saída 10 4 2 2 4" xfId="12920"/>
    <cellStyle name="Saída 10 4 2 2 4 2" xfId="26413"/>
    <cellStyle name="Saída 10 4 2 2 4 2 2" xfId="55592"/>
    <cellStyle name="Saída 10 4 2 2 4 3" xfId="42101"/>
    <cellStyle name="Saída 10 4 2 2 5" xfId="21985"/>
    <cellStyle name="Saída 10 4 2 2 5 2" xfId="51164"/>
    <cellStyle name="Saída 10 4 2 2 6" xfId="32659"/>
    <cellStyle name="Saída 10 4 2 3" xfId="5042"/>
    <cellStyle name="Saída 10 4 2 3 2" xfId="14092"/>
    <cellStyle name="Saída 10 4 2 3 2 2" xfId="27133"/>
    <cellStyle name="Saída 10 4 2 3 2 2 2" xfId="56312"/>
    <cellStyle name="Saída 10 4 2 3 2 3" xfId="43273"/>
    <cellStyle name="Saída 10 4 2 3 3" xfId="22705"/>
    <cellStyle name="Saída 10 4 2 3 3 2" xfId="51884"/>
    <cellStyle name="Saída 10 4 2 3 4" xfId="34225"/>
    <cellStyle name="Saída 10 4 2 4" xfId="9789"/>
    <cellStyle name="Saída 10 4 2 4 2" xfId="17616"/>
    <cellStyle name="Saída 10 4 2 4 2 2" xfId="29269"/>
    <cellStyle name="Saída 10 4 2 4 2 2 2" xfId="58448"/>
    <cellStyle name="Saída 10 4 2 4 2 3" xfId="46797"/>
    <cellStyle name="Saída 10 4 2 4 3" xfId="24841"/>
    <cellStyle name="Saída 10 4 2 4 3 2" xfId="54020"/>
    <cellStyle name="Saída 10 4 2 4 4" xfId="38972"/>
    <cellStyle name="Saída 10 4 2 5" xfId="11647"/>
    <cellStyle name="Saída 10 4 2 5 2" xfId="25693"/>
    <cellStyle name="Saída 10 4 2 5 2 2" xfId="54872"/>
    <cellStyle name="Saída 10 4 2 5 3" xfId="40828"/>
    <cellStyle name="Saída 10 4 2 6" xfId="21265"/>
    <cellStyle name="Saída 10 4 2 6 2" xfId="50444"/>
    <cellStyle name="Saída 10 4 2 7" xfId="30859"/>
    <cellStyle name="Saída 10 4 3" xfId="2576"/>
    <cellStyle name="Saída 10 4 3 2" xfId="5762"/>
    <cellStyle name="Saída 10 4 3 2 2" xfId="14657"/>
    <cellStyle name="Saída 10 4 3 2 2 2" xfId="27493"/>
    <cellStyle name="Saída 10 4 3 2 2 2 2" xfId="56672"/>
    <cellStyle name="Saída 10 4 3 2 2 3" xfId="43838"/>
    <cellStyle name="Saída 10 4 3 2 3" xfId="23065"/>
    <cellStyle name="Saída 10 4 3 2 3 2" xfId="52244"/>
    <cellStyle name="Saída 10 4 3 2 4" xfId="34945"/>
    <cellStyle name="Saída 10 4 3 3" xfId="9013"/>
    <cellStyle name="Saída 10 4 3 3 2" xfId="17064"/>
    <cellStyle name="Saída 10 4 3 3 2 2" xfId="28959"/>
    <cellStyle name="Saída 10 4 3 3 2 2 2" xfId="58138"/>
    <cellStyle name="Saída 10 4 3 3 2 3" xfId="46245"/>
    <cellStyle name="Saída 10 4 3 3 3" xfId="24531"/>
    <cellStyle name="Saída 10 4 3 3 3 2" xfId="53710"/>
    <cellStyle name="Saída 10 4 3 3 4" xfId="38196"/>
    <cellStyle name="Saída 10 4 3 4" xfId="12282"/>
    <cellStyle name="Saída 10 4 3 4 2" xfId="26053"/>
    <cellStyle name="Saída 10 4 3 4 2 2" xfId="55232"/>
    <cellStyle name="Saída 10 4 3 4 3" xfId="41463"/>
    <cellStyle name="Saída 10 4 3 5" xfId="21625"/>
    <cellStyle name="Saída 10 4 3 5 2" xfId="50804"/>
    <cellStyle name="Saída 10 4 3 6" xfId="31759"/>
    <cellStyle name="Saída 10 4 4" xfId="4322"/>
    <cellStyle name="Saída 10 4 4 2" xfId="13536"/>
    <cellStyle name="Saída 10 4 4 2 2" xfId="26773"/>
    <cellStyle name="Saída 10 4 4 2 2 2" xfId="55952"/>
    <cellStyle name="Saída 10 4 4 2 3" xfId="42717"/>
    <cellStyle name="Saída 10 4 4 3" xfId="22345"/>
    <cellStyle name="Saída 10 4 4 3 2" xfId="51524"/>
    <cellStyle name="Saída 10 4 4 4" xfId="33505"/>
    <cellStyle name="Saída 10 4 5" xfId="10153"/>
    <cellStyle name="Saída 10 4 5 2" xfId="17864"/>
    <cellStyle name="Saída 10 4 5 2 2" xfId="29409"/>
    <cellStyle name="Saída 10 4 5 2 2 2" xfId="58588"/>
    <cellStyle name="Saída 10 4 5 2 3" xfId="47045"/>
    <cellStyle name="Saída 10 4 5 3" xfId="24981"/>
    <cellStyle name="Saída 10 4 5 3 2" xfId="54160"/>
    <cellStyle name="Saída 10 4 5 4" xfId="39336"/>
    <cellStyle name="Saída 10 4 6" xfId="10964"/>
    <cellStyle name="Saída 10 4 6 2" xfId="25288"/>
    <cellStyle name="Saída 10 4 6 2 2" xfId="54467"/>
    <cellStyle name="Saída 10 4 6 3" xfId="40145"/>
    <cellStyle name="Saída 10 4 7" xfId="20860"/>
    <cellStyle name="Saída 10 4 7 2" xfId="50039"/>
    <cellStyle name="Saída 10 4 8" xfId="29914"/>
    <cellStyle name="Saída 10 5" xfId="565"/>
    <cellStyle name="Saída 10 5 2" xfId="1585"/>
    <cellStyle name="Saída 10 5 2 2" xfId="3385"/>
    <cellStyle name="Saída 10 5 2 2 2" xfId="6409"/>
    <cellStyle name="Saída 10 5 2 2 2 2" xfId="15164"/>
    <cellStyle name="Saída 10 5 2 2 2 2 2" xfId="27852"/>
    <cellStyle name="Saída 10 5 2 2 2 2 2 2" xfId="57031"/>
    <cellStyle name="Saída 10 5 2 2 2 2 3" xfId="44345"/>
    <cellStyle name="Saída 10 5 2 2 2 3" xfId="23424"/>
    <cellStyle name="Saída 10 5 2 2 2 3 2" xfId="52603"/>
    <cellStyle name="Saída 10 5 2 2 2 4" xfId="35592"/>
    <cellStyle name="Saída 10 5 2 2 3" xfId="8435"/>
    <cellStyle name="Saída 10 5 2 2 3 2" xfId="16637"/>
    <cellStyle name="Saída 10 5 2 2 3 2 2" xfId="28723"/>
    <cellStyle name="Saída 10 5 2 2 3 2 2 2" xfId="57902"/>
    <cellStyle name="Saída 10 5 2 2 3 2 3" xfId="45818"/>
    <cellStyle name="Saída 10 5 2 2 3 3" xfId="24295"/>
    <cellStyle name="Saída 10 5 2 2 3 3 2" xfId="53474"/>
    <cellStyle name="Saída 10 5 2 2 3 4" xfId="37618"/>
    <cellStyle name="Saída 10 5 2 2 4" xfId="12861"/>
    <cellStyle name="Saída 10 5 2 2 4 2" xfId="26412"/>
    <cellStyle name="Saída 10 5 2 2 4 2 2" xfId="55591"/>
    <cellStyle name="Saída 10 5 2 2 4 3" xfId="42042"/>
    <cellStyle name="Saída 10 5 2 2 5" xfId="21984"/>
    <cellStyle name="Saída 10 5 2 2 5 2" xfId="51163"/>
    <cellStyle name="Saída 10 5 2 2 6" xfId="32568"/>
    <cellStyle name="Saída 10 5 2 3" xfId="4969"/>
    <cellStyle name="Saída 10 5 2 3 2" xfId="14043"/>
    <cellStyle name="Saída 10 5 2 3 2 2" xfId="27132"/>
    <cellStyle name="Saída 10 5 2 3 2 2 2" xfId="56311"/>
    <cellStyle name="Saída 10 5 2 3 2 3" xfId="43224"/>
    <cellStyle name="Saída 10 5 2 3 3" xfId="22704"/>
    <cellStyle name="Saída 10 5 2 3 3 2" xfId="51883"/>
    <cellStyle name="Saída 10 5 2 3 4" xfId="34152"/>
    <cellStyle name="Saída 10 5 2 4" xfId="10284"/>
    <cellStyle name="Saída 10 5 2 4 2" xfId="17959"/>
    <cellStyle name="Saída 10 5 2 4 2 2" xfId="29464"/>
    <cellStyle name="Saída 10 5 2 4 2 2 2" xfId="58643"/>
    <cellStyle name="Saída 10 5 2 4 2 3" xfId="47140"/>
    <cellStyle name="Saída 10 5 2 4 3" xfId="25036"/>
    <cellStyle name="Saída 10 5 2 4 3 2" xfId="54215"/>
    <cellStyle name="Saída 10 5 2 4 4" xfId="39467"/>
    <cellStyle name="Saída 10 5 2 5" xfId="11590"/>
    <cellStyle name="Saída 10 5 2 5 2" xfId="25692"/>
    <cellStyle name="Saída 10 5 2 5 2 2" xfId="54871"/>
    <cellStyle name="Saída 10 5 2 5 3" xfId="40771"/>
    <cellStyle name="Saída 10 5 2 6" xfId="21264"/>
    <cellStyle name="Saída 10 5 2 6 2" xfId="50443"/>
    <cellStyle name="Saída 10 5 2 7" xfId="30768"/>
    <cellStyle name="Saída 10 5 3" xfId="2485"/>
    <cellStyle name="Saída 10 5 3 2" xfId="5689"/>
    <cellStyle name="Saída 10 5 3 2 2" xfId="14611"/>
    <cellStyle name="Saída 10 5 3 2 2 2" xfId="27492"/>
    <cellStyle name="Saída 10 5 3 2 2 2 2" xfId="56671"/>
    <cellStyle name="Saída 10 5 3 2 2 3" xfId="43792"/>
    <cellStyle name="Saída 10 5 3 2 3" xfId="23064"/>
    <cellStyle name="Saída 10 5 3 2 3 2" xfId="52243"/>
    <cellStyle name="Saída 10 5 3 2 4" xfId="34872"/>
    <cellStyle name="Saída 10 5 3 3" xfId="9508"/>
    <cellStyle name="Saída 10 5 3 3 2" xfId="17408"/>
    <cellStyle name="Saída 10 5 3 3 2 2" xfId="29156"/>
    <cellStyle name="Saída 10 5 3 3 2 2 2" xfId="58335"/>
    <cellStyle name="Saída 10 5 3 3 2 3" xfId="46589"/>
    <cellStyle name="Saída 10 5 3 3 3" xfId="24728"/>
    <cellStyle name="Saída 10 5 3 3 3 2" xfId="53907"/>
    <cellStyle name="Saída 10 5 3 3 4" xfId="38691"/>
    <cellStyle name="Saída 10 5 3 4" xfId="12227"/>
    <cellStyle name="Saída 10 5 3 4 2" xfId="26052"/>
    <cellStyle name="Saída 10 5 3 4 2 2" xfId="55231"/>
    <cellStyle name="Saída 10 5 3 4 3" xfId="41408"/>
    <cellStyle name="Saída 10 5 3 5" xfId="21624"/>
    <cellStyle name="Saída 10 5 3 5 2" xfId="50803"/>
    <cellStyle name="Saída 10 5 3 6" xfId="31668"/>
    <cellStyle name="Saída 10 5 4" xfId="4249"/>
    <cellStyle name="Saída 10 5 4 2" xfId="13492"/>
    <cellStyle name="Saída 10 5 4 2 2" xfId="26772"/>
    <cellStyle name="Saída 10 5 4 2 2 2" xfId="55951"/>
    <cellStyle name="Saída 10 5 4 2 3" xfId="42673"/>
    <cellStyle name="Saída 10 5 4 3" xfId="22344"/>
    <cellStyle name="Saída 10 5 4 3 2" xfId="51523"/>
    <cellStyle name="Saída 10 5 4 4" xfId="33432"/>
    <cellStyle name="Saída 10 5 5" xfId="8879"/>
    <cellStyle name="Saída 10 5 5 2" xfId="16964"/>
    <cellStyle name="Saída 10 5 5 2 2" xfId="28905"/>
    <cellStyle name="Saída 10 5 5 2 2 2" xfId="58084"/>
    <cellStyle name="Saída 10 5 5 2 3" xfId="46145"/>
    <cellStyle name="Saída 10 5 5 3" xfId="24477"/>
    <cellStyle name="Saída 10 5 5 3 2" xfId="53656"/>
    <cellStyle name="Saída 10 5 5 4" xfId="38062"/>
    <cellStyle name="Saída 10 5 6" xfId="10851"/>
    <cellStyle name="Saída 10 5 6 2" xfId="25234"/>
    <cellStyle name="Saída 10 5 6 2 2" xfId="54413"/>
    <cellStyle name="Saída 10 5 6 3" xfId="40032"/>
    <cellStyle name="Saída 10 5 7" xfId="20806"/>
    <cellStyle name="Saída 10 5 7 2" xfId="49985"/>
    <cellStyle name="Saída 10 5 8" xfId="29770"/>
    <cellStyle name="Saída 10 6" xfId="753"/>
    <cellStyle name="Saída 10 6 2" xfId="1694"/>
    <cellStyle name="Saída 10 6 2 2" xfId="3494"/>
    <cellStyle name="Saída 10 6 2 2 2" xfId="6491"/>
    <cellStyle name="Saída 10 6 2 2 2 2" xfId="15225"/>
    <cellStyle name="Saída 10 6 2 2 2 2 2" xfId="27862"/>
    <cellStyle name="Saída 10 6 2 2 2 2 2 2" xfId="57041"/>
    <cellStyle name="Saída 10 6 2 2 2 2 3" xfId="44406"/>
    <cellStyle name="Saída 10 6 2 2 2 3" xfId="23434"/>
    <cellStyle name="Saída 10 6 2 2 2 3 2" xfId="52613"/>
    <cellStyle name="Saída 10 6 2 2 2 4" xfId="35674"/>
    <cellStyle name="Saída 10 6 2 2 3" xfId="9535"/>
    <cellStyle name="Saída 10 6 2 2 3 2" xfId="17429"/>
    <cellStyle name="Saída 10 6 2 2 3 2 2" xfId="29167"/>
    <cellStyle name="Saída 10 6 2 2 3 2 2 2" xfId="58346"/>
    <cellStyle name="Saída 10 6 2 2 3 2 3" xfId="46610"/>
    <cellStyle name="Saída 10 6 2 2 3 3" xfId="24739"/>
    <cellStyle name="Saída 10 6 2 2 3 3 2" xfId="53918"/>
    <cellStyle name="Saída 10 6 2 2 3 4" xfId="38718"/>
    <cellStyle name="Saída 10 6 2 2 4" xfId="12931"/>
    <cellStyle name="Saída 10 6 2 2 4 2" xfId="26422"/>
    <cellStyle name="Saída 10 6 2 2 4 2 2" xfId="55601"/>
    <cellStyle name="Saída 10 6 2 2 4 3" xfId="42112"/>
    <cellStyle name="Saída 10 6 2 2 5" xfId="21994"/>
    <cellStyle name="Saída 10 6 2 2 5 2" xfId="51173"/>
    <cellStyle name="Saída 10 6 2 2 6" xfId="32677"/>
    <cellStyle name="Saída 10 6 2 3" xfId="5051"/>
    <cellStyle name="Saída 10 6 2 3 2" xfId="14101"/>
    <cellStyle name="Saída 10 6 2 3 2 2" xfId="27142"/>
    <cellStyle name="Saída 10 6 2 3 2 2 2" xfId="56321"/>
    <cellStyle name="Saída 10 6 2 3 2 3" xfId="43282"/>
    <cellStyle name="Saída 10 6 2 3 3" xfId="22714"/>
    <cellStyle name="Saída 10 6 2 3 3 2" xfId="51893"/>
    <cellStyle name="Saída 10 6 2 3 4" xfId="34234"/>
    <cellStyle name="Saída 10 6 2 4" xfId="9098"/>
    <cellStyle name="Saída 10 6 2 4 2" xfId="17119"/>
    <cellStyle name="Saída 10 6 2 4 2 2" xfId="28991"/>
    <cellStyle name="Saída 10 6 2 4 2 2 2" xfId="58170"/>
    <cellStyle name="Saída 10 6 2 4 2 3" xfId="46300"/>
    <cellStyle name="Saída 10 6 2 4 3" xfId="24563"/>
    <cellStyle name="Saída 10 6 2 4 3 2" xfId="53742"/>
    <cellStyle name="Saída 10 6 2 4 4" xfId="38281"/>
    <cellStyle name="Saída 10 6 2 5" xfId="11658"/>
    <cellStyle name="Saída 10 6 2 5 2" xfId="25702"/>
    <cellStyle name="Saída 10 6 2 5 2 2" xfId="54881"/>
    <cellStyle name="Saída 10 6 2 5 3" xfId="40839"/>
    <cellStyle name="Saída 10 6 2 6" xfId="21274"/>
    <cellStyle name="Saída 10 6 2 6 2" xfId="50453"/>
    <cellStyle name="Saída 10 6 2 7" xfId="30877"/>
    <cellStyle name="Saída 10 6 3" xfId="2594"/>
    <cellStyle name="Saída 10 6 3 2" xfId="5771"/>
    <cellStyle name="Saída 10 6 3 2 2" xfId="14666"/>
    <cellStyle name="Saída 10 6 3 2 2 2" xfId="27502"/>
    <cellStyle name="Saída 10 6 3 2 2 2 2" xfId="56681"/>
    <cellStyle name="Saída 10 6 3 2 2 3" xfId="43847"/>
    <cellStyle name="Saída 10 6 3 2 3" xfId="23074"/>
    <cellStyle name="Saída 10 6 3 2 3 2" xfId="52253"/>
    <cellStyle name="Saída 10 6 3 2 4" xfId="34954"/>
    <cellStyle name="Saída 10 6 3 3" xfId="7592"/>
    <cellStyle name="Saída 10 6 3 3 2" xfId="16041"/>
    <cellStyle name="Saída 10 6 3 3 2 2" xfId="28397"/>
    <cellStyle name="Saída 10 6 3 3 2 2 2" xfId="57576"/>
    <cellStyle name="Saída 10 6 3 3 2 3" xfId="45222"/>
    <cellStyle name="Saída 10 6 3 3 3" xfId="23969"/>
    <cellStyle name="Saída 10 6 3 3 3 2" xfId="53148"/>
    <cellStyle name="Saída 10 6 3 3 4" xfId="36775"/>
    <cellStyle name="Saída 10 6 3 4" xfId="12293"/>
    <cellStyle name="Saída 10 6 3 4 2" xfId="26062"/>
    <cellStyle name="Saída 10 6 3 4 2 2" xfId="55241"/>
    <cellStyle name="Saída 10 6 3 4 3" xfId="41474"/>
    <cellStyle name="Saída 10 6 3 5" xfId="21634"/>
    <cellStyle name="Saída 10 6 3 5 2" xfId="50813"/>
    <cellStyle name="Saída 10 6 3 6" xfId="31777"/>
    <cellStyle name="Saída 10 6 4" xfId="4331"/>
    <cellStyle name="Saída 10 6 4 2" xfId="13545"/>
    <cellStyle name="Saída 10 6 4 2 2" xfId="26782"/>
    <cellStyle name="Saída 10 6 4 2 2 2" xfId="55961"/>
    <cellStyle name="Saída 10 6 4 2 3" xfId="42726"/>
    <cellStyle name="Saída 10 6 4 3" xfId="22354"/>
    <cellStyle name="Saída 10 6 4 3 2" xfId="51533"/>
    <cellStyle name="Saída 10 6 4 4" xfId="33514"/>
    <cellStyle name="Saída 10 6 5" xfId="7353"/>
    <cellStyle name="Saída 10 6 5 2" xfId="15880"/>
    <cellStyle name="Saída 10 6 5 2 2" xfId="28307"/>
    <cellStyle name="Saída 10 6 5 2 2 2" xfId="57486"/>
    <cellStyle name="Saída 10 6 5 2 3" xfId="45061"/>
    <cellStyle name="Saída 10 6 5 3" xfId="23879"/>
    <cellStyle name="Saída 10 6 5 3 2" xfId="53058"/>
    <cellStyle name="Saída 10 6 5 4" xfId="36536"/>
    <cellStyle name="Saída 10 6 6" xfId="10995"/>
    <cellStyle name="Saída 10 6 6 2" xfId="25316"/>
    <cellStyle name="Saída 10 6 6 2 2" xfId="54495"/>
    <cellStyle name="Saída 10 6 6 3" xfId="40176"/>
    <cellStyle name="Saída 10 6 7" xfId="20888"/>
    <cellStyle name="Saída 10 6 7 2" xfId="50067"/>
    <cellStyle name="Saída 10 6 8" xfId="29951"/>
    <cellStyle name="Saída 10 7" xfId="945"/>
    <cellStyle name="Saída 10 7 2" xfId="1858"/>
    <cellStyle name="Saída 10 7 2 2" xfId="3658"/>
    <cellStyle name="Saída 10 7 2 2 2" xfId="6619"/>
    <cellStyle name="Saída 10 7 2 2 2 2" xfId="15331"/>
    <cellStyle name="Saída 10 7 2 2 2 2 2" xfId="27936"/>
    <cellStyle name="Saída 10 7 2 2 2 2 2 2" xfId="57115"/>
    <cellStyle name="Saída 10 7 2 2 2 2 3" xfId="44512"/>
    <cellStyle name="Saída 10 7 2 2 2 3" xfId="23508"/>
    <cellStyle name="Saída 10 7 2 2 2 3 2" xfId="52687"/>
    <cellStyle name="Saída 10 7 2 2 2 4" xfId="35802"/>
    <cellStyle name="Saída 10 7 2 2 3" xfId="9416"/>
    <cellStyle name="Saída 10 7 2 2 3 2" xfId="17345"/>
    <cellStyle name="Saída 10 7 2 2 3 2 2" xfId="29117"/>
    <cellStyle name="Saída 10 7 2 2 3 2 2 2" xfId="58296"/>
    <cellStyle name="Saída 10 7 2 2 3 2 3" xfId="46526"/>
    <cellStyle name="Saída 10 7 2 2 3 3" xfId="24689"/>
    <cellStyle name="Saída 10 7 2 2 3 3 2" xfId="53868"/>
    <cellStyle name="Saída 10 7 2 2 3 4" xfId="38599"/>
    <cellStyle name="Saída 10 7 2 2 4" xfId="13052"/>
    <cellStyle name="Saída 10 7 2 2 4 2" xfId="26496"/>
    <cellStyle name="Saída 10 7 2 2 4 2 2" xfId="55675"/>
    <cellStyle name="Saída 10 7 2 2 4 3" xfId="42233"/>
    <cellStyle name="Saída 10 7 2 2 5" xfId="22068"/>
    <cellStyle name="Saída 10 7 2 2 5 2" xfId="51247"/>
    <cellStyle name="Saída 10 7 2 2 6" xfId="32841"/>
    <cellStyle name="Saída 10 7 2 3" xfId="5179"/>
    <cellStyle name="Saída 10 7 2 3 2" xfId="14209"/>
    <cellStyle name="Saída 10 7 2 3 2 2" xfId="27216"/>
    <cellStyle name="Saída 10 7 2 3 2 2 2" xfId="56395"/>
    <cellStyle name="Saída 10 7 2 3 2 3" xfId="43390"/>
    <cellStyle name="Saída 10 7 2 3 3" xfId="22788"/>
    <cellStyle name="Saída 10 7 2 3 3 2" xfId="51967"/>
    <cellStyle name="Saída 10 7 2 3 4" xfId="34362"/>
    <cellStyle name="Saída 10 7 2 4" xfId="10478"/>
    <cellStyle name="Saída 10 7 2 4 2" xfId="18095"/>
    <cellStyle name="Saída 10 7 2 4 2 2" xfId="29535"/>
    <cellStyle name="Saída 10 7 2 4 2 2 2" xfId="58714"/>
    <cellStyle name="Saída 10 7 2 4 2 3" xfId="47276"/>
    <cellStyle name="Saída 10 7 2 4 3" xfId="25107"/>
    <cellStyle name="Saída 10 7 2 4 3 2" xfId="54286"/>
    <cellStyle name="Saída 10 7 2 4 4" xfId="39661"/>
    <cellStyle name="Saída 10 7 2 5" xfId="11777"/>
    <cellStyle name="Saída 10 7 2 5 2" xfId="25776"/>
    <cellStyle name="Saída 10 7 2 5 2 2" xfId="54955"/>
    <cellStyle name="Saída 10 7 2 5 3" xfId="40958"/>
    <cellStyle name="Saída 10 7 2 6" xfId="21348"/>
    <cellStyle name="Saída 10 7 2 6 2" xfId="50527"/>
    <cellStyle name="Saída 10 7 2 7" xfId="31041"/>
    <cellStyle name="Saída 10 7 3" xfId="2758"/>
    <cellStyle name="Saída 10 7 3 2" xfId="5899"/>
    <cellStyle name="Saída 10 7 3 2 2" xfId="14774"/>
    <cellStyle name="Saída 10 7 3 2 2 2" xfId="27576"/>
    <cellStyle name="Saída 10 7 3 2 2 2 2" xfId="56755"/>
    <cellStyle name="Saída 10 7 3 2 2 3" xfId="43955"/>
    <cellStyle name="Saída 10 7 3 2 3" xfId="23148"/>
    <cellStyle name="Saída 10 7 3 2 3 2" xfId="52327"/>
    <cellStyle name="Saída 10 7 3 2 4" xfId="35082"/>
    <cellStyle name="Saída 10 7 3 3" xfId="9700"/>
    <cellStyle name="Saída 10 7 3 3 2" xfId="17545"/>
    <cellStyle name="Saída 10 7 3 3 2 2" xfId="29230"/>
    <cellStyle name="Saída 10 7 3 3 2 2 2" xfId="58409"/>
    <cellStyle name="Saída 10 7 3 3 2 3" xfId="46726"/>
    <cellStyle name="Saída 10 7 3 3 3" xfId="24802"/>
    <cellStyle name="Saída 10 7 3 3 3 2" xfId="53981"/>
    <cellStyle name="Saída 10 7 3 3 4" xfId="38883"/>
    <cellStyle name="Saída 10 7 3 4" xfId="12417"/>
    <cellStyle name="Saída 10 7 3 4 2" xfId="26136"/>
    <cellStyle name="Saída 10 7 3 4 2 2" xfId="55315"/>
    <cellStyle name="Saída 10 7 3 4 3" xfId="41598"/>
    <cellStyle name="Saída 10 7 3 5" xfId="21708"/>
    <cellStyle name="Saída 10 7 3 5 2" xfId="50887"/>
    <cellStyle name="Saída 10 7 3 6" xfId="31941"/>
    <cellStyle name="Saída 10 7 4" xfId="4459"/>
    <cellStyle name="Saída 10 7 4 2" xfId="13652"/>
    <cellStyle name="Saída 10 7 4 2 2" xfId="26856"/>
    <cellStyle name="Saída 10 7 4 2 2 2" xfId="56035"/>
    <cellStyle name="Saída 10 7 4 2 3" xfId="42833"/>
    <cellStyle name="Saída 10 7 4 3" xfId="22428"/>
    <cellStyle name="Saída 10 7 4 3 2" xfId="51607"/>
    <cellStyle name="Saída 10 7 4 4" xfId="33642"/>
    <cellStyle name="Saída 10 7 5" xfId="8258"/>
    <cellStyle name="Saída 10 7 5 2" xfId="16512"/>
    <cellStyle name="Saída 10 7 5 2 2" xfId="28661"/>
    <cellStyle name="Saída 10 7 5 2 2 2" xfId="57840"/>
    <cellStyle name="Saída 10 7 5 2 3" xfId="45693"/>
    <cellStyle name="Saída 10 7 5 3" xfId="24233"/>
    <cellStyle name="Saída 10 7 5 3 2" xfId="53412"/>
    <cellStyle name="Saída 10 7 5 4" xfId="37441"/>
    <cellStyle name="Saída 10 7 6" xfId="11140"/>
    <cellStyle name="Saída 10 7 6 2" xfId="25411"/>
    <cellStyle name="Saída 10 7 6 2 2" xfId="54590"/>
    <cellStyle name="Saída 10 7 6 3" xfId="40321"/>
    <cellStyle name="Saída 10 7 7" xfId="20983"/>
    <cellStyle name="Saída 10 7 7 2" xfId="50162"/>
    <cellStyle name="Saída 10 7 8" xfId="30136"/>
    <cellStyle name="Saída 10 8" xfId="1426"/>
    <cellStyle name="Saída 10 8 2" xfId="3226"/>
    <cellStyle name="Saída 10 8 2 2" xfId="6277"/>
    <cellStyle name="Saída 10 8 2 2 2" xfId="15060"/>
    <cellStyle name="Saída 10 8 2 2 2 2" xfId="27774"/>
    <cellStyle name="Saída 10 8 2 2 2 2 2" xfId="56953"/>
    <cellStyle name="Saída 10 8 2 2 2 3" xfId="44241"/>
    <cellStyle name="Saída 10 8 2 2 3" xfId="23346"/>
    <cellStyle name="Saída 10 8 2 2 3 2" xfId="52525"/>
    <cellStyle name="Saída 10 8 2 2 4" xfId="35460"/>
    <cellStyle name="Saída 10 8 2 3" xfId="7574"/>
    <cellStyle name="Saída 10 8 2 3 2" xfId="16030"/>
    <cellStyle name="Saída 10 8 2 3 2 2" xfId="28391"/>
    <cellStyle name="Saída 10 8 2 3 2 2 2" xfId="57570"/>
    <cellStyle name="Saída 10 8 2 3 2 3" xfId="45211"/>
    <cellStyle name="Saída 10 8 2 3 3" xfId="23963"/>
    <cellStyle name="Saída 10 8 2 3 3 2" xfId="53142"/>
    <cellStyle name="Saída 10 8 2 3 4" xfId="36757"/>
    <cellStyle name="Saída 10 8 2 4" xfId="12745"/>
    <cellStyle name="Saída 10 8 2 4 2" xfId="26334"/>
    <cellStyle name="Saída 10 8 2 4 2 2" xfId="55513"/>
    <cellStyle name="Saída 10 8 2 4 3" xfId="41926"/>
    <cellStyle name="Saída 10 8 2 5" xfId="21906"/>
    <cellStyle name="Saída 10 8 2 5 2" xfId="51085"/>
    <cellStyle name="Saída 10 8 2 6" xfId="32409"/>
    <cellStyle name="Saída 10 8 3" xfId="4837"/>
    <cellStyle name="Saída 10 8 3 2" xfId="13936"/>
    <cellStyle name="Saída 10 8 3 2 2" xfId="27054"/>
    <cellStyle name="Saída 10 8 3 2 2 2" xfId="56233"/>
    <cellStyle name="Saída 10 8 3 2 3" xfId="43117"/>
    <cellStyle name="Saída 10 8 3 3" xfId="22626"/>
    <cellStyle name="Saída 10 8 3 3 2" xfId="51805"/>
    <cellStyle name="Saída 10 8 3 4" xfId="34020"/>
    <cellStyle name="Saída 10 8 4" xfId="9402"/>
    <cellStyle name="Saída 10 8 4 2" xfId="17336"/>
    <cellStyle name="Saída 10 8 4 2 2" xfId="29112"/>
    <cellStyle name="Saída 10 8 4 2 2 2" xfId="58291"/>
    <cellStyle name="Saída 10 8 4 2 3" xfId="46517"/>
    <cellStyle name="Saída 10 8 4 3" xfId="24684"/>
    <cellStyle name="Saída 10 8 4 3 2" xfId="53863"/>
    <cellStyle name="Saída 10 8 4 4" xfId="38585"/>
    <cellStyle name="Saída 10 8 5" xfId="11474"/>
    <cellStyle name="Saída 10 8 5 2" xfId="25614"/>
    <cellStyle name="Saída 10 8 5 2 2" xfId="54793"/>
    <cellStyle name="Saída 10 8 5 3" xfId="40655"/>
    <cellStyle name="Saída 10 8 6" xfId="21186"/>
    <cellStyle name="Saída 10 8 6 2" xfId="50365"/>
    <cellStyle name="Saída 10 8 7" xfId="30609"/>
    <cellStyle name="Saída 10 9" xfId="2326"/>
    <cellStyle name="Saída 10 9 2" xfId="5557"/>
    <cellStyle name="Saída 10 9 2 2" xfId="14502"/>
    <cellStyle name="Saída 10 9 2 2 2" xfId="27414"/>
    <cellStyle name="Saída 10 9 2 2 2 2" xfId="56593"/>
    <cellStyle name="Saída 10 9 2 2 3" xfId="43683"/>
    <cellStyle name="Saída 10 9 2 3" xfId="22986"/>
    <cellStyle name="Saída 10 9 2 3 2" xfId="52165"/>
    <cellStyle name="Saída 10 9 2 4" xfId="34740"/>
    <cellStyle name="Saída 10 9 3" xfId="7615"/>
    <cellStyle name="Saída 10 9 3 2" xfId="16057"/>
    <cellStyle name="Saída 10 9 3 2 2" xfId="28407"/>
    <cellStyle name="Saída 10 9 3 2 2 2" xfId="57586"/>
    <cellStyle name="Saída 10 9 3 2 3" xfId="45238"/>
    <cellStyle name="Saída 10 9 3 3" xfId="23979"/>
    <cellStyle name="Saída 10 9 3 3 2" xfId="53158"/>
    <cellStyle name="Saída 10 9 3 4" xfId="36798"/>
    <cellStyle name="Saída 10 9 4" xfId="12106"/>
    <cellStyle name="Saída 10 9 4 2" xfId="25974"/>
    <cellStyle name="Saída 10 9 4 2 2" xfId="55153"/>
    <cellStyle name="Saída 10 9 4 3" xfId="41287"/>
    <cellStyle name="Saída 10 9 5" xfId="21546"/>
    <cellStyle name="Saída 10 9 5 2" xfId="50725"/>
    <cellStyle name="Saída 10 9 6" xfId="31509"/>
    <cellStyle name="Saída 2" xfId="341"/>
    <cellStyle name="Saída 2 10" xfId="4118"/>
    <cellStyle name="Saída 2 10 2" xfId="13382"/>
    <cellStyle name="Saída 2 10 2 2" xfId="26695"/>
    <cellStyle name="Saída 2 10 2 2 2" xfId="55874"/>
    <cellStyle name="Saída 2 10 2 3" xfId="42563"/>
    <cellStyle name="Saída 2 10 3" xfId="22267"/>
    <cellStyle name="Saída 2 10 3 2" xfId="51446"/>
    <cellStyle name="Saída 2 10 4" xfId="33301"/>
    <cellStyle name="Saída 2 11" xfId="10729"/>
    <cellStyle name="Saída 2 11 2" xfId="25155"/>
    <cellStyle name="Saída 2 11 2 2" xfId="54334"/>
    <cellStyle name="Saída 2 11 3" xfId="39910"/>
    <cellStyle name="Saída 2 12" xfId="20727"/>
    <cellStyle name="Saída 2 12 2" xfId="49906"/>
    <cellStyle name="Saída 2 13" xfId="58747"/>
    <cellStyle name="Saída 2 14" xfId="29610"/>
    <cellStyle name="Saída 2 2" xfId="449"/>
    <cellStyle name="Saída 2 2 10" xfId="8025"/>
    <cellStyle name="Saída 2 2 10 2" xfId="16342"/>
    <cellStyle name="Saída 2 2 10 2 2" xfId="28564"/>
    <cellStyle name="Saída 2 2 10 2 2 2" xfId="57743"/>
    <cellStyle name="Saída 2 2 10 2 3" xfId="45523"/>
    <cellStyle name="Saída 2 2 10 3" xfId="24136"/>
    <cellStyle name="Saída 2 2 10 3 2" xfId="53315"/>
    <cellStyle name="Saída 2 2 10 4" xfId="37208"/>
    <cellStyle name="Saída 2 2 11" xfId="10763"/>
    <cellStyle name="Saída 2 2 11 2" xfId="25173"/>
    <cellStyle name="Saída 2 2 11 2 2" xfId="54352"/>
    <cellStyle name="Saída 2 2 11 3" xfId="39944"/>
    <cellStyle name="Saída 2 2 12" xfId="20745"/>
    <cellStyle name="Saída 2 2 12 2" xfId="49924"/>
    <cellStyle name="Saída 2 2 13" xfId="58792"/>
    <cellStyle name="Saída 2 2 14" xfId="29655"/>
    <cellStyle name="Saída 2 2 2" xfId="539"/>
    <cellStyle name="Saída 2 2 2 10" xfId="10826"/>
    <cellStyle name="Saída 2 2 2 10 2" xfId="25209"/>
    <cellStyle name="Saída 2 2 2 10 2 2" xfId="54388"/>
    <cellStyle name="Saída 2 2 2 10 3" xfId="40007"/>
    <cellStyle name="Saída 2 2 2 11" xfId="20781"/>
    <cellStyle name="Saída 2 2 2 11 2" xfId="49960"/>
    <cellStyle name="Saída 2 2 2 12" xfId="29745"/>
    <cellStyle name="Saída 2 2 2 2" xfId="892"/>
    <cellStyle name="Saída 2 2 2 2 2" xfId="1830"/>
    <cellStyle name="Saída 2 2 2 2 2 2" xfId="3630"/>
    <cellStyle name="Saída 2 2 2 2 2 2 2" xfId="6600"/>
    <cellStyle name="Saída 2 2 2 2 2 2 2 2" xfId="15312"/>
    <cellStyle name="Saída 2 2 2 2 2 2 2 2 2" xfId="27917"/>
    <cellStyle name="Saída 2 2 2 2 2 2 2 2 2 2" xfId="57096"/>
    <cellStyle name="Saída 2 2 2 2 2 2 2 2 3" xfId="44493"/>
    <cellStyle name="Saída 2 2 2 2 2 2 2 3" xfId="23489"/>
    <cellStyle name="Saída 2 2 2 2 2 2 2 3 2" xfId="52668"/>
    <cellStyle name="Saída 2 2 2 2 2 2 2 4" xfId="35783"/>
    <cellStyle name="Saída 2 2 2 2 2 2 3" xfId="9690"/>
    <cellStyle name="Saída 2 2 2 2 2 2 3 2" xfId="17538"/>
    <cellStyle name="Saída 2 2 2 2 2 2 3 2 2" xfId="29225"/>
    <cellStyle name="Saída 2 2 2 2 2 2 3 2 2 2" xfId="58404"/>
    <cellStyle name="Saída 2 2 2 2 2 2 3 2 3" xfId="46719"/>
    <cellStyle name="Saída 2 2 2 2 2 2 3 3" xfId="24797"/>
    <cellStyle name="Saída 2 2 2 2 2 2 3 3 2" xfId="53976"/>
    <cellStyle name="Saída 2 2 2 2 2 2 3 4" xfId="38873"/>
    <cellStyle name="Saída 2 2 2 2 2 2 4" xfId="13031"/>
    <cellStyle name="Saída 2 2 2 2 2 2 4 2" xfId="26477"/>
    <cellStyle name="Saída 2 2 2 2 2 2 4 2 2" xfId="55656"/>
    <cellStyle name="Saída 2 2 2 2 2 2 4 3" xfId="42212"/>
    <cellStyle name="Saída 2 2 2 2 2 2 5" xfId="22049"/>
    <cellStyle name="Saída 2 2 2 2 2 2 5 2" xfId="51228"/>
    <cellStyle name="Saída 2 2 2 2 2 2 6" xfId="32813"/>
    <cellStyle name="Saída 2 2 2 2 2 3" xfId="5160"/>
    <cellStyle name="Saída 2 2 2 2 2 3 2" xfId="14190"/>
    <cellStyle name="Saída 2 2 2 2 2 3 2 2" xfId="27197"/>
    <cellStyle name="Saída 2 2 2 2 2 3 2 2 2" xfId="56376"/>
    <cellStyle name="Saída 2 2 2 2 2 3 2 3" xfId="43371"/>
    <cellStyle name="Saída 2 2 2 2 2 3 3" xfId="22769"/>
    <cellStyle name="Saída 2 2 2 2 2 3 3 2" xfId="51948"/>
    <cellStyle name="Saída 2 2 2 2 2 3 4" xfId="34343"/>
    <cellStyle name="Saída 2 2 2 2 2 4" xfId="8605"/>
    <cellStyle name="Saída 2 2 2 2 2 4 2" xfId="16753"/>
    <cellStyle name="Saída 2 2 2 2 2 4 2 2" xfId="28787"/>
    <cellStyle name="Saída 2 2 2 2 2 4 2 2 2" xfId="57966"/>
    <cellStyle name="Saída 2 2 2 2 2 4 2 3" xfId="45934"/>
    <cellStyle name="Saída 2 2 2 2 2 4 3" xfId="24359"/>
    <cellStyle name="Saída 2 2 2 2 2 4 3 2" xfId="53538"/>
    <cellStyle name="Saída 2 2 2 2 2 4 4" xfId="37788"/>
    <cellStyle name="Saída 2 2 2 2 2 5" xfId="11755"/>
    <cellStyle name="Saída 2 2 2 2 2 5 2" xfId="25757"/>
    <cellStyle name="Saída 2 2 2 2 2 5 2 2" xfId="54936"/>
    <cellStyle name="Saída 2 2 2 2 2 5 3" xfId="40936"/>
    <cellStyle name="Saída 2 2 2 2 2 6" xfId="21329"/>
    <cellStyle name="Saída 2 2 2 2 2 6 2" xfId="50508"/>
    <cellStyle name="Saída 2 2 2 2 2 7" xfId="31013"/>
    <cellStyle name="Saída 2 2 2 2 3" xfId="2730"/>
    <cellStyle name="Saída 2 2 2 2 3 2" xfId="5880"/>
    <cellStyle name="Saída 2 2 2 2 3 2 2" xfId="14755"/>
    <cellStyle name="Saída 2 2 2 2 3 2 2 2" xfId="27557"/>
    <cellStyle name="Saída 2 2 2 2 3 2 2 2 2" xfId="56736"/>
    <cellStyle name="Saída 2 2 2 2 3 2 2 3" xfId="43936"/>
    <cellStyle name="Saída 2 2 2 2 3 2 3" xfId="23129"/>
    <cellStyle name="Saída 2 2 2 2 3 2 3 2" xfId="52308"/>
    <cellStyle name="Saída 2 2 2 2 3 2 4" xfId="35063"/>
    <cellStyle name="Saída 2 2 2 2 3 3" xfId="10131"/>
    <cellStyle name="Saída 2 2 2 2 3 3 2" xfId="17847"/>
    <cellStyle name="Saída 2 2 2 2 3 3 2 2" xfId="29399"/>
    <cellStyle name="Saída 2 2 2 2 3 3 2 2 2" xfId="58578"/>
    <cellStyle name="Saída 2 2 2 2 3 3 2 3" xfId="47028"/>
    <cellStyle name="Saída 2 2 2 2 3 3 3" xfId="24971"/>
    <cellStyle name="Saída 2 2 2 2 3 3 3 2" xfId="54150"/>
    <cellStyle name="Saída 2 2 2 2 3 3 4" xfId="39314"/>
    <cellStyle name="Saída 2 2 2 2 3 4" xfId="12396"/>
    <cellStyle name="Saída 2 2 2 2 3 4 2" xfId="26117"/>
    <cellStyle name="Saída 2 2 2 2 3 4 2 2" xfId="55296"/>
    <cellStyle name="Saída 2 2 2 2 3 4 3" xfId="41577"/>
    <cellStyle name="Saída 2 2 2 2 3 5" xfId="21689"/>
    <cellStyle name="Saída 2 2 2 2 3 5 2" xfId="50868"/>
    <cellStyle name="Saída 2 2 2 2 3 6" xfId="31913"/>
    <cellStyle name="Saída 2 2 2 2 4" xfId="4440"/>
    <cellStyle name="Saída 2 2 2 2 4 2" xfId="13633"/>
    <cellStyle name="Saída 2 2 2 2 4 2 2" xfId="26837"/>
    <cellStyle name="Saída 2 2 2 2 4 2 2 2" xfId="56016"/>
    <cellStyle name="Saída 2 2 2 2 4 2 3" xfId="42814"/>
    <cellStyle name="Saída 2 2 2 2 4 3" xfId="22409"/>
    <cellStyle name="Saída 2 2 2 2 4 3 2" xfId="51588"/>
    <cellStyle name="Saída 2 2 2 2 4 4" xfId="33623"/>
    <cellStyle name="Saída 2 2 2 2 5" xfId="8060"/>
    <cellStyle name="Saída 2 2 2 2 5 2" xfId="16367"/>
    <cellStyle name="Saída 2 2 2 2 5 2 2" xfId="28581"/>
    <cellStyle name="Saída 2 2 2 2 5 2 2 2" xfId="57760"/>
    <cellStyle name="Saída 2 2 2 2 5 2 3" xfId="45548"/>
    <cellStyle name="Saída 2 2 2 2 5 3" xfId="24153"/>
    <cellStyle name="Saída 2 2 2 2 5 3 2" xfId="53332"/>
    <cellStyle name="Saída 2 2 2 2 5 4" xfId="37243"/>
    <cellStyle name="Saída 2 2 2 2 6" xfId="11096"/>
    <cellStyle name="Saída 2 2 2 2 6 2" xfId="25373"/>
    <cellStyle name="Saída 2 2 2 2 6 2 2" xfId="54552"/>
    <cellStyle name="Saída 2 2 2 2 6 3" xfId="40277"/>
    <cellStyle name="Saída 2 2 2 2 7" xfId="20945"/>
    <cellStyle name="Saída 2 2 2 2 7 2" xfId="50124"/>
    <cellStyle name="Saída 2 2 2 2 8" xfId="30089"/>
    <cellStyle name="Saída 2 2 2 3" xfId="1084"/>
    <cellStyle name="Saída 2 2 2 3 2" xfId="1994"/>
    <cellStyle name="Saída 2 2 2 3 2 2" xfId="3794"/>
    <cellStyle name="Saída 2 2 2 3 2 2 2" xfId="6728"/>
    <cellStyle name="Saída 2 2 2 3 2 2 2 2" xfId="15414"/>
    <cellStyle name="Saída 2 2 2 3 2 2 2 2 2" xfId="27991"/>
    <cellStyle name="Saída 2 2 2 3 2 2 2 2 2 2" xfId="57170"/>
    <cellStyle name="Saída 2 2 2 3 2 2 2 2 3" xfId="44595"/>
    <cellStyle name="Saída 2 2 2 3 2 2 2 3" xfId="23563"/>
    <cellStyle name="Saída 2 2 2 3 2 2 2 3 2" xfId="52742"/>
    <cellStyle name="Saída 2 2 2 3 2 2 2 4" xfId="35911"/>
    <cellStyle name="Saída 2 2 2 3 2 2 3" xfId="9569"/>
    <cellStyle name="Saída 2 2 2 3 2 2 3 2" xfId="17451"/>
    <cellStyle name="Saída 2 2 2 3 2 2 3 2 2" xfId="29177"/>
    <cellStyle name="Saída 2 2 2 3 2 2 3 2 2 2" xfId="58356"/>
    <cellStyle name="Saída 2 2 2 3 2 2 3 2 3" xfId="46632"/>
    <cellStyle name="Saída 2 2 2 3 2 2 3 3" xfId="24749"/>
    <cellStyle name="Saída 2 2 2 3 2 2 3 3 2" xfId="53928"/>
    <cellStyle name="Saída 2 2 2 3 2 2 3 4" xfId="38752"/>
    <cellStyle name="Saída 2 2 2 3 2 2 4" xfId="13151"/>
    <cellStyle name="Saída 2 2 2 3 2 2 4 2" xfId="26551"/>
    <cellStyle name="Saída 2 2 2 3 2 2 4 2 2" xfId="55730"/>
    <cellStyle name="Saída 2 2 2 3 2 2 4 3" xfId="42332"/>
    <cellStyle name="Saída 2 2 2 3 2 2 5" xfId="22123"/>
    <cellStyle name="Saída 2 2 2 3 2 2 5 2" xfId="51302"/>
    <cellStyle name="Saída 2 2 2 3 2 2 6" xfId="32977"/>
    <cellStyle name="Saída 2 2 2 3 2 3" xfId="5288"/>
    <cellStyle name="Saída 2 2 2 3 2 3 2" xfId="14293"/>
    <cellStyle name="Saída 2 2 2 3 2 3 2 2" xfId="27271"/>
    <cellStyle name="Saída 2 2 2 3 2 3 2 2 2" xfId="56450"/>
    <cellStyle name="Saída 2 2 2 3 2 3 2 3" xfId="43474"/>
    <cellStyle name="Saída 2 2 2 3 2 3 3" xfId="22843"/>
    <cellStyle name="Saída 2 2 2 3 2 3 3 2" xfId="52022"/>
    <cellStyle name="Saída 2 2 2 3 2 3 4" xfId="34471"/>
    <cellStyle name="Saída 2 2 2 3 2 4" xfId="7308"/>
    <cellStyle name="Saída 2 2 2 3 2 4 2" xfId="15846"/>
    <cellStyle name="Saída 2 2 2 3 2 4 2 2" xfId="28284"/>
    <cellStyle name="Saída 2 2 2 3 2 4 2 2 2" xfId="57463"/>
    <cellStyle name="Saída 2 2 2 3 2 4 2 3" xfId="45027"/>
    <cellStyle name="Saída 2 2 2 3 2 4 3" xfId="23856"/>
    <cellStyle name="Saída 2 2 2 3 2 4 3 2" xfId="53035"/>
    <cellStyle name="Saída 2 2 2 3 2 4 4" xfId="36491"/>
    <cellStyle name="Saída 2 2 2 3 2 5" xfId="11875"/>
    <cellStyle name="Saída 2 2 2 3 2 5 2" xfId="25831"/>
    <cellStyle name="Saída 2 2 2 3 2 5 2 2" xfId="55010"/>
    <cellStyle name="Saída 2 2 2 3 2 5 3" xfId="41056"/>
    <cellStyle name="Saída 2 2 2 3 2 6" xfId="21403"/>
    <cellStyle name="Saída 2 2 2 3 2 6 2" xfId="50582"/>
    <cellStyle name="Saída 2 2 2 3 2 7" xfId="31177"/>
    <cellStyle name="Saída 2 2 2 3 3" xfId="2894"/>
    <cellStyle name="Saída 2 2 2 3 3 2" xfId="6008"/>
    <cellStyle name="Saída 2 2 2 3 3 2 2" xfId="14854"/>
    <cellStyle name="Saída 2 2 2 3 3 2 2 2" xfId="27631"/>
    <cellStyle name="Saída 2 2 2 3 3 2 2 2 2" xfId="56810"/>
    <cellStyle name="Saída 2 2 2 3 3 2 2 3" xfId="44035"/>
    <cellStyle name="Saída 2 2 2 3 3 2 3" xfId="23203"/>
    <cellStyle name="Saída 2 2 2 3 3 2 3 2" xfId="52382"/>
    <cellStyle name="Saída 2 2 2 3 3 2 4" xfId="35191"/>
    <cellStyle name="Saída 2 2 2 3 3 3" xfId="7381"/>
    <cellStyle name="Saída 2 2 2 3 3 3 2" xfId="15895"/>
    <cellStyle name="Saída 2 2 2 3 3 3 2 2" xfId="28315"/>
    <cellStyle name="Saída 2 2 2 3 3 3 2 2 2" xfId="57494"/>
    <cellStyle name="Saída 2 2 2 3 3 3 2 3" xfId="45076"/>
    <cellStyle name="Saída 2 2 2 3 3 3 3" xfId="23887"/>
    <cellStyle name="Saída 2 2 2 3 3 3 3 2" xfId="53066"/>
    <cellStyle name="Saída 2 2 2 3 3 3 4" xfId="36564"/>
    <cellStyle name="Saída 2 2 2 3 3 4" xfId="12511"/>
    <cellStyle name="Saída 2 2 2 3 3 4 2" xfId="26191"/>
    <cellStyle name="Saída 2 2 2 3 3 4 2 2" xfId="55370"/>
    <cellStyle name="Saída 2 2 2 3 3 4 3" xfId="41692"/>
    <cellStyle name="Saída 2 2 2 3 3 5" xfId="21763"/>
    <cellStyle name="Saída 2 2 2 3 3 5 2" xfId="50942"/>
    <cellStyle name="Saída 2 2 2 3 3 6" xfId="32077"/>
    <cellStyle name="Saída 2 2 2 3 4" xfId="4568"/>
    <cellStyle name="Saída 2 2 2 3 4 2" xfId="13734"/>
    <cellStyle name="Saída 2 2 2 3 4 2 2" xfId="26911"/>
    <cellStyle name="Saída 2 2 2 3 4 2 2 2" xfId="56090"/>
    <cellStyle name="Saída 2 2 2 3 4 2 3" xfId="42915"/>
    <cellStyle name="Saída 2 2 2 3 4 3" xfId="22483"/>
    <cellStyle name="Saída 2 2 2 3 4 3 2" xfId="51662"/>
    <cellStyle name="Saída 2 2 2 3 4 4" xfId="33751"/>
    <cellStyle name="Saída 2 2 2 3 5" xfId="9758"/>
    <cellStyle name="Saída 2 2 2 3 5 2" xfId="17589"/>
    <cellStyle name="Saída 2 2 2 3 5 2 2" xfId="29252"/>
    <cellStyle name="Saída 2 2 2 3 5 2 2 2" xfId="58431"/>
    <cellStyle name="Saída 2 2 2 3 5 2 3" xfId="46770"/>
    <cellStyle name="Saída 2 2 2 3 5 3" xfId="24824"/>
    <cellStyle name="Saída 2 2 2 3 5 3 2" xfId="54003"/>
    <cellStyle name="Saída 2 2 2 3 5 4" xfId="38941"/>
    <cellStyle name="Saída 2 2 2 3 6" xfId="11239"/>
    <cellStyle name="Saída 2 2 2 3 6 2" xfId="25468"/>
    <cellStyle name="Saída 2 2 2 3 6 2 2" xfId="54647"/>
    <cellStyle name="Saída 2 2 2 3 6 3" xfId="40420"/>
    <cellStyle name="Saída 2 2 2 3 7" xfId="21040"/>
    <cellStyle name="Saída 2 2 2 3 7 2" xfId="50219"/>
    <cellStyle name="Saída 2 2 2 3 8" xfId="30274"/>
    <cellStyle name="Saída 2 2 2 4" xfId="1234"/>
    <cellStyle name="Saída 2 2 2 4 2" xfId="2138"/>
    <cellStyle name="Saída 2 2 2 4 2 2" xfId="3938"/>
    <cellStyle name="Saída 2 2 2 4 2 2 2" xfId="6845"/>
    <cellStyle name="Saída 2 2 2 4 2 2 2 2" xfId="15504"/>
    <cellStyle name="Saída 2 2 2 4 2 2 2 2 2" xfId="28054"/>
    <cellStyle name="Saída 2 2 2 4 2 2 2 2 2 2" xfId="57233"/>
    <cellStyle name="Saída 2 2 2 4 2 2 2 2 3" xfId="44685"/>
    <cellStyle name="Saída 2 2 2 4 2 2 2 3" xfId="23626"/>
    <cellStyle name="Saída 2 2 2 4 2 2 2 3 2" xfId="52805"/>
    <cellStyle name="Saída 2 2 2 4 2 2 2 4" xfId="36028"/>
    <cellStyle name="Saída 2 2 2 4 2 2 3" xfId="7142"/>
    <cellStyle name="Saída 2 2 2 4 2 2 3 2" xfId="15732"/>
    <cellStyle name="Saída 2 2 2 4 2 2 3 2 2" xfId="28214"/>
    <cellStyle name="Saída 2 2 2 4 2 2 3 2 2 2" xfId="57393"/>
    <cellStyle name="Saída 2 2 2 4 2 2 3 2 3" xfId="44913"/>
    <cellStyle name="Saída 2 2 2 4 2 2 3 3" xfId="23786"/>
    <cellStyle name="Saída 2 2 2 4 2 2 3 3 2" xfId="52965"/>
    <cellStyle name="Saída 2 2 2 4 2 2 3 4" xfId="36325"/>
    <cellStyle name="Saída 2 2 2 4 2 2 4" xfId="13249"/>
    <cellStyle name="Saída 2 2 2 4 2 2 4 2" xfId="26614"/>
    <cellStyle name="Saída 2 2 2 4 2 2 4 2 2" xfId="55793"/>
    <cellStyle name="Saída 2 2 2 4 2 2 4 3" xfId="42430"/>
    <cellStyle name="Saída 2 2 2 4 2 2 5" xfId="22186"/>
    <cellStyle name="Saída 2 2 2 4 2 2 5 2" xfId="51365"/>
    <cellStyle name="Saída 2 2 2 4 2 2 6" xfId="33121"/>
    <cellStyle name="Saída 2 2 2 4 2 3" xfId="5405"/>
    <cellStyle name="Saída 2 2 2 4 2 3 2" xfId="14382"/>
    <cellStyle name="Saída 2 2 2 4 2 3 2 2" xfId="27334"/>
    <cellStyle name="Saída 2 2 2 4 2 3 2 2 2" xfId="56513"/>
    <cellStyle name="Saída 2 2 2 4 2 3 2 3" xfId="43563"/>
    <cellStyle name="Saída 2 2 2 4 2 3 3" xfId="22906"/>
    <cellStyle name="Saída 2 2 2 4 2 3 3 2" xfId="52085"/>
    <cellStyle name="Saída 2 2 2 4 2 3 4" xfId="34588"/>
    <cellStyle name="Saída 2 2 2 4 2 4" xfId="8978"/>
    <cellStyle name="Saída 2 2 2 4 2 4 2" xfId="17035"/>
    <cellStyle name="Saída 2 2 2 4 2 4 2 2" xfId="28941"/>
    <cellStyle name="Saída 2 2 2 4 2 4 2 2 2" xfId="58120"/>
    <cellStyle name="Saída 2 2 2 4 2 4 2 3" xfId="46216"/>
    <cellStyle name="Saída 2 2 2 4 2 4 3" xfId="24513"/>
    <cellStyle name="Saída 2 2 2 4 2 4 3 2" xfId="53692"/>
    <cellStyle name="Saída 2 2 2 4 2 4 4" xfId="38161"/>
    <cellStyle name="Saída 2 2 2 4 2 5" xfId="11974"/>
    <cellStyle name="Saída 2 2 2 4 2 5 2" xfId="25894"/>
    <cellStyle name="Saída 2 2 2 4 2 5 2 2" xfId="55073"/>
    <cellStyle name="Saída 2 2 2 4 2 5 3" xfId="41155"/>
    <cellStyle name="Saída 2 2 2 4 2 6" xfId="21466"/>
    <cellStyle name="Saída 2 2 2 4 2 6 2" xfId="50645"/>
    <cellStyle name="Saída 2 2 2 4 2 7" xfId="31321"/>
    <cellStyle name="Saída 2 2 2 4 3" xfId="3038"/>
    <cellStyle name="Saída 2 2 2 4 3 2" xfId="6125"/>
    <cellStyle name="Saída 2 2 2 4 3 2 2" xfId="14943"/>
    <cellStyle name="Saída 2 2 2 4 3 2 2 2" xfId="27694"/>
    <cellStyle name="Saída 2 2 2 4 3 2 2 2 2" xfId="56873"/>
    <cellStyle name="Saída 2 2 2 4 3 2 2 3" xfId="44124"/>
    <cellStyle name="Saída 2 2 2 4 3 2 3" xfId="23266"/>
    <cellStyle name="Saída 2 2 2 4 3 2 3 2" xfId="52445"/>
    <cellStyle name="Saída 2 2 2 4 3 2 4" xfId="35308"/>
    <cellStyle name="Saída 2 2 2 4 3 3" xfId="10505"/>
    <cellStyle name="Saída 2 2 2 4 3 3 2" xfId="18110"/>
    <cellStyle name="Saída 2 2 2 4 3 3 2 2" xfId="29544"/>
    <cellStyle name="Saída 2 2 2 4 3 3 2 2 2" xfId="58723"/>
    <cellStyle name="Saída 2 2 2 4 3 3 2 3" xfId="47291"/>
    <cellStyle name="Saída 2 2 2 4 3 3 3" xfId="25116"/>
    <cellStyle name="Saída 2 2 2 4 3 3 3 2" xfId="54295"/>
    <cellStyle name="Saída 2 2 2 4 3 3 4" xfId="39688"/>
    <cellStyle name="Saída 2 2 2 4 3 4" xfId="12610"/>
    <cellStyle name="Saída 2 2 2 4 3 4 2" xfId="26254"/>
    <cellStyle name="Saída 2 2 2 4 3 4 2 2" xfId="55433"/>
    <cellStyle name="Saída 2 2 2 4 3 4 3" xfId="41791"/>
    <cellStyle name="Saída 2 2 2 4 3 5" xfId="21826"/>
    <cellStyle name="Saída 2 2 2 4 3 5 2" xfId="51005"/>
    <cellStyle name="Saída 2 2 2 4 3 6" xfId="32221"/>
    <cellStyle name="Saída 2 2 2 4 4" xfId="4685"/>
    <cellStyle name="Saída 2 2 2 4 4 2" xfId="13823"/>
    <cellStyle name="Saída 2 2 2 4 4 2 2" xfId="26974"/>
    <cellStyle name="Saída 2 2 2 4 4 2 2 2" xfId="56153"/>
    <cellStyle name="Saída 2 2 2 4 4 2 3" xfId="43004"/>
    <cellStyle name="Saída 2 2 2 4 4 3" xfId="22546"/>
    <cellStyle name="Saída 2 2 2 4 4 3 2" xfId="51725"/>
    <cellStyle name="Saída 2 2 2 4 4 4" xfId="33868"/>
    <cellStyle name="Saída 2 2 2 4 5" xfId="10210"/>
    <cellStyle name="Saída 2 2 2 4 5 2" xfId="17906"/>
    <cellStyle name="Saída 2 2 2 4 5 2 2" xfId="29432"/>
    <cellStyle name="Saída 2 2 2 4 5 2 2 2" xfId="58611"/>
    <cellStyle name="Saída 2 2 2 4 5 2 3" xfId="47087"/>
    <cellStyle name="Saída 2 2 2 4 5 3" xfId="25004"/>
    <cellStyle name="Saída 2 2 2 4 5 3 2" xfId="54183"/>
    <cellStyle name="Saída 2 2 2 4 5 4" xfId="39393"/>
    <cellStyle name="Saída 2 2 2 4 6" xfId="11344"/>
    <cellStyle name="Saída 2 2 2 4 6 2" xfId="25534"/>
    <cellStyle name="Saída 2 2 2 4 6 2 2" xfId="54713"/>
    <cellStyle name="Saída 2 2 2 4 6 3" xfId="40525"/>
    <cellStyle name="Saída 2 2 2 4 7" xfId="21106"/>
    <cellStyle name="Saída 2 2 2 4 7 2" xfId="50285"/>
    <cellStyle name="Saída 2 2 2 4 8" xfId="30421"/>
    <cellStyle name="Saída 2 2 2 5" xfId="1380"/>
    <cellStyle name="Saída 2 2 2 5 2" xfId="2282"/>
    <cellStyle name="Saída 2 2 2 5 2 2" xfId="4082"/>
    <cellStyle name="Saída 2 2 2 5 2 2 2" xfId="6962"/>
    <cellStyle name="Saída 2 2 2 5 2 2 2 2" xfId="15594"/>
    <cellStyle name="Saída 2 2 2 5 2 2 2 2 2" xfId="28117"/>
    <cellStyle name="Saída 2 2 2 5 2 2 2 2 2 2" xfId="57296"/>
    <cellStyle name="Saída 2 2 2 5 2 2 2 2 3" xfId="44775"/>
    <cellStyle name="Saída 2 2 2 5 2 2 2 3" xfId="23689"/>
    <cellStyle name="Saída 2 2 2 5 2 2 2 3 2" xfId="52868"/>
    <cellStyle name="Saída 2 2 2 5 2 2 2 4" xfId="36145"/>
    <cellStyle name="Saída 2 2 2 5 2 2 3" xfId="6998"/>
    <cellStyle name="Saída 2 2 2 5 2 2 3 2" xfId="15628"/>
    <cellStyle name="Saída 2 2 2 5 2 2 3 2 2" xfId="28151"/>
    <cellStyle name="Saída 2 2 2 5 2 2 3 2 2 2" xfId="57330"/>
    <cellStyle name="Saída 2 2 2 5 2 2 3 2 3" xfId="44809"/>
    <cellStyle name="Saída 2 2 2 5 2 2 3 3" xfId="23723"/>
    <cellStyle name="Saída 2 2 2 5 2 2 3 3 2" xfId="52902"/>
    <cellStyle name="Saída 2 2 2 5 2 2 3 4" xfId="36181"/>
    <cellStyle name="Saída 2 2 2 5 2 2 4" xfId="13354"/>
    <cellStyle name="Saída 2 2 2 5 2 2 4 2" xfId="26677"/>
    <cellStyle name="Saída 2 2 2 5 2 2 4 2 2" xfId="55856"/>
    <cellStyle name="Saída 2 2 2 5 2 2 4 3" xfId="42535"/>
    <cellStyle name="Saída 2 2 2 5 2 2 5" xfId="22249"/>
    <cellStyle name="Saída 2 2 2 5 2 2 5 2" xfId="51428"/>
    <cellStyle name="Saída 2 2 2 5 2 2 6" xfId="33265"/>
    <cellStyle name="Saída 2 2 2 5 2 3" xfId="5522"/>
    <cellStyle name="Saída 2 2 2 5 2 3 2" xfId="14475"/>
    <cellStyle name="Saída 2 2 2 5 2 3 2 2" xfId="27397"/>
    <cellStyle name="Saída 2 2 2 5 2 3 2 2 2" xfId="56576"/>
    <cellStyle name="Saída 2 2 2 5 2 3 2 3" xfId="43656"/>
    <cellStyle name="Saída 2 2 2 5 2 3 3" xfId="22969"/>
    <cellStyle name="Saída 2 2 2 5 2 3 3 2" xfId="52148"/>
    <cellStyle name="Saída 2 2 2 5 2 3 4" xfId="34705"/>
    <cellStyle name="Saída 2 2 2 5 2 4" xfId="7514"/>
    <cellStyle name="Saída 2 2 2 5 2 4 2" xfId="15986"/>
    <cellStyle name="Saída 2 2 2 5 2 4 2 2" xfId="28370"/>
    <cellStyle name="Saída 2 2 2 5 2 4 2 2 2" xfId="57549"/>
    <cellStyle name="Saída 2 2 2 5 2 4 2 3" xfId="45167"/>
    <cellStyle name="Saída 2 2 2 5 2 4 3" xfId="23942"/>
    <cellStyle name="Saída 2 2 2 5 2 4 3 2" xfId="53121"/>
    <cellStyle name="Saída 2 2 2 5 2 4 4" xfId="36697"/>
    <cellStyle name="Saída 2 2 2 5 2 5" xfId="12075"/>
    <cellStyle name="Saída 2 2 2 5 2 5 2" xfId="25957"/>
    <cellStyle name="Saída 2 2 2 5 2 5 2 2" xfId="55136"/>
    <cellStyle name="Saída 2 2 2 5 2 5 3" xfId="41256"/>
    <cellStyle name="Saída 2 2 2 5 2 6" xfId="21529"/>
    <cellStyle name="Saída 2 2 2 5 2 6 2" xfId="50708"/>
    <cellStyle name="Saída 2 2 2 5 2 7" xfId="31465"/>
    <cellStyle name="Saída 2 2 2 5 3" xfId="3182"/>
    <cellStyle name="Saída 2 2 2 5 3 2" xfId="6242"/>
    <cellStyle name="Saída 2 2 2 5 3 2 2" xfId="15035"/>
    <cellStyle name="Saída 2 2 2 5 3 2 2 2" xfId="27757"/>
    <cellStyle name="Saída 2 2 2 5 3 2 2 2 2" xfId="56936"/>
    <cellStyle name="Saída 2 2 2 5 3 2 2 3" xfId="44216"/>
    <cellStyle name="Saída 2 2 2 5 3 2 3" xfId="23329"/>
    <cellStyle name="Saída 2 2 2 5 3 2 3 2" xfId="52508"/>
    <cellStyle name="Saída 2 2 2 5 3 2 4" xfId="35425"/>
    <cellStyle name="Saída 2 2 2 5 3 3" xfId="7187"/>
    <cellStyle name="Saída 2 2 2 5 3 3 2" xfId="15763"/>
    <cellStyle name="Saída 2 2 2 5 3 3 2 2" xfId="28235"/>
    <cellStyle name="Saída 2 2 2 5 3 3 2 2 2" xfId="57414"/>
    <cellStyle name="Saída 2 2 2 5 3 3 2 3" xfId="44944"/>
    <cellStyle name="Saída 2 2 2 5 3 3 3" xfId="23807"/>
    <cellStyle name="Saída 2 2 2 5 3 3 3 2" xfId="52986"/>
    <cellStyle name="Saída 2 2 2 5 3 3 4" xfId="36370"/>
    <cellStyle name="Saída 2 2 2 5 3 4" xfId="12716"/>
    <cellStyle name="Saída 2 2 2 5 3 4 2" xfId="26317"/>
    <cellStyle name="Saída 2 2 2 5 3 4 2 2" xfId="55496"/>
    <cellStyle name="Saída 2 2 2 5 3 4 3" xfId="41897"/>
    <cellStyle name="Saída 2 2 2 5 3 5" xfId="21889"/>
    <cellStyle name="Saída 2 2 2 5 3 5 2" xfId="51068"/>
    <cellStyle name="Saída 2 2 2 5 3 6" xfId="32365"/>
    <cellStyle name="Saída 2 2 2 5 4" xfId="4802"/>
    <cellStyle name="Saída 2 2 2 5 4 2" xfId="13911"/>
    <cellStyle name="Saída 2 2 2 5 4 2 2" xfId="27037"/>
    <cellStyle name="Saída 2 2 2 5 4 2 2 2" xfId="56216"/>
    <cellStyle name="Saída 2 2 2 5 4 2 3" xfId="43092"/>
    <cellStyle name="Saída 2 2 2 5 4 3" xfId="22609"/>
    <cellStyle name="Saída 2 2 2 5 4 3 2" xfId="51788"/>
    <cellStyle name="Saída 2 2 2 5 4 4" xfId="33985"/>
    <cellStyle name="Saída 2 2 2 5 5" xfId="7763"/>
    <cellStyle name="Saída 2 2 2 5 5 2" xfId="16159"/>
    <cellStyle name="Saída 2 2 2 5 5 2 2" xfId="28464"/>
    <cellStyle name="Saída 2 2 2 5 5 2 2 2" xfId="57643"/>
    <cellStyle name="Saída 2 2 2 5 5 2 3" xfId="45340"/>
    <cellStyle name="Saída 2 2 2 5 5 3" xfId="24036"/>
    <cellStyle name="Saída 2 2 2 5 5 3 2" xfId="53215"/>
    <cellStyle name="Saída 2 2 2 5 5 4" xfId="36946"/>
    <cellStyle name="Saída 2 2 2 5 6" xfId="11444"/>
    <cellStyle name="Saída 2 2 2 5 6 2" xfId="25597"/>
    <cellStyle name="Saída 2 2 2 5 6 2 2" xfId="54776"/>
    <cellStyle name="Saída 2 2 2 5 6 3" xfId="40625"/>
    <cellStyle name="Saída 2 2 2 5 7" xfId="21169"/>
    <cellStyle name="Saída 2 2 2 5 7 2" xfId="50348"/>
    <cellStyle name="Saída 2 2 2 5 8" xfId="30565"/>
    <cellStyle name="Saída 2 2 2 6" xfId="1562"/>
    <cellStyle name="Saída 2 2 2 6 2" xfId="3362"/>
    <cellStyle name="Saída 2 2 2 6 2 2" xfId="6386"/>
    <cellStyle name="Saída 2 2 2 6 2 2 2" xfId="15141"/>
    <cellStyle name="Saída 2 2 2 6 2 2 2 2" xfId="27829"/>
    <cellStyle name="Saída 2 2 2 6 2 2 2 2 2" xfId="57008"/>
    <cellStyle name="Saída 2 2 2 6 2 2 2 3" xfId="44322"/>
    <cellStyle name="Saída 2 2 2 6 2 2 3" xfId="23401"/>
    <cellStyle name="Saída 2 2 2 6 2 2 3 2" xfId="52580"/>
    <cellStyle name="Saída 2 2 2 6 2 2 4" xfId="35569"/>
    <cellStyle name="Saída 2 2 2 6 2 3" xfId="10124"/>
    <cellStyle name="Saída 2 2 2 6 2 3 2" xfId="17842"/>
    <cellStyle name="Saída 2 2 2 6 2 3 2 2" xfId="29395"/>
    <cellStyle name="Saída 2 2 2 6 2 3 2 2 2" xfId="58574"/>
    <cellStyle name="Saída 2 2 2 6 2 3 2 3" xfId="47023"/>
    <cellStyle name="Saída 2 2 2 6 2 3 3" xfId="24967"/>
    <cellStyle name="Saída 2 2 2 6 2 3 3 2" xfId="54146"/>
    <cellStyle name="Saída 2 2 2 6 2 3 4" xfId="39307"/>
    <cellStyle name="Saída 2 2 2 6 2 4" xfId="12838"/>
    <cellStyle name="Saída 2 2 2 6 2 4 2" xfId="26389"/>
    <cellStyle name="Saída 2 2 2 6 2 4 2 2" xfId="55568"/>
    <cellStyle name="Saída 2 2 2 6 2 4 3" xfId="42019"/>
    <cellStyle name="Saída 2 2 2 6 2 5" xfId="21961"/>
    <cellStyle name="Saída 2 2 2 6 2 5 2" xfId="51140"/>
    <cellStyle name="Saída 2 2 2 6 2 6" xfId="32545"/>
    <cellStyle name="Saída 2 2 2 6 3" xfId="4946"/>
    <cellStyle name="Saída 2 2 2 6 3 2" xfId="14020"/>
    <cellStyle name="Saída 2 2 2 6 3 2 2" xfId="27109"/>
    <cellStyle name="Saída 2 2 2 6 3 2 2 2" xfId="56288"/>
    <cellStyle name="Saída 2 2 2 6 3 2 3" xfId="43201"/>
    <cellStyle name="Saída 2 2 2 6 3 3" xfId="22681"/>
    <cellStyle name="Saída 2 2 2 6 3 3 2" xfId="51860"/>
    <cellStyle name="Saída 2 2 2 6 3 4" xfId="34129"/>
    <cellStyle name="Saída 2 2 2 6 4" xfId="10324"/>
    <cellStyle name="Saída 2 2 2 6 4 2" xfId="17986"/>
    <cellStyle name="Saída 2 2 2 6 4 2 2" xfId="29477"/>
    <cellStyle name="Saída 2 2 2 6 4 2 2 2" xfId="58656"/>
    <cellStyle name="Saída 2 2 2 6 4 2 3" xfId="47167"/>
    <cellStyle name="Saída 2 2 2 6 4 3" xfId="25049"/>
    <cellStyle name="Saída 2 2 2 6 4 3 2" xfId="54228"/>
    <cellStyle name="Saída 2 2 2 6 4 4" xfId="39507"/>
    <cellStyle name="Saída 2 2 2 6 5" xfId="11567"/>
    <cellStyle name="Saída 2 2 2 6 5 2" xfId="25669"/>
    <cellStyle name="Saída 2 2 2 6 5 2 2" xfId="54848"/>
    <cellStyle name="Saída 2 2 2 6 5 3" xfId="40748"/>
    <cellStyle name="Saída 2 2 2 6 6" xfId="21241"/>
    <cellStyle name="Saída 2 2 2 6 6 2" xfId="50420"/>
    <cellStyle name="Saída 2 2 2 6 7" xfId="30745"/>
    <cellStyle name="Saída 2 2 2 7" xfId="2462"/>
    <cellStyle name="Saída 2 2 2 7 2" xfId="5666"/>
    <cellStyle name="Saída 2 2 2 7 2 2" xfId="14588"/>
    <cellStyle name="Saída 2 2 2 7 2 2 2" xfId="27469"/>
    <cellStyle name="Saída 2 2 2 7 2 2 2 2" xfId="56648"/>
    <cellStyle name="Saída 2 2 2 7 2 2 3" xfId="43769"/>
    <cellStyle name="Saída 2 2 2 7 2 3" xfId="23041"/>
    <cellStyle name="Saída 2 2 2 7 2 3 2" xfId="52220"/>
    <cellStyle name="Saída 2 2 2 7 2 4" xfId="34849"/>
    <cellStyle name="Saída 2 2 2 7 3" xfId="9547"/>
    <cellStyle name="Saída 2 2 2 7 3 2" xfId="17437"/>
    <cellStyle name="Saída 2 2 2 7 3 2 2" xfId="29170"/>
    <cellStyle name="Saída 2 2 2 7 3 2 2 2" xfId="58349"/>
    <cellStyle name="Saída 2 2 2 7 3 2 3" xfId="46618"/>
    <cellStyle name="Saída 2 2 2 7 3 3" xfId="24742"/>
    <cellStyle name="Saída 2 2 2 7 3 3 2" xfId="53921"/>
    <cellStyle name="Saída 2 2 2 7 3 4" xfId="38730"/>
    <cellStyle name="Saída 2 2 2 7 4" xfId="12204"/>
    <cellStyle name="Saída 2 2 2 7 4 2" xfId="26029"/>
    <cellStyle name="Saída 2 2 2 7 4 2 2" xfId="55208"/>
    <cellStyle name="Saída 2 2 2 7 4 3" xfId="41385"/>
    <cellStyle name="Saída 2 2 2 7 5" xfId="21601"/>
    <cellStyle name="Saída 2 2 2 7 5 2" xfId="50780"/>
    <cellStyle name="Saída 2 2 2 7 6" xfId="31645"/>
    <cellStyle name="Saída 2 2 2 8" xfId="4226"/>
    <cellStyle name="Saída 2 2 2 8 2" xfId="13469"/>
    <cellStyle name="Saída 2 2 2 8 2 2" xfId="26749"/>
    <cellStyle name="Saída 2 2 2 8 2 2 2" xfId="55928"/>
    <cellStyle name="Saída 2 2 2 8 2 3" xfId="42650"/>
    <cellStyle name="Saída 2 2 2 8 3" xfId="22321"/>
    <cellStyle name="Saída 2 2 2 8 3 2" xfId="51500"/>
    <cellStyle name="Saída 2 2 2 8 4" xfId="33409"/>
    <cellStyle name="Saída 2 2 2 9" xfId="9914"/>
    <cellStyle name="Saída 2 2 2 9 2" xfId="17700"/>
    <cellStyle name="Saída 2 2 2 9 2 2" xfId="29313"/>
    <cellStyle name="Saída 2 2 2 9 2 2 2" xfId="58492"/>
    <cellStyle name="Saída 2 2 2 9 2 3" xfId="46881"/>
    <cellStyle name="Saída 2 2 2 9 3" xfId="24885"/>
    <cellStyle name="Saída 2 2 2 9 3 2" xfId="54064"/>
    <cellStyle name="Saída 2 2 2 9 4" xfId="39097"/>
    <cellStyle name="Saída 2 2 3" xfId="802"/>
    <cellStyle name="Saída 2 2 3 2" xfId="1740"/>
    <cellStyle name="Saída 2 2 3 2 2" xfId="3540"/>
    <cellStyle name="Saída 2 2 3 2 2 2" xfId="6528"/>
    <cellStyle name="Saída 2 2 3 2 2 2 2" xfId="15257"/>
    <cellStyle name="Saída 2 2 3 2 2 2 2 2" xfId="27881"/>
    <cellStyle name="Saída 2 2 3 2 2 2 2 2 2" xfId="57060"/>
    <cellStyle name="Saída 2 2 3 2 2 2 2 3" xfId="44438"/>
    <cellStyle name="Saída 2 2 3 2 2 2 3" xfId="23453"/>
    <cellStyle name="Saída 2 2 3 2 2 2 3 2" xfId="52632"/>
    <cellStyle name="Saída 2 2 3 2 2 2 4" xfId="35711"/>
    <cellStyle name="Saída 2 2 3 2 2 3" xfId="9962"/>
    <cellStyle name="Saída 2 2 3 2 2 3 2" xfId="17737"/>
    <cellStyle name="Saída 2 2 3 2 2 3 2 2" xfId="29333"/>
    <cellStyle name="Saída 2 2 3 2 2 3 2 2 2" xfId="58512"/>
    <cellStyle name="Saída 2 2 3 2 2 3 2 3" xfId="46918"/>
    <cellStyle name="Saída 2 2 3 2 2 3 3" xfId="24905"/>
    <cellStyle name="Saída 2 2 3 2 2 3 3 2" xfId="54084"/>
    <cellStyle name="Saída 2 2 3 2 2 3 4" xfId="39145"/>
    <cellStyle name="Saída 2 2 3 2 2 4" xfId="12968"/>
    <cellStyle name="Saída 2 2 3 2 2 4 2" xfId="26441"/>
    <cellStyle name="Saída 2 2 3 2 2 4 2 2" xfId="55620"/>
    <cellStyle name="Saída 2 2 3 2 2 4 3" xfId="42149"/>
    <cellStyle name="Saída 2 2 3 2 2 5" xfId="22013"/>
    <cellStyle name="Saída 2 2 3 2 2 5 2" xfId="51192"/>
    <cellStyle name="Saída 2 2 3 2 2 6" xfId="32723"/>
    <cellStyle name="Saída 2 2 3 2 3" xfId="5088"/>
    <cellStyle name="Saída 2 2 3 2 3 2" xfId="14133"/>
    <cellStyle name="Saída 2 2 3 2 3 2 2" xfId="27161"/>
    <cellStyle name="Saída 2 2 3 2 3 2 2 2" xfId="56340"/>
    <cellStyle name="Saída 2 2 3 2 3 2 3" xfId="43314"/>
    <cellStyle name="Saída 2 2 3 2 3 3" xfId="22733"/>
    <cellStyle name="Saída 2 2 3 2 3 3 2" xfId="51912"/>
    <cellStyle name="Saída 2 2 3 2 3 4" xfId="34271"/>
    <cellStyle name="Saída 2 2 3 2 4" xfId="9631"/>
    <cellStyle name="Saída 2 2 3 2 4 2" xfId="17492"/>
    <cellStyle name="Saída 2 2 3 2 4 2 2" xfId="29202"/>
    <cellStyle name="Saída 2 2 3 2 4 2 2 2" xfId="58381"/>
    <cellStyle name="Saída 2 2 3 2 4 2 3" xfId="46673"/>
    <cellStyle name="Saída 2 2 3 2 4 3" xfId="24774"/>
    <cellStyle name="Saída 2 2 3 2 4 3 2" xfId="53953"/>
    <cellStyle name="Saída 2 2 3 2 4 4" xfId="38814"/>
    <cellStyle name="Saída 2 2 3 2 5" xfId="11694"/>
    <cellStyle name="Saída 2 2 3 2 5 2" xfId="25721"/>
    <cellStyle name="Saída 2 2 3 2 5 2 2" xfId="54900"/>
    <cellStyle name="Saída 2 2 3 2 5 3" xfId="40875"/>
    <cellStyle name="Saída 2 2 3 2 6" xfId="21293"/>
    <cellStyle name="Saída 2 2 3 2 6 2" xfId="50472"/>
    <cellStyle name="Saída 2 2 3 2 7" xfId="30923"/>
    <cellStyle name="Saída 2 2 3 3" xfId="2640"/>
    <cellStyle name="Saída 2 2 3 3 2" xfId="5808"/>
    <cellStyle name="Saída 2 2 3 3 2 2" xfId="14698"/>
    <cellStyle name="Saída 2 2 3 3 2 2 2" xfId="27521"/>
    <cellStyle name="Saída 2 2 3 3 2 2 2 2" xfId="56700"/>
    <cellStyle name="Saída 2 2 3 3 2 2 3" xfId="43879"/>
    <cellStyle name="Saída 2 2 3 3 2 3" xfId="23093"/>
    <cellStyle name="Saída 2 2 3 3 2 3 2" xfId="52272"/>
    <cellStyle name="Saída 2 2 3 3 2 4" xfId="34991"/>
    <cellStyle name="Saída 2 2 3 3 3" xfId="8200"/>
    <cellStyle name="Saída 2 2 3 3 3 2" xfId="16467"/>
    <cellStyle name="Saída 2 2 3 3 3 2 2" xfId="28633"/>
    <cellStyle name="Saída 2 2 3 3 3 2 2 2" xfId="57812"/>
    <cellStyle name="Saída 2 2 3 3 3 2 3" xfId="45648"/>
    <cellStyle name="Saída 2 2 3 3 3 3" xfId="24205"/>
    <cellStyle name="Saída 2 2 3 3 3 3 2" xfId="53384"/>
    <cellStyle name="Saída 2 2 3 3 3 4" xfId="37383"/>
    <cellStyle name="Saída 2 2 3 3 4" xfId="12330"/>
    <cellStyle name="Saída 2 2 3 3 4 2" xfId="26081"/>
    <cellStyle name="Saída 2 2 3 3 4 2 2" xfId="55260"/>
    <cellStyle name="Saída 2 2 3 3 4 3" xfId="41511"/>
    <cellStyle name="Saída 2 2 3 3 5" xfId="21653"/>
    <cellStyle name="Saída 2 2 3 3 5 2" xfId="50832"/>
    <cellStyle name="Saída 2 2 3 3 6" xfId="31823"/>
    <cellStyle name="Saída 2 2 3 4" xfId="4368"/>
    <cellStyle name="Saída 2 2 3 4 2" xfId="13574"/>
    <cellStyle name="Saída 2 2 3 4 2 2" xfId="26801"/>
    <cellStyle name="Saída 2 2 3 4 2 2 2" xfId="55980"/>
    <cellStyle name="Saída 2 2 3 4 2 3" xfId="42755"/>
    <cellStyle name="Saída 2 2 3 4 3" xfId="22373"/>
    <cellStyle name="Saída 2 2 3 4 3 2" xfId="51552"/>
    <cellStyle name="Saída 2 2 3 4 4" xfId="33551"/>
    <cellStyle name="Saída 2 2 3 5" xfId="9109"/>
    <cellStyle name="Saída 2 2 3 5 2" xfId="17127"/>
    <cellStyle name="Saída 2 2 3 5 2 2" xfId="28996"/>
    <cellStyle name="Saída 2 2 3 5 2 2 2" xfId="58175"/>
    <cellStyle name="Saída 2 2 3 5 2 3" xfId="46308"/>
    <cellStyle name="Saída 2 2 3 5 3" xfId="24568"/>
    <cellStyle name="Saída 2 2 3 5 3 2" xfId="53747"/>
    <cellStyle name="Saída 2 2 3 5 4" xfId="38292"/>
    <cellStyle name="Saída 2 2 3 6" xfId="11033"/>
    <cellStyle name="Saída 2 2 3 6 2" xfId="25337"/>
    <cellStyle name="Saída 2 2 3 6 2 2" xfId="54516"/>
    <cellStyle name="Saída 2 2 3 6 3" xfId="40214"/>
    <cellStyle name="Saída 2 2 3 7" xfId="20909"/>
    <cellStyle name="Saída 2 2 3 7 2" xfId="50088"/>
    <cellStyle name="Saída 2 2 3 8" xfId="29999"/>
    <cellStyle name="Saída 2 2 4" xfId="994"/>
    <cellStyle name="Saída 2 2 4 2" xfId="1904"/>
    <cellStyle name="Saída 2 2 4 2 2" xfId="3704"/>
    <cellStyle name="Saída 2 2 4 2 2 2" xfId="6656"/>
    <cellStyle name="Saída 2 2 4 2 2 2 2" xfId="15357"/>
    <cellStyle name="Saída 2 2 4 2 2 2 2 2" xfId="27955"/>
    <cellStyle name="Saída 2 2 4 2 2 2 2 2 2" xfId="57134"/>
    <cellStyle name="Saída 2 2 4 2 2 2 2 3" xfId="44538"/>
    <cellStyle name="Saída 2 2 4 2 2 2 3" xfId="23527"/>
    <cellStyle name="Saída 2 2 4 2 2 2 3 2" xfId="52706"/>
    <cellStyle name="Saída 2 2 4 2 2 2 4" xfId="35839"/>
    <cellStyle name="Saída 2 2 4 2 2 3" xfId="9967"/>
    <cellStyle name="Saída 2 2 4 2 2 3 2" xfId="17741"/>
    <cellStyle name="Saída 2 2 4 2 2 3 2 2" xfId="29335"/>
    <cellStyle name="Saída 2 2 4 2 2 3 2 2 2" xfId="58514"/>
    <cellStyle name="Saída 2 2 4 2 2 3 2 3" xfId="46922"/>
    <cellStyle name="Saída 2 2 4 2 2 3 3" xfId="24907"/>
    <cellStyle name="Saída 2 2 4 2 2 3 3 2" xfId="54086"/>
    <cellStyle name="Saída 2 2 4 2 2 3 4" xfId="39150"/>
    <cellStyle name="Saída 2 2 4 2 2 4" xfId="13088"/>
    <cellStyle name="Saída 2 2 4 2 2 4 2" xfId="26515"/>
    <cellStyle name="Saída 2 2 4 2 2 4 2 2" xfId="55694"/>
    <cellStyle name="Saída 2 2 4 2 2 4 3" xfId="42269"/>
    <cellStyle name="Saída 2 2 4 2 2 5" xfId="22087"/>
    <cellStyle name="Saída 2 2 4 2 2 5 2" xfId="51266"/>
    <cellStyle name="Saída 2 2 4 2 2 6" xfId="32887"/>
    <cellStyle name="Saída 2 2 4 2 3" xfId="5216"/>
    <cellStyle name="Saída 2 2 4 2 3 2" xfId="14235"/>
    <cellStyle name="Saída 2 2 4 2 3 2 2" xfId="27235"/>
    <cellStyle name="Saída 2 2 4 2 3 2 2 2" xfId="56414"/>
    <cellStyle name="Saída 2 2 4 2 3 2 3" xfId="43416"/>
    <cellStyle name="Saída 2 2 4 2 3 3" xfId="22807"/>
    <cellStyle name="Saída 2 2 4 2 3 3 2" xfId="51986"/>
    <cellStyle name="Saída 2 2 4 2 3 4" xfId="34399"/>
    <cellStyle name="Saída 2 2 4 2 4" xfId="9513"/>
    <cellStyle name="Saída 2 2 4 2 4 2" xfId="17412"/>
    <cellStyle name="Saída 2 2 4 2 4 2 2" xfId="29159"/>
    <cellStyle name="Saída 2 2 4 2 4 2 2 2" xfId="58338"/>
    <cellStyle name="Saída 2 2 4 2 4 2 3" xfId="46593"/>
    <cellStyle name="Saída 2 2 4 2 4 3" xfId="24731"/>
    <cellStyle name="Saída 2 2 4 2 4 3 2" xfId="53910"/>
    <cellStyle name="Saída 2 2 4 2 4 4" xfId="38696"/>
    <cellStyle name="Saída 2 2 4 2 5" xfId="11812"/>
    <cellStyle name="Saída 2 2 4 2 5 2" xfId="25795"/>
    <cellStyle name="Saída 2 2 4 2 5 2 2" xfId="54974"/>
    <cellStyle name="Saída 2 2 4 2 5 3" xfId="40993"/>
    <cellStyle name="Saída 2 2 4 2 6" xfId="21367"/>
    <cellStyle name="Saída 2 2 4 2 6 2" xfId="50546"/>
    <cellStyle name="Saída 2 2 4 2 7" xfId="31087"/>
    <cellStyle name="Saída 2 2 4 3" xfId="2804"/>
    <cellStyle name="Saída 2 2 4 3 2" xfId="5936"/>
    <cellStyle name="Saída 2 2 4 3 2 2" xfId="14799"/>
    <cellStyle name="Saída 2 2 4 3 2 2 2" xfId="27595"/>
    <cellStyle name="Saída 2 2 4 3 2 2 2 2" xfId="56774"/>
    <cellStyle name="Saída 2 2 4 3 2 2 3" xfId="43980"/>
    <cellStyle name="Saída 2 2 4 3 2 3" xfId="23167"/>
    <cellStyle name="Saída 2 2 4 3 2 3 2" xfId="52346"/>
    <cellStyle name="Saída 2 2 4 3 2 4" xfId="35119"/>
    <cellStyle name="Saída 2 2 4 3 3" xfId="8078"/>
    <cellStyle name="Saída 2 2 4 3 3 2" xfId="16380"/>
    <cellStyle name="Saída 2 2 4 3 3 2 2" xfId="28589"/>
    <cellStyle name="Saída 2 2 4 3 3 2 2 2" xfId="57768"/>
    <cellStyle name="Saída 2 2 4 3 3 2 3" xfId="45561"/>
    <cellStyle name="Saída 2 2 4 3 3 3" xfId="24161"/>
    <cellStyle name="Saída 2 2 4 3 3 3 2" xfId="53340"/>
    <cellStyle name="Saída 2 2 4 3 3 4" xfId="37261"/>
    <cellStyle name="Saída 2 2 4 3 4" xfId="12449"/>
    <cellStyle name="Saída 2 2 4 3 4 2" xfId="26155"/>
    <cellStyle name="Saída 2 2 4 3 4 2 2" xfId="55334"/>
    <cellStyle name="Saída 2 2 4 3 4 3" xfId="41630"/>
    <cellStyle name="Saída 2 2 4 3 5" xfId="21727"/>
    <cellStyle name="Saída 2 2 4 3 5 2" xfId="50906"/>
    <cellStyle name="Saída 2 2 4 3 6" xfId="31987"/>
    <cellStyle name="Saída 2 2 4 4" xfId="4496"/>
    <cellStyle name="Saída 2 2 4 4 2" xfId="13678"/>
    <cellStyle name="Saída 2 2 4 4 2 2" xfId="26875"/>
    <cellStyle name="Saída 2 2 4 4 2 2 2" xfId="56054"/>
    <cellStyle name="Saída 2 2 4 4 2 3" xfId="42859"/>
    <cellStyle name="Saída 2 2 4 4 3" xfId="22447"/>
    <cellStyle name="Saída 2 2 4 4 3 2" xfId="51626"/>
    <cellStyle name="Saída 2 2 4 4 4" xfId="33679"/>
    <cellStyle name="Saída 2 2 4 5" xfId="10213"/>
    <cellStyle name="Saída 2 2 4 5 2" xfId="17908"/>
    <cellStyle name="Saída 2 2 4 5 2 2" xfId="29434"/>
    <cellStyle name="Saída 2 2 4 5 2 2 2" xfId="58613"/>
    <cellStyle name="Saída 2 2 4 5 2 3" xfId="47089"/>
    <cellStyle name="Saída 2 2 4 5 3" xfId="25006"/>
    <cellStyle name="Saída 2 2 4 5 3 2" xfId="54185"/>
    <cellStyle name="Saída 2 2 4 5 4" xfId="39396"/>
    <cellStyle name="Saída 2 2 4 6" xfId="11175"/>
    <cellStyle name="Saída 2 2 4 6 2" xfId="25432"/>
    <cellStyle name="Saída 2 2 4 6 2 2" xfId="54611"/>
    <cellStyle name="Saída 2 2 4 6 3" xfId="40356"/>
    <cellStyle name="Saída 2 2 4 7" xfId="21004"/>
    <cellStyle name="Saída 2 2 4 7 2" xfId="50183"/>
    <cellStyle name="Saída 2 2 4 8" xfId="30184"/>
    <cellStyle name="Saída 2 2 5" xfId="1144"/>
    <cellStyle name="Saída 2 2 5 2" xfId="2048"/>
    <cellStyle name="Saída 2 2 5 2 2" xfId="3848"/>
    <cellStyle name="Saída 2 2 5 2 2 2" xfId="6773"/>
    <cellStyle name="Saída 2 2 5 2 2 2 2" xfId="15449"/>
    <cellStyle name="Saída 2 2 5 2 2 2 2 2" xfId="28018"/>
    <cellStyle name="Saída 2 2 5 2 2 2 2 2 2" xfId="57197"/>
    <cellStyle name="Saída 2 2 5 2 2 2 2 3" xfId="44630"/>
    <cellStyle name="Saída 2 2 5 2 2 2 3" xfId="23590"/>
    <cellStyle name="Saída 2 2 5 2 2 2 3 2" xfId="52769"/>
    <cellStyle name="Saída 2 2 5 2 2 2 4" xfId="35956"/>
    <cellStyle name="Saída 2 2 5 2 2 3" xfId="8998"/>
    <cellStyle name="Saída 2 2 5 2 2 3 2" xfId="17051"/>
    <cellStyle name="Saída 2 2 5 2 2 3 2 2" xfId="28951"/>
    <cellStyle name="Saída 2 2 5 2 2 3 2 2 2" xfId="58130"/>
    <cellStyle name="Saída 2 2 5 2 2 3 2 3" xfId="46232"/>
    <cellStyle name="Saída 2 2 5 2 2 3 3" xfId="24523"/>
    <cellStyle name="Saída 2 2 5 2 2 3 3 2" xfId="53702"/>
    <cellStyle name="Saída 2 2 5 2 2 3 4" xfId="38181"/>
    <cellStyle name="Saída 2 2 5 2 2 4" xfId="13188"/>
    <cellStyle name="Saída 2 2 5 2 2 4 2" xfId="26578"/>
    <cellStyle name="Saída 2 2 5 2 2 4 2 2" xfId="55757"/>
    <cellStyle name="Saída 2 2 5 2 2 4 3" xfId="42369"/>
    <cellStyle name="Saída 2 2 5 2 2 5" xfId="22150"/>
    <cellStyle name="Saída 2 2 5 2 2 5 2" xfId="51329"/>
    <cellStyle name="Saída 2 2 5 2 2 6" xfId="33031"/>
    <cellStyle name="Saída 2 2 5 2 3" xfId="5333"/>
    <cellStyle name="Saída 2 2 5 2 3 2" xfId="14328"/>
    <cellStyle name="Saída 2 2 5 2 3 2 2" xfId="27298"/>
    <cellStyle name="Saída 2 2 5 2 3 2 2 2" xfId="56477"/>
    <cellStyle name="Saída 2 2 5 2 3 2 3" xfId="43509"/>
    <cellStyle name="Saída 2 2 5 2 3 3" xfId="22870"/>
    <cellStyle name="Saída 2 2 5 2 3 3 2" xfId="52049"/>
    <cellStyle name="Saída 2 2 5 2 3 4" xfId="34516"/>
    <cellStyle name="Saída 2 2 5 2 4" xfId="7883"/>
    <cellStyle name="Saída 2 2 5 2 4 2" xfId="16237"/>
    <cellStyle name="Saída 2 2 5 2 4 2 2" xfId="28509"/>
    <cellStyle name="Saída 2 2 5 2 4 2 2 2" xfId="57688"/>
    <cellStyle name="Saída 2 2 5 2 4 2 3" xfId="45418"/>
    <cellStyle name="Saída 2 2 5 2 4 3" xfId="24081"/>
    <cellStyle name="Saída 2 2 5 2 4 3 2" xfId="53260"/>
    <cellStyle name="Saída 2 2 5 2 4 4" xfId="37066"/>
    <cellStyle name="Saída 2 2 5 2 5" xfId="11913"/>
    <cellStyle name="Saída 2 2 5 2 5 2" xfId="25858"/>
    <cellStyle name="Saída 2 2 5 2 5 2 2" xfId="55037"/>
    <cellStyle name="Saída 2 2 5 2 5 3" xfId="41094"/>
    <cellStyle name="Saída 2 2 5 2 6" xfId="21430"/>
    <cellStyle name="Saída 2 2 5 2 6 2" xfId="50609"/>
    <cellStyle name="Saída 2 2 5 2 7" xfId="31231"/>
    <cellStyle name="Saída 2 2 5 3" xfId="2948"/>
    <cellStyle name="Saída 2 2 5 3 2" xfId="6053"/>
    <cellStyle name="Saída 2 2 5 3 2 2" xfId="14890"/>
    <cellStyle name="Saída 2 2 5 3 2 2 2" xfId="27658"/>
    <cellStyle name="Saída 2 2 5 3 2 2 2 2" xfId="56837"/>
    <cellStyle name="Saída 2 2 5 3 2 2 3" xfId="44071"/>
    <cellStyle name="Saída 2 2 5 3 2 3" xfId="23230"/>
    <cellStyle name="Saída 2 2 5 3 2 3 2" xfId="52409"/>
    <cellStyle name="Saída 2 2 5 3 2 4" xfId="35236"/>
    <cellStyle name="Saída 2 2 5 3 3" xfId="8656"/>
    <cellStyle name="Saída 2 2 5 3 3 2" xfId="16794"/>
    <cellStyle name="Saída 2 2 5 3 3 2 2" xfId="28811"/>
    <cellStyle name="Saída 2 2 5 3 3 2 2 2" xfId="57990"/>
    <cellStyle name="Saída 2 2 5 3 3 2 3" xfId="45975"/>
    <cellStyle name="Saída 2 2 5 3 3 3" xfId="24383"/>
    <cellStyle name="Saída 2 2 5 3 3 3 2" xfId="53562"/>
    <cellStyle name="Saída 2 2 5 3 3 4" xfId="37839"/>
    <cellStyle name="Saída 2 2 5 3 4" xfId="12552"/>
    <cellStyle name="Saída 2 2 5 3 4 2" xfId="26218"/>
    <cellStyle name="Saída 2 2 5 3 4 2 2" xfId="55397"/>
    <cellStyle name="Saída 2 2 5 3 4 3" xfId="41733"/>
    <cellStyle name="Saída 2 2 5 3 5" xfId="21790"/>
    <cellStyle name="Saída 2 2 5 3 5 2" xfId="50969"/>
    <cellStyle name="Saída 2 2 5 3 6" xfId="32131"/>
    <cellStyle name="Saída 2 2 5 4" xfId="4613"/>
    <cellStyle name="Saída 2 2 5 4 2" xfId="13771"/>
    <cellStyle name="Saída 2 2 5 4 2 2" xfId="26938"/>
    <cellStyle name="Saída 2 2 5 4 2 2 2" xfId="56117"/>
    <cellStyle name="Saída 2 2 5 4 2 3" xfId="42952"/>
    <cellStyle name="Saída 2 2 5 4 3" xfId="22510"/>
    <cellStyle name="Saída 2 2 5 4 3 2" xfId="51689"/>
    <cellStyle name="Saída 2 2 5 4 4" xfId="33796"/>
    <cellStyle name="Saída 2 2 5 5" xfId="8295"/>
    <cellStyle name="Saída 2 2 5 5 2" xfId="16537"/>
    <cellStyle name="Saída 2 2 5 5 2 2" xfId="28673"/>
    <cellStyle name="Saída 2 2 5 5 2 2 2" xfId="57852"/>
    <cellStyle name="Saída 2 2 5 5 2 3" xfId="45718"/>
    <cellStyle name="Saída 2 2 5 5 3" xfId="24245"/>
    <cellStyle name="Saída 2 2 5 5 3 2" xfId="53424"/>
    <cellStyle name="Saída 2 2 5 5 4" xfId="37478"/>
    <cellStyle name="Saída 2 2 5 6" xfId="11281"/>
    <cellStyle name="Saída 2 2 5 6 2" xfId="25498"/>
    <cellStyle name="Saída 2 2 5 6 2 2" xfId="54677"/>
    <cellStyle name="Saída 2 2 5 6 3" xfId="40462"/>
    <cellStyle name="Saída 2 2 5 7" xfId="21070"/>
    <cellStyle name="Saída 2 2 5 7 2" xfId="50249"/>
    <cellStyle name="Saída 2 2 5 8" xfId="30331"/>
    <cellStyle name="Saída 2 2 6" xfId="1290"/>
    <cellStyle name="Saída 2 2 6 2" xfId="2192"/>
    <cellStyle name="Saída 2 2 6 2 2" xfId="3992"/>
    <cellStyle name="Saída 2 2 6 2 2 2" xfId="6890"/>
    <cellStyle name="Saída 2 2 6 2 2 2 2" xfId="15544"/>
    <cellStyle name="Saída 2 2 6 2 2 2 2 2" xfId="28081"/>
    <cellStyle name="Saída 2 2 6 2 2 2 2 2 2" xfId="57260"/>
    <cellStyle name="Saída 2 2 6 2 2 2 2 3" xfId="44725"/>
    <cellStyle name="Saída 2 2 6 2 2 2 3" xfId="23653"/>
    <cellStyle name="Saída 2 2 6 2 2 2 3 2" xfId="52832"/>
    <cellStyle name="Saída 2 2 6 2 2 2 4" xfId="36073"/>
    <cellStyle name="Saída 2 2 6 2 2 3" xfId="7088"/>
    <cellStyle name="Saída 2 2 6 2 2 3 2" xfId="15688"/>
    <cellStyle name="Saída 2 2 6 2 2 3 2 2" xfId="28187"/>
    <cellStyle name="Saída 2 2 6 2 2 3 2 2 2" xfId="57366"/>
    <cellStyle name="Saída 2 2 6 2 2 3 2 3" xfId="44869"/>
    <cellStyle name="Saída 2 2 6 2 2 3 3" xfId="23759"/>
    <cellStyle name="Saída 2 2 6 2 2 3 3 2" xfId="52938"/>
    <cellStyle name="Saída 2 2 6 2 2 3 4" xfId="36271"/>
    <cellStyle name="Saída 2 2 6 2 2 4" xfId="13293"/>
    <cellStyle name="Saída 2 2 6 2 2 4 2" xfId="26641"/>
    <cellStyle name="Saída 2 2 6 2 2 4 2 2" xfId="55820"/>
    <cellStyle name="Saída 2 2 6 2 2 4 3" xfId="42474"/>
    <cellStyle name="Saída 2 2 6 2 2 5" xfId="22213"/>
    <cellStyle name="Saída 2 2 6 2 2 5 2" xfId="51392"/>
    <cellStyle name="Saída 2 2 6 2 2 6" xfId="33175"/>
    <cellStyle name="Saída 2 2 6 2 3" xfId="5450"/>
    <cellStyle name="Saída 2 2 6 2 3 2" xfId="14424"/>
    <cellStyle name="Saída 2 2 6 2 3 2 2" xfId="27361"/>
    <cellStyle name="Saída 2 2 6 2 3 2 2 2" xfId="56540"/>
    <cellStyle name="Saída 2 2 6 2 3 2 3" xfId="43605"/>
    <cellStyle name="Saída 2 2 6 2 3 3" xfId="22933"/>
    <cellStyle name="Saída 2 2 6 2 3 3 2" xfId="52112"/>
    <cellStyle name="Saída 2 2 6 2 3 4" xfId="34633"/>
    <cellStyle name="Saída 2 2 6 2 4" xfId="7753"/>
    <cellStyle name="Saída 2 2 6 2 4 2" xfId="16152"/>
    <cellStyle name="Saída 2 2 6 2 4 2 2" xfId="28460"/>
    <cellStyle name="Saída 2 2 6 2 4 2 2 2" xfId="57639"/>
    <cellStyle name="Saída 2 2 6 2 4 2 3" xfId="45333"/>
    <cellStyle name="Saída 2 2 6 2 4 3" xfId="24032"/>
    <cellStyle name="Saída 2 2 6 2 4 3 2" xfId="53211"/>
    <cellStyle name="Saída 2 2 6 2 4 4" xfId="36936"/>
    <cellStyle name="Saída 2 2 6 2 5" xfId="12017"/>
    <cellStyle name="Saída 2 2 6 2 5 2" xfId="25921"/>
    <cellStyle name="Saída 2 2 6 2 5 2 2" xfId="55100"/>
    <cellStyle name="Saída 2 2 6 2 5 3" xfId="41198"/>
    <cellStyle name="Saída 2 2 6 2 6" xfId="21493"/>
    <cellStyle name="Saída 2 2 6 2 6 2" xfId="50672"/>
    <cellStyle name="Saída 2 2 6 2 7" xfId="31375"/>
    <cellStyle name="Saída 2 2 6 3" xfId="3092"/>
    <cellStyle name="Saída 2 2 6 3 2" xfId="6170"/>
    <cellStyle name="Saída 2 2 6 3 2 2" xfId="14985"/>
    <cellStyle name="Saída 2 2 6 3 2 2 2" xfId="27721"/>
    <cellStyle name="Saída 2 2 6 3 2 2 2 2" xfId="56900"/>
    <cellStyle name="Saída 2 2 6 3 2 2 3" xfId="44166"/>
    <cellStyle name="Saída 2 2 6 3 2 3" xfId="23293"/>
    <cellStyle name="Saída 2 2 6 3 2 3 2" xfId="52472"/>
    <cellStyle name="Saída 2 2 6 3 2 4" xfId="35353"/>
    <cellStyle name="Saída 2 2 6 3 3" xfId="8553"/>
    <cellStyle name="Saída 2 2 6 3 3 2" xfId="16716"/>
    <cellStyle name="Saída 2 2 6 3 3 2 2" xfId="28766"/>
    <cellStyle name="Saída 2 2 6 3 3 2 2 2" xfId="57945"/>
    <cellStyle name="Saída 2 2 6 3 3 2 3" xfId="45897"/>
    <cellStyle name="Saída 2 2 6 3 3 3" xfId="24338"/>
    <cellStyle name="Saída 2 2 6 3 3 3 2" xfId="53517"/>
    <cellStyle name="Saída 2 2 6 3 3 4" xfId="37736"/>
    <cellStyle name="Saída 2 2 6 3 4" xfId="12655"/>
    <cellStyle name="Saída 2 2 6 3 4 2" xfId="26281"/>
    <cellStyle name="Saída 2 2 6 3 4 2 2" xfId="55460"/>
    <cellStyle name="Saída 2 2 6 3 4 3" xfId="41836"/>
    <cellStyle name="Saída 2 2 6 3 5" xfId="21853"/>
    <cellStyle name="Saída 2 2 6 3 5 2" xfId="51032"/>
    <cellStyle name="Saída 2 2 6 3 6" xfId="32275"/>
    <cellStyle name="Saída 2 2 6 4" xfId="4730"/>
    <cellStyle name="Saída 2 2 6 4 2" xfId="13862"/>
    <cellStyle name="Saída 2 2 6 4 2 2" xfId="27001"/>
    <cellStyle name="Saída 2 2 6 4 2 2 2" xfId="56180"/>
    <cellStyle name="Saída 2 2 6 4 2 3" xfId="43043"/>
    <cellStyle name="Saída 2 2 6 4 3" xfId="22573"/>
    <cellStyle name="Saída 2 2 6 4 3 2" xfId="51752"/>
    <cellStyle name="Saída 2 2 6 4 4" xfId="33913"/>
    <cellStyle name="Saída 2 2 6 5" xfId="10365"/>
    <cellStyle name="Saída 2 2 6 5 2" xfId="18012"/>
    <cellStyle name="Saída 2 2 6 5 2 2" xfId="29491"/>
    <cellStyle name="Saída 2 2 6 5 2 2 2" xfId="58670"/>
    <cellStyle name="Saída 2 2 6 5 2 3" xfId="47193"/>
    <cellStyle name="Saída 2 2 6 5 3" xfId="25063"/>
    <cellStyle name="Saída 2 2 6 5 3 2" xfId="54242"/>
    <cellStyle name="Saída 2 2 6 5 4" xfId="39548"/>
    <cellStyle name="Saída 2 2 6 6" xfId="11387"/>
    <cellStyle name="Saída 2 2 6 6 2" xfId="25561"/>
    <cellStyle name="Saída 2 2 6 6 2 2" xfId="54740"/>
    <cellStyle name="Saída 2 2 6 6 3" xfId="40568"/>
    <cellStyle name="Saída 2 2 6 7" xfId="21133"/>
    <cellStyle name="Saída 2 2 6 7 2" xfId="50312"/>
    <cellStyle name="Saída 2 2 6 8" xfId="30475"/>
    <cellStyle name="Saída 2 2 7" xfId="1472"/>
    <cellStyle name="Saída 2 2 7 2" xfId="3272"/>
    <cellStyle name="Saída 2 2 7 2 2" xfId="6314"/>
    <cellStyle name="Saída 2 2 7 2 2 2" xfId="15088"/>
    <cellStyle name="Saída 2 2 7 2 2 2 2" xfId="27793"/>
    <cellStyle name="Saída 2 2 7 2 2 2 2 2" xfId="56972"/>
    <cellStyle name="Saída 2 2 7 2 2 2 3" xfId="44269"/>
    <cellStyle name="Saída 2 2 7 2 2 3" xfId="23365"/>
    <cellStyle name="Saída 2 2 7 2 2 3 2" xfId="52544"/>
    <cellStyle name="Saída 2 2 7 2 2 4" xfId="35497"/>
    <cellStyle name="Saída 2 2 7 2 3" xfId="8193"/>
    <cellStyle name="Saída 2 2 7 2 3 2" xfId="16460"/>
    <cellStyle name="Saída 2 2 7 2 3 2 2" xfId="28630"/>
    <cellStyle name="Saída 2 2 7 2 3 2 2 2" xfId="57809"/>
    <cellStyle name="Saída 2 2 7 2 3 2 3" xfId="45641"/>
    <cellStyle name="Saída 2 2 7 2 3 3" xfId="24202"/>
    <cellStyle name="Saída 2 2 7 2 3 3 2" xfId="53381"/>
    <cellStyle name="Saída 2 2 7 2 3 4" xfId="37376"/>
    <cellStyle name="Saída 2 2 7 2 4" xfId="12779"/>
    <cellStyle name="Saída 2 2 7 2 4 2" xfId="26353"/>
    <cellStyle name="Saída 2 2 7 2 4 2 2" xfId="55532"/>
    <cellStyle name="Saída 2 2 7 2 4 3" xfId="41960"/>
    <cellStyle name="Saída 2 2 7 2 5" xfId="21925"/>
    <cellStyle name="Saída 2 2 7 2 5 2" xfId="51104"/>
    <cellStyle name="Saída 2 2 7 2 6" xfId="32455"/>
    <cellStyle name="Saída 2 2 7 3" xfId="4874"/>
    <cellStyle name="Saída 2 2 7 3 2" xfId="13964"/>
    <cellStyle name="Saída 2 2 7 3 2 2" xfId="27073"/>
    <cellStyle name="Saída 2 2 7 3 2 2 2" xfId="56252"/>
    <cellStyle name="Saída 2 2 7 3 2 3" xfId="43145"/>
    <cellStyle name="Saída 2 2 7 3 3" xfId="22645"/>
    <cellStyle name="Saída 2 2 7 3 3 2" xfId="51824"/>
    <cellStyle name="Saída 2 2 7 3 4" xfId="34057"/>
    <cellStyle name="Saída 2 2 7 4" xfId="8015"/>
    <cellStyle name="Saída 2 2 7 4 2" xfId="16337"/>
    <cellStyle name="Saída 2 2 7 4 2 2" xfId="28561"/>
    <cellStyle name="Saída 2 2 7 4 2 2 2" xfId="57740"/>
    <cellStyle name="Saída 2 2 7 4 2 3" xfId="45518"/>
    <cellStyle name="Saída 2 2 7 4 3" xfId="24133"/>
    <cellStyle name="Saída 2 2 7 4 3 2" xfId="53312"/>
    <cellStyle name="Saída 2 2 7 4 4" xfId="37198"/>
    <cellStyle name="Saída 2 2 7 5" xfId="11509"/>
    <cellStyle name="Saída 2 2 7 5 2" xfId="25633"/>
    <cellStyle name="Saída 2 2 7 5 2 2" xfId="54812"/>
    <cellStyle name="Saída 2 2 7 5 3" xfId="40690"/>
    <cellStyle name="Saída 2 2 7 6" xfId="21205"/>
    <cellStyle name="Saída 2 2 7 6 2" xfId="50384"/>
    <cellStyle name="Saída 2 2 7 7" xfId="30655"/>
    <cellStyle name="Saída 2 2 8" xfId="2372"/>
    <cellStyle name="Saída 2 2 8 2" xfId="5594"/>
    <cellStyle name="Saída 2 2 8 2 2" xfId="14529"/>
    <cellStyle name="Saída 2 2 8 2 2 2" xfId="27433"/>
    <cellStyle name="Saída 2 2 8 2 2 2 2" xfId="56612"/>
    <cellStyle name="Saída 2 2 8 2 2 3" xfId="43710"/>
    <cellStyle name="Saída 2 2 8 2 3" xfId="23005"/>
    <cellStyle name="Saída 2 2 8 2 3 2" xfId="52184"/>
    <cellStyle name="Saída 2 2 8 2 4" xfId="34777"/>
    <cellStyle name="Saída 2 2 8 3" xfId="7641"/>
    <cellStyle name="Saída 2 2 8 3 2" xfId="16074"/>
    <cellStyle name="Saída 2 2 8 3 2 2" xfId="28417"/>
    <cellStyle name="Saída 2 2 8 3 2 2 2" xfId="57596"/>
    <cellStyle name="Saída 2 2 8 3 2 3" xfId="45255"/>
    <cellStyle name="Saída 2 2 8 3 3" xfId="23989"/>
    <cellStyle name="Saída 2 2 8 3 3 2" xfId="53168"/>
    <cellStyle name="Saída 2 2 8 3 4" xfId="36824"/>
    <cellStyle name="Saída 2 2 8 4" xfId="12138"/>
    <cellStyle name="Saída 2 2 8 4 2" xfId="25993"/>
    <cellStyle name="Saída 2 2 8 4 2 2" xfId="55172"/>
    <cellStyle name="Saída 2 2 8 4 3" xfId="41319"/>
    <cellStyle name="Saída 2 2 8 5" xfId="21565"/>
    <cellStyle name="Saída 2 2 8 5 2" xfId="50744"/>
    <cellStyle name="Saída 2 2 8 6" xfId="31555"/>
    <cellStyle name="Saída 2 2 9" xfId="4154"/>
    <cellStyle name="Saída 2 2 9 2" xfId="13407"/>
    <cellStyle name="Saída 2 2 9 2 2" xfId="26713"/>
    <cellStyle name="Saída 2 2 9 2 2 2" xfId="55892"/>
    <cellStyle name="Saída 2 2 9 2 3" xfId="42588"/>
    <cellStyle name="Saída 2 2 9 3" xfId="22285"/>
    <cellStyle name="Saída 2 2 9 3 2" xfId="51464"/>
    <cellStyle name="Saída 2 2 9 4" xfId="33337"/>
    <cellStyle name="Saída 2 3" xfId="494"/>
    <cellStyle name="Saída 2 3 10" xfId="10792"/>
    <cellStyle name="Saída 2 3 10 2" xfId="25191"/>
    <cellStyle name="Saída 2 3 10 2 2" xfId="54370"/>
    <cellStyle name="Saída 2 3 10 3" xfId="39973"/>
    <cellStyle name="Saída 2 3 11" xfId="20763"/>
    <cellStyle name="Saída 2 3 11 2" xfId="49942"/>
    <cellStyle name="Saída 2 3 12" xfId="29700"/>
    <cellStyle name="Saída 2 3 2" xfId="847"/>
    <cellStyle name="Saída 2 3 2 2" xfId="1785"/>
    <cellStyle name="Saída 2 3 2 2 2" xfId="3585"/>
    <cellStyle name="Saída 2 3 2 2 2 2" xfId="6564"/>
    <cellStyle name="Saída 2 3 2 2 2 2 2" xfId="15281"/>
    <cellStyle name="Saída 2 3 2 2 2 2 2 2" xfId="27899"/>
    <cellStyle name="Saída 2 3 2 2 2 2 2 2 2" xfId="57078"/>
    <cellStyle name="Saída 2 3 2 2 2 2 2 3" xfId="44462"/>
    <cellStyle name="Saída 2 3 2 2 2 2 3" xfId="23471"/>
    <cellStyle name="Saída 2 3 2 2 2 2 3 2" xfId="52650"/>
    <cellStyle name="Saída 2 3 2 2 2 2 4" xfId="35747"/>
    <cellStyle name="Saída 2 3 2 2 2 3" xfId="7701"/>
    <cellStyle name="Saída 2 3 2 2 2 3 2" xfId="16118"/>
    <cellStyle name="Saída 2 3 2 2 2 3 2 2" xfId="28442"/>
    <cellStyle name="Saída 2 3 2 2 2 3 2 2 2" xfId="57621"/>
    <cellStyle name="Saída 2 3 2 2 2 3 2 3" xfId="45299"/>
    <cellStyle name="Saída 2 3 2 2 2 3 3" xfId="24014"/>
    <cellStyle name="Saída 2 3 2 2 2 3 3 2" xfId="53193"/>
    <cellStyle name="Saída 2 3 2 2 2 3 4" xfId="36884"/>
    <cellStyle name="Saída 2 3 2 2 2 4" xfId="12997"/>
    <cellStyle name="Saída 2 3 2 2 2 4 2" xfId="26459"/>
    <cellStyle name="Saída 2 3 2 2 2 4 2 2" xfId="55638"/>
    <cellStyle name="Saída 2 3 2 2 2 4 3" xfId="42178"/>
    <cellStyle name="Saída 2 3 2 2 2 5" xfId="22031"/>
    <cellStyle name="Saída 2 3 2 2 2 5 2" xfId="51210"/>
    <cellStyle name="Saída 2 3 2 2 2 6" xfId="32768"/>
    <cellStyle name="Saída 2 3 2 2 3" xfId="5124"/>
    <cellStyle name="Saída 2 3 2 2 3 2" xfId="14158"/>
    <cellStyle name="Saída 2 3 2 2 3 2 2" xfId="27179"/>
    <cellStyle name="Saída 2 3 2 2 3 2 2 2" xfId="56358"/>
    <cellStyle name="Saída 2 3 2 2 3 2 3" xfId="43339"/>
    <cellStyle name="Saída 2 3 2 2 3 3" xfId="22751"/>
    <cellStyle name="Saída 2 3 2 2 3 3 2" xfId="51930"/>
    <cellStyle name="Saída 2 3 2 2 3 4" xfId="34307"/>
    <cellStyle name="Saída 2 3 2 2 4" xfId="9475"/>
    <cellStyle name="Saída 2 3 2 2 4 2" xfId="17384"/>
    <cellStyle name="Saída 2 3 2 2 4 2 2" xfId="29143"/>
    <cellStyle name="Saída 2 3 2 2 4 2 2 2" xfId="58322"/>
    <cellStyle name="Saída 2 3 2 2 4 2 3" xfId="46565"/>
    <cellStyle name="Saída 2 3 2 2 4 3" xfId="24715"/>
    <cellStyle name="Saída 2 3 2 2 4 3 2" xfId="53894"/>
    <cellStyle name="Saída 2 3 2 2 4 4" xfId="38658"/>
    <cellStyle name="Saída 2 3 2 2 5" xfId="11723"/>
    <cellStyle name="Saída 2 3 2 2 5 2" xfId="25739"/>
    <cellStyle name="Saída 2 3 2 2 5 2 2" xfId="54918"/>
    <cellStyle name="Saída 2 3 2 2 5 3" xfId="40904"/>
    <cellStyle name="Saída 2 3 2 2 6" xfId="21311"/>
    <cellStyle name="Saída 2 3 2 2 6 2" xfId="50490"/>
    <cellStyle name="Saída 2 3 2 2 7" xfId="30968"/>
    <cellStyle name="Saída 2 3 2 3" xfId="2685"/>
    <cellStyle name="Saída 2 3 2 3 2" xfId="5844"/>
    <cellStyle name="Saída 2 3 2 3 2 2" xfId="14725"/>
    <cellStyle name="Saída 2 3 2 3 2 2 2" xfId="27539"/>
    <cellStyle name="Saída 2 3 2 3 2 2 2 2" xfId="56718"/>
    <cellStyle name="Saída 2 3 2 3 2 2 3" xfId="43906"/>
    <cellStyle name="Saída 2 3 2 3 2 3" xfId="23111"/>
    <cellStyle name="Saída 2 3 2 3 2 3 2" xfId="52290"/>
    <cellStyle name="Saída 2 3 2 3 2 4" xfId="35027"/>
    <cellStyle name="Saída 2 3 2 3 3" xfId="8040"/>
    <cellStyle name="Saída 2 3 2 3 3 2" xfId="16354"/>
    <cellStyle name="Saída 2 3 2 3 3 2 2" xfId="28573"/>
    <cellStyle name="Saída 2 3 2 3 3 2 2 2" xfId="57752"/>
    <cellStyle name="Saída 2 3 2 3 3 2 3" xfId="45535"/>
    <cellStyle name="Saída 2 3 2 3 3 3" xfId="24145"/>
    <cellStyle name="Saída 2 3 2 3 3 3 2" xfId="53324"/>
    <cellStyle name="Saída 2 3 2 3 3 4" xfId="37223"/>
    <cellStyle name="Saída 2 3 2 3 4" xfId="12360"/>
    <cellStyle name="Saída 2 3 2 3 4 2" xfId="26099"/>
    <cellStyle name="Saída 2 3 2 3 4 2 2" xfId="55278"/>
    <cellStyle name="Saída 2 3 2 3 4 3" xfId="41541"/>
    <cellStyle name="Saída 2 3 2 3 5" xfId="21671"/>
    <cellStyle name="Saída 2 3 2 3 5 2" xfId="50850"/>
    <cellStyle name="Saída 2 3 2 3 6" xfId="31868"/>
    <cellStyle name="Saída 2 3 2 4" xfId="4404"/>
    <cellStyle name="Saída 2 3 2 4 2" xfId="13602"/>
    <cellStyle name="Saída 2 3 2 4 2 2" xfId="26819"/>
    <cellStyle name="Saída 2 3 2 4 2 2 2" xfId="55998"/>
    <cellStyle name="Saída 2 3 2 4 2 3" xfId="42783"/>
    <cellStyle name="Saída 2 3 2 4 3" xfId="22391"/>
    <cellStyle name="Saída 2 3 2 4 3 2" xfId="51570"/>
    <cellStyle name="Saída 2 3 2 4 4" xfId="33587"/>
    <cellStyle name="Saída 2 3 2 5" xfId="8219"/>
    <cellStyle name="Saída 2 3 2 5 2" xfId="16483"/>
    <cellStyle name="Saída 2 3 2 5 2 2" xfId="28643"/>
    <cellStyle name="Saída 2 3 2 5 2 2 2" xfId="57822"/>
    <cellStyle name="Saída 2 3 2 5 2 3" xfId="45664"/>
    <cellStyle name="Saída 2 3 2 5 3" xfId="24215"/>
    <cellStyle name="Saída 2 3 2 5 3 2" xfId="53394"/>
    <cellStyle name="Saída 2 3 2 5 4" xfId="37402"/>
    <cellStyle name="Saída 2 3 2 6" xfId="11062"/>
    <cellStyle name="Saída 2 3 2 6 2" xfId="25355"/>
    <cellStyle name="Saída 2 3 2 6 2 2" xfId="54534"/>
    <cellStyle name="Saída 2 3 2 6 3" xfId="40243"/>
    <cellStyle name="Saída 2 3 2 7" xfId="20927"/>
    <cellStyle name="Saída 2 3 2 7 2" xfId="50106"/>
    <cellStyle name="Saída 2 3 2 8" xfId="30044"/>
    <cellStyle name="Saída 2 3 3" xfId="1039"/>
    <cellStyle name="Saída 2 3 3 2" xfId="1949"/>
    <cellStyle name="Saída 2 3 3 2 2" xfId="3749"/>
    <cellStyle name="Saída 2 3 3 2 2 2" xfId="6692"/>
    <cellStyle name="Saída 2 3 3 2 2 2 2" xfId="15386"/>
    <cellStyle name="Saída 2 3 3 2 2 2 2 2" xfId="27973"/>
    <cellStyle name="Saída 2 3 3 2 2 2 2 2 2" xfId="57152"/>
    <cellStyle name="Saída 2 3 3 2 2 2 2 3" xfId="44567"/>
    <cellStyle name="Saída 2 3 3 2 2 2 3" xfId="23545"/>
    <cellStyle name="Saída 2 3 3 2 2 2 3 2" xfId="52724"/>
    <cellStyle name="Saída 2 3 3 2 2 2 4" xfId="35875"/>
    <cellStyle name="Saída 2 3 3 2 2 3" xfId="9728"/>
    <cellStyle name="Saída 2 3 3 2 2 3 2" xfId="17568"/>
    <cellStyle name="Saída 2 3 3 2 2 3 2 2" xfId="29241"/>
    <cellStyle name="Saída 2 3 3 2 2 3 2 2 2" xfId="58420"/>
    <cellStyle name="Saída 2 3 3 2 2 3 2 3" xfId="46749"/>
    <cellStyle name="Saída 2 3 3 2 2 3 3" xfId="24813"/>
    <cellStyle name="Saída 2 3 3 2 2 3 3 2" xfId="53992"/>
    <cellStyle name="Saída 2 3 3 2 2 3 4" xfId="38911"/>
    <cellStyle name="Saída 2 3 3 2 2 4" xfId="13119"/>
    <cellStyle name="Saída 2 3 3 2 2 4 2" xfId="26533"/>
    <cellStyle name="Saída 2 3 3 2 2 4 2 2" xfId="55712"/>
    <cellStyle name="Saída 2 3 3 2 2 4 3" xfId="42300"/>
    <cellStyle name="Saída 2 3 3 2 2 5" xfId="22105"/>
    <cellStyle name="Saída 2 3 3 2 2 5 2" xfId="51284"/>
    <cellStyle name="Saída 2 3 3 2 2 6" xfId="32932"/>
    <cellStyle name="Saída 2 3 3 2 3" xfId="5252"/>
    <cellStyle name="Saída 2 3 3 2 3 2" xfId="14265"/>
    <cellStyle name="Saída 2 3 3 2 3 2 2" xfId="27253"/>
    <cellStyle name="Saída 2 3 3 2 3 2 2 2" xfId="56432"/>
    <cellStyle name="Saída 2 3 3 2 3 2 3" xfId="43446"/>
    <cellStyle name="Saída 2 3 3 2 3 3" xfId="22825"/>
    <cellStyle name="Saída 2 3 3 2 3 3 2" xfId="52004"/>
    <cellStyle name="Saída 2 3 3 2 3 4" xfId="34435"/>
    <cellStyle name="Saída 2 3 3 2 4" xfId="9334"/>
    <cellStyle name="Saída 2 3 3 2 4 2" xfId="17291"/>
    <cellStyle name="Saída 2 3 3 2 4 2 2" xfId="29083"/>
    <cellStyle name="Saída 2 3 3 2 4 2 2 2" xfId="58262"/>
    <cellStyle name="Saída 2 3 3 2 4 2 3" xfId="46472"/>
    <cellStyle name="Saída 2 3 3 2 4 3" xfId="24655"/>
    <cellStyle name="Saída 2 3 3 2 4 3 2" xfId="53834"/>
    <cellStyle name="Saída 2 3 3 2 4 4" xfId="38517"/>
    <cellStyle name="Saída 2 3 3 2 5" xfId="11843"/>
    <cellStyle name="Saída 2 3 3 2 5 2" xfId="25813"/>
    <cellStyle name="Saída 2 3 3 2 5 2 2" xfId="54992"/>
    <cellStyle name="Saída 2 3 3 2 5 3" xfId="41024"/>
    <cellStyle name="Saída 2 3 3 2 6" xfId="21385"/>
    <cellStyle name="Saída 2 3 3 2 6 2" xfId="50564"/>
    <cellStyle name="Saída 2 3 3 2 7" xfId="31132"/>
    <cellStyle name="Saída 2 3 3 3" xfId="2849"/>
    <cellStyle name="Saída 2 3 3 3 2" xfId="5972"/>
    <cellStyle name="Saída 2 3 3 3 2 2" xfId="14829"/>
    <cellStyle name="Saída 2 3 3 3 2 2 2" xfId="27613"/>
    <cellStyle name="Saída 2 3 3 3 2 2 2 2" xfId="56792"/>
    <cellStyle name="Saída 2 3 3 3 2 2 3" xfId="44010"/>
    <cellStyle name="Saída 2 3 3 3 2 3" xfId="23185"/>
    <cellStyle name="Saída 2 3 3 3 2 3 2" xfId="52364"/>
    <cellStyle name="Saída 2 3 3 3 2 4" xfId="35155"/>
    <cellStyle name="Saída 2 3 3 3 3" xfId="7913"/>
    <cellStyle name="Saída 2 3 3 3 3 2" xfId="16262"/>
    <cellStyle name="Saída 2 3 3 3 3 2 2" xfId="28523"/>
    <cellStyle name="Saída 2 3 3 3 3 2 2 2" xfId="57702"/>
    <cellStyle name="Saída 2 3 3 3 3 2 3" xfId="45443"/>
    <cellStyle name="Saída 2 3 3 3 3 3" xfId="24095"/>
    <cellStyle name="Saída 2 3 3 3 3 3 2" xfId="53274"/>
    <cellStyle name="Saída 2 3 3 3 3 4" xfId="37096"/>
    <cellStyle name="Saída 2 3 3 3 4" xfId="12482"/>
    <cellStyle name="Saída 2 3 3 3 4 2" xfId="26173"/>
    <cellStyle name="Saída 2 3 3 3 4 2 2" xfId="55352"/>
    <cellStyle name="Saída 2 3 3 3 4 3" xfId="41663"/>
    <cellStyle name="Saída 2 3 3 3 5" xfId="21745"/>
    <cellStyle name="Saída 2 3 3 3 5 2" xfId="50924"/>
    <cellStyle name="Saída 2 3 3 3 6" xfId="32032"/>
    <cellStyle name="Saída 2 3 3 4" xfId="4532"/>
    <cellStyle name="Saída 2 3 3 4 2" xfId="13708"/>
    <cellStyle name="Saída 2 3 3 4 2 2" xfId="26893"/>
    <cellStyle name="Saída 2 3 3 4 2 2 2" xfId="56072"/>
    <cellStyle name="Saída 2 3 3 4 2 3" xfId="42889"/>
    <cellStyle name="Saída 2 3 3 4 3" xfId="22465"/>
    <cellStyle name="Saída 2 3 3 4 3 2" xfId="51644"/>
    <cellStyle name="Saída 2 3 3 4 4" xfId="33715"/>
    <cellStyle name="Saída 2 3 3 5" xfId="10017"/>
    <cellStyle name="Saída 2 3 3 5 2" xfId="17773"/>
    <cellStyle name="Saída 2 3 3 5 2 2" xfId="29352"/>
    <cellStyle name="Saída 2 3 3 5 2 2 2" xfId="58531"/>
    <cellStyle name="Saída 2 3 3 5 2 3" xfId="46954"/>
    <cellStyle name="Saída 2 3 3 5 3" xfId="24924"/>
    <cellStyle name="Saída 2 3 3 5 3 2" xfId="54103"/>
    <cellStyle name="Saída 2 3 3 5 4" xfId="39200"/>
    <cellStyle name="Saída 2 3 3 6" xfId="11206"/>
    <cellStyle name="Saída 2 3 3 6 2" xfId="25450"/>
    <cellStyle name="Saída 2 3 3 6 2 2" xfId="54629"/>
    <cellStyle name="Saída 2 3 3 6 3" xfId="40387"/>
    <cellStyle name="Saída 2 3 3 7" xfId="21022"/>
    <cellStyle name="Saída 2 3 3 7 2" xfId="50201"/>
    <cellStyle name="Saída 2 3 3 8" xfId="30229"/>
    <cellStyle name="Saída 2 3 4" xfId="1189"/>
    <cellStyle name="Saída 2 3 4 2" xfId="2093"/>
    <cellStyle name="Saída 2 3 4 2 2" xfId="3893"/>
    <cellStyle name="Saída 2 3 4 2 2 2" xfId="6809"/>
    <cellStyle name="Saída 2 3 4 2 2 2 2" xfId="15479"/>
    <cellStyle name="Saída 2 3 4 2 2 2 2 2" xfId="28036"/>
    <cellStyle name="Saída 2 3 4 2 2 2 2 2 2" xfId="57215"/>
    <cellStyle name="Saída 2 3 4 2 2 2 2 3" xfId="44660"/>
    <cellStyle name="Saída 2 3 4 2 2 2 3" xfId="23608"/>
    <cellStyle name="Saída 2 3 4 2 2 2 3 2" xfId="52787"/>
    <cellStyle name="Saída 2 3 4 2 2 2 4" xfId="35992"/>
    <cellStyle name="Saída 2 3 4 2 2 3" xfId="8107"/>
    <cellStyle name="Saída 2 3 4 2 2 3 2" xfId="16403"/>
    <cellStyle name="Saída 2 3 4 2 2 3 2 2" xfId="28600"/>
    <cellStyle name="Saída 2 3 4 2 2 3 2 2 2" xfId="57779"/>
    <cellStyle name="Saída 2 3 4 2 2 3 2 3" xfId="45584"/>
    <cellStyle name="Saída 2 3 4 2 2 3 3" xfId="24172"/>
    <cellStyle name="Saída 2 3 4 2 2 3 3 2" xfId="53351"/>
    <cellStyle name="Saída 2 3 4 2 2 3 4" xfId="37290"/>
    <cellStyle name="Saída 2 3 4 2 2 4" xfId="13221"/>
    <cellStyle name="Saída 2 3 4 2 2 4 2" xfId="26596"/>
    <cellStyle name="Saída 2 3 4 2 2 4 2 2" xfId="55775"/>
    <cellStyle name="Saída 2 3 4 2 2 4 3" xfId="42402"/>
    <cellStyle name="Saída 2 3 4 2 2 5" xfId="22168"/>
    <cellStyle name="Saída 2 3 4 2 2 5 2" xfId="51347"/>
    <cellStyle name="Saída 2 3 4 2 2 6" xfId="33076"/>
    <cellStyle name="Saída 2 3 4 2 3" xfId="5369"/>
    <cellStyle name="Saída 2 3 4 2 3 2" xfId="14357"/>
    <cellStyle name="Saída 2 3 4 2 3 2 2" xfId="27316"/>
    <cellStyle name="Saída 2 3 4 2 3 2 2 2" xfId="56495"/>
    <cellStyle name="Saída 2 3 4 2 3 2 3" xfId="43538"/>
    <cellStyle name="Saída 2 3 4 2 3 3" xfId="22888"/>
    <cellStyle name="Saída 2 3 4 2 3 3 2" xfId="52067"/>
    <cellStyle name="Saída 2 3 4 2 3 4" xfId="34552"/>
    <cellStyle name="Saída 2 3 4 2 4" xfId="7630"/>
    <cellStyle name="Saída 2 3 4 2 4 2" xfId="16069"/>
    <cellStyle name="Saída 2 3 4 2 4 2 2" xfId="28413"/>
    <cellStyle name="Saída 2 3 4 2 4 2 2 2" xfId="57592"/>
    <cellStyle name="Saída 2 3 4 2 4 2 3" xfId="45250"/>
    <cellStyle name="Saída 2 3 4 2 4 3" xfId="23985"/>
    <cellStyle name="Saída 2 3 4 2 4 3 2" xfId="53164"/>
    <cellStyle name="Saída 2 3 4 2 4 4" xfId="36813"/>
    <cellStyle name="Saída 2 3 4 2 5" xfId="11947"/>
    <cellStyle name="Saída 2 3 4 2 5 2" xfId="25876"/>
    <cellStyle name="Saída 2 3 4 2 5 2 2" xfId="55055"/>
    <cellStyle name="Saída 2 3 4 2 5 3" xfId="41128"/>
    <cellStyle name="Saída 2 3 4 2 6" xfId="21448"/>
    <cellStyle name="Saída 2 3 4 2 6 2" xfId="50627"/>
    <cellStyle name="Saída 2 3 4 2 7" xfId="31276"/>
    <cellStyle name="Saída 2 3 4 3" xfId="2993"/>
    <cellStyle name="Saída 2 3 4 3 2" xfId="6089"/>
    <cellStyle name="Saída 2 3 4 3 2 2" xfId="14918"/>
    <cellStyle name="Saída 2 3 4 3 2 2 2" xfId="27676"/>
    <cellStyle name="Saída 2 3 4 3 2 2 2 2" xfId="56855"/>
    <cellStyle name="Saída 2 3 4 3 2 2 3" xfId="44099"/>
    <cellStyle name="Saída 2 3 4 3 2 3" xfId="23248"/>
    <cellStyle name="Saída 2 3 4 3 2 3 2" xfId="52427"/>
    <cellStyle name="Saída 2 3 4 3 2 4" xfId="35272"/>
    <cellStyle name="Saída 2 3 4 3 3" xfId="8450"/>
    <cellStyle name="Saída 2 3 4 3 3 2" xfId="16646"/>
    <cellStyle name="Saída 2 3 4 3 3 2 2" xfId="28727"/>
    <cellStyle name="Saída 2 3 4 3 3 2 2 2" xfId="57906"/>
    <cellStyle name="Saída 2 3 4 3 3 2 3" xfId="45827"/>
    <cellStyle name="Saída 2 3 4 3 3 3" xfId="24299"/>
    <cellStyle name="Saída 2 3 4 3 3 3 2" xfId="53478"/>
    <cellStyle name="Saída 2 3 4 3 3 4" xfId="37633"/>
    <cellStyle name="Saída 2 3 4 3 4" xfId="12582"/>
    <cellStyle name="Saída 2 3 4 3 4 2" xfId="26236"/>
    <cellStyle name="Saída 2 3 4 3 4 2 2" xfId="55415"/>
    <cellStyle name="Saída 2 3 4 3 4 3" xfId="41763"/>
    <cellStyle name="Saída 2 3 4 3 5" xfId="21808"/>
    <cellStyle name="Saída 2 3 4 3 5 2" xfId="50987"/>
    <cellStyle name="Saída 2 3 4 3 6" xfId="32176"/>
    <cellStyle name="Saída 2 3 4 4" xfId="4649"/>
    <cellStyle name="Saída 2 3 4 4 2" xfId="13798"/>
    <cellStyle name="Saída 2 3 4 4 2 2" xfId="26956"/>
    <cellStyle name="Saída 2 3 4 4 2 2 2" xfId="56135"/>
    <cellStyle name="Saída 2 3 4 4 2 3" xfId="42979"/>
    <cellStyle name="Saída 2 3 4 4 3" xfId="22528"/>
    <cellStyle name="Saída 2 3 4 4 3 2" xfId="51707"/>
    <cellStyle name="Saída 2 3 4 4 4" xfId="33832"/>
    <cellStyle name="Saída 2 3 4 5" xfId="7851"/>
    <cellStyle name="Saída 2 3 4 5 2" xfId="16219"/>
    <cellStyle name="Saída 2 3 4 5 2 2" xfId="28497"/>
    <cellStyle name="Saída 2 3 4 5 2 2 2" xfId="57676"/>
    <cellStyle name="Saída 2 3 4 5 2 3" xfId="45400"/>
    <cellStyle name="Saída 2 3 4 5 3" xfId="24069"/>
    <cellStyle name="Saída 2 3 4 5 3 2" xfId="53248"/>
    <cellStyle name="Saída 2 3 4 5 4" xfId="37034"/>
    <cellStyle name="Saída 2 3 4 6" xfId="11316"/>
    <cellStyle name="Saída 2 3 4 6 2" xfId="25516"/>
    <cellStyle name="Saída 2 3 4 6 2 2" xfId="54695"/>
    <cellStyle name="Saída 2 3 4 6 3" xfId="40497"/>
    <cellStyle name="Saída 2 3 4 7" xfId="21088"/>
    <cellStyle name="Saída 2 3 4 7 2" xfId="50267"/>
    <cellStyle name="Saída 2 3 4 8" xfId="30376"/>
    <cellStyle name="Saída 2 3 5" xfId="1335"/>
    <cellStyle name="Saída 2 3 5 2" xfId="2237"/>
    <cellStyle name="Saída 2 3 5 2 2" xfId="4037"/>
    <cellStyle name="Saída 2 3 5 2 2 2" xfId="6926"/>
    <cellStyle name="Saída 2 3 5 2 2 2 2" xfId="15569"/>
    <cellStyle name="Saída 2 3 5 2 2 2 2 2" xfId="28099"/>
    <cellStyle name="Saída 2 3 5 2 2 2 2 2 2" xfId="57278"/>
    <cellStyle name="Saída 2 3 5 2 2 2 2 3" xfId="44750"/>
    <cellStyle name="Saída 2 3 5 2 2 2 3" xfId="23671"/>
    <cellStyle name="Saída 2 3 5 2 2 2 3 2" xfId="52850"/>
    <cellStyle name="Saída 2 3 5 2 2 2 4" xfId="36109"/>
    <cellStyle name="Saída 2 3 5 2 2 3" xfId="7043"/>
    <cellStyle name="Saída 2 3 5 2 2 3 2" xfId="15660"/>
    <cellStyle name="Saída 2 3 5 2 2 3 2 2" xfId="28169"/>
    <cellStyle name="Saída 2 3 5 2 2 3 2 2 2" xfId="57348"/>
    <cellStyle name="Saída 2 3 5 2 2 3 2 3" xfId="44841"/>
    <cellStyle name="Saída 2 3 5 2 2 3 3" xfId="23741"/>
    <cellStyle name="Saída 2 3 5 2 2 3 3 2" xfId="52920"/>
    <cellStyle name="Saída 2 3 5 2 2 3 4" xfId="36226"/>
    <cellStyle name="Saída 2 3 5 2 2 4" xfId="13323"/>
    <cellStyle name="Saída 2 3 5 2 2 4 2" xfId="26659"/>
    <cellStyle name="Saída 2 3 5 2 2 4 2 2" xfId="55838"/>
    <cellStyle name="Saída 2 3 5 2 2 4 3" xfId="42504"/>
    <cellStyle name="Saída 2 3 5 2 2 5" xfId="22231"/>
    <cellStyle name="Saída 2 3 5 2 2 5 2" xfId="51410"/>
    <cellStyle name="Saída 2 3 5 2 2 6" xfId="33220"/>
    <cellStyle name="Saída 2 3 5 2 3" xfId="5486"/>
    <cellStyle name="Saída 2 3 5 2 3 2" xfId="14449"/>
    <cellStyle name="Saída 2 3 5 2 3 2 2" xfId="27379"/>
    <cellStyle name="Saída 2 3 5 2 3 2 2 2" xfId="56558"/>
    <cellStyle name="Saída 2 3 5 2 3 2 3" xfId="43630"/>
    <cellStyle name="Saída 2 3 5 2 3 3" xfId="22951"/>
    <cellStyle name="Saída 2 3 5 2 3 3 2" xfId="52130"/>
    <cellStyle name="Saída 2 3 5 2 3 4" xfId="34669"/>
    <cellStyle name="Saída 2 3 5 2 4" xfId="7302"/>
    <cellStyle name="Saída 2 3 5 2 4 2" xfId="15842"/>
    <cellStyle name="Saída 2 3 5 2 4 2 2" xfId="28281"/>
    <cellStyle name="Saída 2 3 5 2 4 2 2 2" xfId="57460"/>
    <cellStyle name="Saída 2 3 5 2 4 2 3" xfId="45023"/>
    <cellStyle name="Saída 2 3 5 2 4 3" xfId="23853"/>
    <cellStyle name="Saída 2 3 5 2 4 3 2" xfId="53032"/>
    <cellStyle name="Saída 2 3 5 2 4 4" xfId="36485"/>
    <cellStyle name="Saída 2 3 5 2 5" xfId="12046"/>
    <cellStyle name="Saída 2 3 5 2 5 2" xfId="25939"/>
    <cellStyle name="Saída 2 3 5 2 5 2 2" xfId="55118"/>
    <cellStyle name="Saída 2 3 5 2 5 3" xfId="41227"/>
    <cellStyle name="Saída 2 3 5 2 6" xfId="21511"/>
    <cellStyle name="Saída 2 3 5 2 6 2" xfId="50690"/>
    <cellStyle name="Saída 2 3 5 2 7" xfId="31420"/>
    <cellStyle name="Saída 2 3 5 3" xfId="3137"/>
    <cellStyle name="Saída 2 3 5 3 2" xfId="6206"/>
    <cellStyle name="Saída 2 3 5 3 2 2" xfId="15009"/>
    <cellStyle name="Saída 2 3 5 3 2 2 2" xfId="27739"/>
    <cellStyle name="Saída 2 3 5 3 2 2 2 2" xfId="56918"/>
    <cellStyle name="Saída 2 3 5 3 2 2 3" xfId="44190"/>
    <cellStyle name="Saída 2 3 5 3 2 3" xfId="23311"/>
    <cellStyle name="Saída 2 3 5 3 2 3 2" xfId="52490"/>
    <cellStyle name="Saída 2 3 5 3 2 4" xfId="35389"/>
    <cellStyle name="Saída 2 3 5 3 3" xfId="7232"/>
    <cellStyle name="Saída 2 3 5 3 3 2" xfId="15794"/>
    <cellStyle name="Saída 2 3 5 3 3 2 2" xfId="28253"/>
    <cellStyle name="Saída 2 3 5 3 3 2 2 2" xfId="57432"/>
    <cellStyle name="Saída 2 3 5 3 3 2 3" xfId="44975"/>
    <cellStyle name="Saída 2 3 5 3 3 3" xfId="23825"/>
    <cellStyle name="Saída 2 3 5 3 3 3 2" xfId="53004"/>
    <cellStyle name="Saída 2 3 5 3 3 4" xfId="36415"/>
    <cellStyle name="Saída 2 3 5 3 4" xfId="12684"/>
    <cellStyle name="Saída 2 3 5 3 4 2" xfId="26299"/>
    <cellStyle name="Saída 2 3 5 3 4 2 2" xfId="55478"/>
    <cellStyle name="Saída 2 3 5 3 4 3" xfId="41865"/>
    <cellStyle name="Saída 2 3 5 3 5" xfId="21871"/>
    <cellStyle name="Saída 2 3 5 3 5 2" xfId="51050"/>
    <cellStyle name="Saída 2 3 5 3 6" xfId="32320"/>
    <cellStyle name="Saída 2 3 5 4" xfId="4766"/>
    <cellStyle name="Saída 2 3 5 4 2" xfId="13886"/>
    <cellStyle name="Saída 2 3 5 4 2 2" xfId="27019"/>
    <cellStyle name="Saída 2 3 5 4 2 2 2" xfId="56198"/>
    <cellStyle name="Saída 2 3 5 4 2 3" xfId="43067"/>
    <cellStyle name="Saída 2 3 5 4 3" xfId="22591"/>
    <cellStyle name="Saída 2 3 5 4 3 2" xfId="51770"/>
    <cellStyle name="Saída 2 3 5 4 4" xfId="33949"/>
    <cellStyle name="Saída 2 3 5 5" xfId="7969"/>
    <cellStyle name="Saída 2 3 5 5 2" xfId="16302"/>
    <cellStyle name="Saída 2 3 5 5 2 2" xfId="28544"/>
    <cellStyle name="Saída 2 3 5 5 2 2 2" xfId="57723"/>
    <cellStyle name="Saída 2 3 5 5 2 3" xfId="45483"/>
    <cellStyle name="Saída 2 3 5 5 3" xfId="24116"/>
    <cellStyle name="Saída 2 3 5 5 3 2" xfId="53295"/>
    <cellStyle name="Saída 2 3 5 5 4" xfId="37152"/>
    <cellStyle name="Saída 2 3 5 6" xfId="11415"/>
    <cellStyle name="Saída 2 3 5 6 2" xfId="25579"/>
    <cellStyle name="Saída 2 3 5 6 2 2" xfId="54758"/>
    <cellStyle name="Saída 2 3 5 6 3" xfId="40596"/>
    <cellStyle name="Saída 2 3 5 7" xfId="21151"/>
    <cellStyle name="Saída 2 3 5 7 2" xfId="50330"/>
    <cellStyle name="Saída 2 3 5 8" xfId="30520"/>
    <cellStyle name="Saída 2 3 6" xfId="1517"/>
    <cellStyle name="Saída 2 3 6 2" xfId="3317"/>
    <cellStyle name="Saída 2 3 6 2 2" xfId="6350"/>
    <cellStyle name="Saída 2 3 6 2 2 2" xfId="15112"/>
    <cellStyle name="Saída 2 3 6 2 2 2 2" xfId="27811"/>
    <cellStyle name="Saída 2 3 6 2 2 2 2 2" xfId="56990"/>
    <cellStyle name="Saída 2 3 6 2 2 2 3" xfId="44293"/>
    <cellStyle name="Saída 2 3 6 2 2 3" xfId="23383"/>
    <cellStyle name="Saída 2 3 6 2 2 3 2" xfId="52562"/>
    <cellStyle name="Saída 2 3 6 2 2 4" xfId="35533"/>
    <cellStyle name="Saída 2 3 6 2 3" xfId="8033"/>
    <cellStyle name="Saída 2 3 6 2 3 2" xfId="16349"/>
    <cellStyle name="Saída 2 3 6 2 3 2 2" xfId="28569"/>
    <cellStyle name="Saída 2 3 6 2 3 2 2 2" xfId="57748"/>
    <cellStyle name="Saída 2 3 6 2 3 2 3" xfId="45530"/>
    <cellStyle name="Saída 2 3 6 2 3 3" xfId="24141"/>
    <cellStyle name="Saída 2 3 6 2 3 3 2" xfId="53320"/>
    <cellStyle name="Saída 2 3 6 2 3 4" xfId="37216"/>
    <cellStyle name="Saída 2 3 6 2 4" xfId="12808"/>
    <cellStyle name="Saída 2 3 6 2 4 2" xfId="26371"/>
    <cellStyle name="Saída 2 3 6 2 4 2 2" xfId="55550"/>
    <cellStyle name="Saída 2 3 6 2 4 3" xfId="41989"/>
    <cellStyle name="Saída 2 3 6 2 5" xfId="21943"/>
    <cellStyle name="Saída 2 3 6 2 5 2" xfId="51122"/>
    <cellStyle name="Saída 2 3 6 2 6" xfId="32500"/>
    <cellStyle name="Saída 2 3 6 3" xfId="4910"/>
    <cellStyle name="Saída 2 3 6 3 2" xfId="13991"/>
    <cellStyle name="Saída 2 3 6 3 2 2" xfId="27091"/>
    <cellStyle name="Saída 2 3 6 3 2 2 2" xfId="56270"/>
    <cellStyle name="Saída 2 3 6 3 2 3" xfId="43172"/>
    <cellStyle name="Saída 2 3 6 3 3" xfId="22663"/>
    <cellStyle name="Saída 2 3 6 3 3 2" xfId="51842"/>
    <cellStyle name="Saída 2 3 6 3 4" xfId="34093"/>
    <cellStyle name="Saída 2 3 6 4" xfId="8252"/>
    <cellStyle name="Saída 2 3 6 4 2" xfId="16507"/>
    <cellStyle name="Saída 2 3 6 4 2 2" xfId="28659"/>
    <cellStyle name="Saída 2 3 6 4 2 2 2" xfId="57838"/>
    <cellStyle name="Saída 2 3 6 4 2 3" xfId="45688"/>
    <cellStyle name="Saída 2 3 6 4 3" xfId="24231"/>
    <cellStyle name="Saída 2 3 6 4 3 2" xfId="53410"/>
    <cellStyle name="Saída 2 3 6 4 4" xfId="37435"/>
    <cellStyle name="Saída 2 3 6 5" xfId="11536"/>
    <cellStyle name="Saída 2 3 6 5 2" xfId="25651"/>
    <cellStyle name="Saída 2 3 6 5 2 2" xfId="54830"/>
    <cellStyle name="Saída 2 3 6 5 3" xfId="40717"/>
    <cellStyle name="Saída 2 3 6 6" xfId="21223"/>
    <cellStyle name="Saída 2 3 6 6 2" xfId="50402"/>
    <cellStyle name="Saída 2 3 6 7" xfId="30700"/>
    <cellStyle name="Saída 2 3 7" xfId="2417"/>
    <cellStyle name="Saída 2 3 7 2" xfId="5630"/>
    <cellStyle name="Saída 2 3 7 2 2" xfId="14558"/>
    <cellStyle name="Saída 2 3 7 2 2 2" xfId="27451"/>
    <cellStyle name="Saída 2 3 7 2 2 2 2" xfId="56630"/>
    <cellStyle name="Saída 2 3 7 2 2 3" xfId="43739"/>
    <cellStyle name="Saída 2 3 7 2 3" xfId="23023"/>
    <cellStyle name="Saída 2 3 7 2 3 2" xfId="52202"/>
    <cellStyle name="Saída 2 3 7 2 4" xfId="34813"/>
    <cellStyle name="Saída 2 3 7 3" xfId="9782"/>
    <cellStyle name="Saída 2 3 7 3 2" xfId="17609"/>
    <cellStyle name="Saída 2 3 7 3 2 2" xfId="29263"/>
    <cellStyle name="Saída 2 3 7 3 2 2 2" xfId="58442"/>
    <cellStyle name="Saída 2 3 7 3 2 3" xfId="46790"/>
    <cellStyle name="Saída 2 3 7 3 3" xfId="24835"/>
    <cellStyle name="Saída 2 3 7 3 3 2" xfId="54014"/>
    <cellStyle name="Saída 2 3 7 3 4" xfId="38965"/>
    <cellStyle name="Saída 2 3 7 4" xfId="12170"/>
    <cellStyle name="Saída 2 3 7 4 2" xfId="26011"/>
    <cellStyle name="Saída 2 3 7 4 2 2" xfId="55190"/>
    <cellStyle name="Saída 2 3 7 4 3" xfId="41351"/>
    <cellStyle name="Saída 2 3 7 5" xfId="21583"/>
    <cellStyle name="Saída 2 3 7 5 2" xfId="50762"/>
    <cellStyle name="Saída 2 3 7 6" xfId="31600"/>
    <cellStyle name="Saída 2 3 8" xfId="4190"/>
    <cellStyle name="Saída 2 3 8 2" xfId="13439"/>
    <cellStyle name="Saída 2 3 8 2 2" xfId="26731"/>
    <cellStyle name="Saída 2 3 8 2 2 2" xfId="55910"/>
    <cellStyle name="Saída 2 3 8 2 3" xfId="42620"/>
    <cellStyle name="Saída 2 3 8 3" xfId="22303"/>
    <cellStyle name="Saída 2 3 8 3 2" xfId="51482"/>
    <cellStyle name="Saída 2 3 8 4" xfId="33373"/>
    <cellStyle name="Saída 2 3 9" xfId="7862"/>
    <cellStyle name="Saída 2 3 9 2" xfId="16226"/>
    <cellStyle name="Saída 2 3 9 2 2" xfId="28502"/>
    <cellStyle name="Saída 2 3 9 2 2 2" xfId="57681"/>
    <cellStyle name="Saída 2 3 9 2 3" xfId="45407"/>
    <cellStyle name="Saída 2 3 9 3" xfId="24074"/>
    <cellStyle name="Saída 2 3 9 3 2" xfId="53253"/>
    <cellStyle name="Saída 2 3 9 4" xfId="37045"/>
    <cellStyle name="Saída 2 4" xfId="715"/>
    <cellStyle name="Saída 2 4 2" xfId="1677"/>
    <cellStyle name="Saída 2 4 2 2" xfId="3477"/>
    <cellStyle name="Saída 2 4 2 2 2" xfId="6483"/>
    <cellStyle name="Saída 2 4 2 2 2 2" xfId="15217"/>
    <cellStyle name="Saída 2 4 2 2 2 2 2" xfId="27854"/>
    <cellStyle name="Saída 2 4 2 2 2 2 2 2" xfId="57033"/>
    <cellStyle name="Saída 2 4 2 2 2 2 3" xfId="44398"/>
    <cellStyle name="Saída 2 4 2 2 2 3" xfId="23426"/>
    <cellStyle name="Saída 2 4 2 2 2 3 2" xfId="52605"/>
    <cellStyle name="Saída 2 4 2 2 2 4" xfId="35666"/>
    <cellStyle name="Saída 2 4 2 2 3" xfId="8031"/>
    <cellStyle name="Saída 2 4 2 2 3 2" xfId="16348"/>
    <cellStyle name="Saída 2 4 2 2 3 2 2" xfId="28568"/>
    <cellStyle name="Saída 2 4 2 2 3 2 2 2" xfId="57747"/>
    <cellStyle name="Saída 2 4 2 2 3 2 3" xfId="45529"/>
    <cellStyle name="Saída 2 4 2 2 3 3" xfId="24140"/>
    <cellStyle name="Saída 2 4 2 2 3 3 2" xfId="53319"/>
    <cellStyle name="Saída 2 4 2 2 3 4" xfId="37214"/>
    <cellStyle name="Saída 2 4 2 2 4" xfId="12921"/>
    <cellStyle name="Saída 2 4 2 2 4 2" xfId="26414"/>
    <cellStyle name="Saída 2 4 2 2 4 2 2" xfId="55593"/>
    <cellStyle name="Saída 2 4 2 2 4 3" xfId="42102"/>
    <cellStyle name="Saída 2 4 2 2 5" xfId="21986"/>
    <cellStyle name="Saída 2 4 2 2 5 2" xfId="51165"/>
    <cellStyle name="Saída 2 4 2 2 6" xfId="32660"/>
    <cellStyle name="Saída 2 4 2 3" xfId="5043"/>
    <cellStyle name="Saída 2 4 2 3 2" xfId="14093"/>
    <cellStyle name="Saída 2 4 2 3 2 2" xfId="27134"/>
    <cellStyle name="Saída 2 4 2 3 2 2 2" xfId="56313"/>
    <cellStyle name="Saída 2 4 2 3 2 3" xfId="43274"/>
    <cellStyle name="Saída 2 4 2 3 3" xfId="22706"/>
    <cellStyle name="Saída 2 4 2 3 3 2" xfId="51885"/>
    <cellStyle name="Saída 2 4 2 3 4" xfId="34226"/>
    <cellStyle name="Saída 2 4 2 4" xfId="8250"/>
    <cellStyle name="Saída 2 4 2 4 2" xfId="16506"/>
    <cellStyle name="Saída 2 4 2 4 2 2" xfId="28658"/>
    <cellStyle name="Saída 2 4 2 4 2 2 2" xfId="57837"/>
    <cellStyle name="Saída 2 4 2 4 2 3" xfId="45687"/>
    <cellStyle name="Saída 2 4 2 4 3" xfId="24230"/>
    <cellStyle name="Saída 2 4 2 4 3 2" xfId="53409"/>
    <cellStyle name="Saída 2 4 2 4 4" xfId="37433"/>
    <cellStyle name="Saída 2 4 2 5" xfId="11648"/>
    <cellStyle name="Saída 2 4 2 5 2" xfId="25694"/>
    <cellStyle name="Saída 2 4 2 5 2 2" xfId="54873"/>
    <cellStyle name="Saída 2 4 2 5 3" xfId="40829"/>
    <cellStyle name="Saída 2 4 2 6" xfId="21266"/>
    <cellStyle name="Saída 2 4 2 6 2" xfId="50445"/>
    <cellStyle name="Saída 2 4 2 7" xfId="30860"/>
    <cellStyle name="Saída 2 4 3" xfId="2577"/>
    <cellStyle name="Saída 2 4 3 2" xfId="5763"/>
    <cellStyle name="Saída 2 4 3 2 2" xfId="14658"/>
    <cellStyle name="Saída 2 4 3 2 2 2" xfId="27494"/>
    <cellStyle name="Saída 2 4 3 2 2 2 2" xfId="56673"/>
    <cellStyle name="Saída 2 4 3 2 2 3" xfId="43839"/>
    <cellStyle name="Saída 2 4 3 2 3" xfId="23066"/>
    <cellStyle name="Saída 2 4 3 2 3 2" xfId="52245"/>
    <cellStyle name="Saída 2 4 3 2 4" xfId="34946"/>
    <cellStyle name="Saída 2 4 3 3" xfId="9780"/>
    <cellStyle name="Saída 2 4 3 3 2" xfId="17608"/>
    <cellStyle name="Saída 2 4 3 3 2 2" xfId="29262"/>
    <cellStyle name="Saída 2 4 3 3 2 2 2" xfId="58441"/>
    <cellStyle name="Saída 2 4 3 3 2 3" xfId="46789"/>
    <cellStyle name="Saída 2 4 3 3 3" xfId="24834"/>
    <cellStyle name="Saída 2 4 3 3 3 2" xfId="54013"/>
    <cellStyle name="Saída 2 4 3 3 4" xfId="38963"/>
    <cellStyle name="Saída 2 4 3 4" xfId="12283"/>
    <cellStyle name="Saída 2 4 3 4 2" xfId="26054"/>
    <cellStyle name="Saída 2 4 3 4 2 2" xfId="55233"/>
    <cellStyle name="Saída 2 4 3 4 3" xfId="41464"/>
    <cellStyle name="Saída 2 4 3 5" xfId="21626"/>
    <cellStyle name="Saída 2 4 3 5 2" xfId="50805"/>
    <cellStyle name="Saída 2 4 3 6" xfId="31760"/>
    <cellStyle name="Saída 2 4 4" xfId="4323"/>
    <cellStyle name="Saída 2 4 4 2" xfId="13537"/>
    <cellStyle name="Saída 2 4 4 2 2" xfId="26774"/>
    <cellStyle name="Saída 2 4 4 2 2 2" xfId="55953"/>
    <cellStyle name="Saída 2 4 4 2 3" xfId="42718"/>
    <cellStyle name="Saída 2 4 4 3" xfId="22346"/>
    <cellStyle name="Saída 2 4 4 3 2" xfId="51525"/>
    <cellStyle name="Saída 2 4 4 4" xfId="33506"/>
    <cellStyle name="Saída 2 4 5" xfId="8618"/>
    <cellStyle name="Saída 2 4 5 2" xfId="16764"/>
    <cellStyle name="Saída 2 4 5 2 2" xfId="28793"/>
    <cellStyle name="Saída 2 4 5 2 2 2" xfId="57972"/>
    <cellStyle name="Saída 2 4 5 2 3" xfId="45945"/>
    <cellStyle name="Saída 2 4 5 3" xfId="24365"/>
    <cellStyle name="Saída 2 4 5 3 2" xfId="53544"/>
    <cellStyle name="Saída 2 4 5 4" xfId="37801"/>
    <cellStyle name="Saída 2 4 6" xfId="10965"/>
    <cellStyle name="Saída 2 4 6 2" xfId="25289"/>
    <cellStyle name="Saída 2 4 6 2 2" xfId="54468"/>
    <cellStyle name="Saída 2 4 6 3" xfId="40146"/>
    <cellStyle name="Saída 2 4 7" xfId="20861"/>
    <cellStyle name="Saída 2 4 7 2" xfId="50040"/>
    <cellStyle name="Saída 2 4 8" xfId="29915"/>
    <cellStyle name="Saída 2 5" xfId="564"/>
    <cellStyle name="Saída 2 5 2" xfId="1584"/>
    <cellStyle name="Saída 2 5 2 2" xfId="3384"/>
    <cellStyle name="Saída 2 5 2 2 2" xfId="6408"/>
    <cellStyle name="Saída 2 5 2 2 2 2" xfId="15163"/>
    <cellStyle name="Saída 2 5 2 2 2 2 2" xfId="27851"/>
    <cellStyle name="Saída 2 5 2 2 2 2 2 2" xfId="57030"/>
    <cellStyle name="Saída 2 5 2 2 2 2 3" xfId="44344"/>
    <cellStyle name="Saída 2 5 2 2 2 3" xfId="23423"/>
    <cellStyle name="Saída 2 5 2 2 2 3 2" xfId="52602"/>
    <cellStyle name="Saída 2 5 2 2 2 4" xfId="35591"/>
    <cellStyle name="Saída 2 5 2 2 3" xfId="9971"/>
    <cellStyle name="Saída 2 5 2 2 3 2" xfId="17744"/>
    <cellStyle name="Saída 2 5 2 2 3 2 2" xfId="29337"/>
    <cellStyle name="Saída 2 5 2 2 3 2 2 2" xfId="58516"/>
    <cellStyle name="Saída 2 5 2 2 3 2 3" xfId="46925"/>
    <cellStyle name="Saída 2 5 2 2 3 3" xfId="24909"/>
    <cellStyle name="Saída 2 5 2 2 3 3 2" xfId="54088"/>
    <cellStyle name="Saída 2 5 2 2 3 4" xfId="39154"/>
    <cellStyle name="Saída 2 5 2 2 4" xfId="12860"/>
    <cellStyle name="Saída 2 5 2 2 4 2" xfId="26411"/>
    <cellStyle name="Saída 2 5 2 2 4 2 2" xfId="55590"/>
    <cellStyle name="Saída 2 5 2 2 4 3" xfId="42041"/>
    <cellStyle name="Saída 2 5 2 2 5" xfId="21983"/>
    <cellStyle name="Saída 2 5 2 2 5 2" xfId="51162"/>
    <cellStyle name="Saída 2 5 2 2 6" xfId="32567"/>
    <cellStyle name="Saída 2 5 2 3" xfId="4968"/>
    <cellStyle name="Saída 2 5 2 3 2" xfId="14042"/>
    <cellStyle name="Saída 2 5 2 3 2 2" xfId="27131"/>
    <cellStyle name="Saída 2 5 2 3 2 2 2" xfId="56310"/>
    <cellStyle name="Saída 2 5 2 3 2 3" xfId="43223"/>
    <cellStyle name="Saída 2 5 2 3 3" xfId="22703"/>
    <cellStyle name="Saída 2 5 2 3 3 2" xfId="51882"/>
    <cellStyle name="Saída 2 5 2 3 4" xfId="34151"/>
    <cellStyle name="Saída 2 5 2 4" xfId="9517"/>
    <cellStyle name="Saída 2 5 2 4 2" xfId="17414"/>
    <cellStyle name="Saída 2 5 2 4 2 2" xfId="29161"/>
    <cellStyle name="Saída 2 5 2 4 2 2 2" xfId="58340"/>
    <cellStyle name="Saída 2 5 2 4 2 3" xfId="46595"/>
    <cellStyle name="Saída 2 5 2 4 3" xfId="24733"/>
    <cellStyle name="Saída 2 5 2 4 3 2" xfId="53912"/>
    <cellStyle name="Saída 2 5 2 4 4" xfId="38700"/>
    <cellStyle name="Saída 2 5 2 5" xfId="11589"/>
    <cellStyle name="Saída 2 5 2 5 2" xfId="25691"/>
    <cellStyle name="Saída 2 5 2 5 2 2" xfId="54870"/>
    <cellStyle name="Saída 2 5 2 5 3" xfId="40770"/>
    <cellStyle name="Saída 2 5 2 6" xfId="21263"/>
    <cellStyle name="Saída 2 5 2 6 2" xfId="50442"/>
    <cellStyle name="Saída 2 5 2 7" xfId="30767"/>
    <cellStyle name="Saída 2 5 3" xfId="2484"/>
    <cellStyle name="Saída 2 5 3 2" xfId="5688"/>
    <cellStyle name="Saída 2 5 3 2 2" xfId="14610"/>
    <cellStyle name="Saída 2 5 3 2 2 2" xfId="27491"/>
    <cellStyle name="Saída 2 5 3 2 2 2 2" xfId="56670"/>
    <cellStyle name="Saída 2 5 3 2 2 3" xfId="43791"/>
    <cellStyle name="Saída 2 5 3 2 3" xfId="23063"/>
    <cellStyle name="Saída 2 5 3 2 3 2" xfId="52242"/>
    <cellStyle name="Saída 2 5 3 2 4" xfId="34871"/>
    <cellStyle name="Saída 2 5 3 3" xfId="8082"/>
    <cellStyle name="Saída 2 5 3 3 2" xfId="16382"/>
    <cellStyle name="Saída 2 5 3 3 2 2" xfId="28591"/>
    <cellStyle name="Saída 2 5 3 3 2 2 2" xfId="57770"/>
    <cellStyle name="Saída 2 5 3 3 2 3" xfId="45563"/>
    <cellStyle name="Saída 2 5 3 3 3" xfId="24163"/>
    <cellStyle name="Saída 2 5 3 3 3 2" xfId="53342"/>
    <cellStyle name="Saída 2 5 3 3 4" xfId="37265"/>
    <cellStyle name="Saída 2 5 3 4" xfId="12226"/>
    <cellStyle name="Saída 2 5 3 4 2" xfId="26051"/>
    <cellStyle name="Saída 2 5 3 4 2 2" xfId="55230"/>
    <cellStyle name="Saída 2 5 3 4 3" xfId="41407"/>
    <cellStyle name="Saída 2 5 3 5" xfId="21623"/>
    <cellStyle name="Saída 2 5 3 5 2" xfId="50802"/>
    <cellStyle name="Saída 2 5 3 6" xfId="31667"/>
    <cellStyle name="Saída 2 5 4" xfId="4248"/>
    <cellStyle name="Saída 2 5 4 2" xfId="13491"/>
    <cellStyle name="Saída 2 5 4 2 2" xfId="26771"/>
    <cellStyle name="Saída 2 5 4 2 2 2" xfId="55950"/>
    <cellStyle name="Saída 2 5 4 2 3" xfId="42672"/>
    <cellStyle name="Saída 2 5 4 3" xfId="22343"/>
    <cellStyle name="Saída 2 5 4 3 2" xfId="51522"/>
    <cellStyle name="Saída 2 5 4 4" xfId="33431"/>
    <cellStyle name="Saída 2 5 5" xfId="10415"/>
    <cellStyle name="Saída 2 5 5 2" xfId="18050"/>
    <cellStyle name="Saída 2 5 5 2 2" xfId="29512"/>
    <cellStyle name="Saída 2 5 5 2 2 2" xfId="58691"/>
    <cellStyle name="Saída 2 5 5 2 3" xfId="47231"/>
    <cellStyle name="Saída 2 5 5 3" xfId="25084"/>
    <cellStyle name="Saída 2 5 5 3 2" xfId="54263"/>
    <cellStyle name="Saída 2 5 5 4" xfId="39598"/>
    <cellStyle name="Saída 2 5 6" xfId="10850"/>
    <cellStyle name="Saída 2 5 6 2" xfId="25233"/>
    <cellStyle name="Saída 2 5 6 2 2" xfId="54412"/>
    <cellStyle name="Saída 2 5 6 3" xfId="40031"/>
    <cellStyle name="Saída 2 5 7" xfId="20805"/>
    <cellStyle name="Saída 2 5 7 2" xfId="49984"/>
    <cellStyle name="Saída 2 5 8" xfId="29769"/>
    <cellStyle name="Saída 2 6" xfId="754"/>
    <cellStyle name="Saída 2 6 2" xfId="1695"/>
    <cellStyle name="Saída 2 6 2 2" xfId="3495"/>
    <cellStyle name="Saída 2 6 2 2 2" xfId="6492"/>
    <cellStyle name="Saída 2 6 2 2 2 2" xfId="15226"/>
    <cellStyle name="Saída 2 6 2 2 2 2 2" xfId="27863"/>
    <cellStyle name="Saída 2 6 2 2 2 2 2 2" xfId="57042"/>
    <cellStyle name="Saída 2 6 2 2 2 2 3" xfId="44407"/>
    <cellStyle name="Saída 2 6 2 2 2 3" xfId="23435"/>
    <cellStyle name="Saída 2 6 2 2 2 3 2" xfId="52614"/>
    <cellStyle name="Saída 2 6 2 2 2 4" xfId="35675"/>
    <cellStyle name="Saída 2 6 2 2 3" xfId="10303"/>
    <cellStyle name="Saída 2 6 2 2 3 2" xfId="17971"/>
    <cellStyle name="Saída 2 6 2 2 3 2 2" xfId="29471"/>
    <cellStyle name="Saída 2 6 2 2 3 2 2 2" xfId="58650"/>
    <cellStyle name="Saída 2 6 2 2 3 2 3" xfId="47152"/>
    <cellStyle name="Saída 2 6 2 2 3 3" xfId="25043"/>
    <cellStyle name="Saída 2 6 2 2 3 3 2" xfId="54222"/>
    <cellStyle name="Saída 2 6 2 2 3 4" xfId="39486"/>
    <cellStyle name="Saída 2 6 2 2 4" xfId="12932"/>
    <cellStyle name="Saída 2 6 2 2 4 2" xfId="26423"/>
    <cellStyle name="Saída 2 6 2 2 4 2 2" xfId="55602"/>
    <cellStyle name="Saída 2 6 2 2 4 3" xfId="42113"/>
    <cellStyle name="Saída 2 6 2 2 5" xfId="21995"/>
    <cellStyle name="Saída 2 6 2 2 5 2" xfId="51174"/>
    <cellStyle name="Saída 2 6 2 2 6" xfId="32678"/>
    <cellStyle name="Saída 2 6 2 3" xfId="5052"/>
    <cellStyle name="Saída 2 6 2 3 2" xfId="14102"/>
    <cellStyle name="Saída 2 6 2 3 2 2" xfId="27143"/>
    <cellStyle name="Saída 2 6 2 3 2 2 2" xfId="56322"/>
    <cellStyle name="Saída 2 6 2 3 2 3" xfId="43283"/>
    <cellStyle name="Saída 2 6 2 3 3" xfId="22715"/>
    <cellStyle name="Saída 2 6 2 3 3 2" xfId="51894"/>
    <cellStyle name="Saída 2 6 2 3 4" xfId="34235"/>
    <cellStyle name="Saída 2 6 2 4" xfId="9864"/>
    <cellStyle name="Saída 2 6 2 4 2" xfId="17666"/>
    <cellStyle name="Saída 2 6 2 4 2 2" xfId="29295"/>
    <cellStyle name="Saída 2 6 2 4 2 2 2" xfId="58474"/>
    <cellStyle name="Saída 2 6 2 4 2 3" xfId="46847"/>
    <cellStyle name="Saída 2 6 2 4 3" xfId="24867"/>
    <cellStyle name="Saída 2 6 2 4 3 2" xfId="54046"/>
    <cellStyle name="Saída 2 6 2 4 4" xfId="39047"/>
    <cellStyle name="Saída 2 6 2 5" xfId="11659"/>
    <cellStyle name="Saída 2 6 2 5 2" xfId="25703"/>
    <cellStyle name="Saída 2 6 2 5 2 2" xfId="54882"/>
    <cellStyle name="Saída 2 6 2 5 3" xfId="40840"/>
    <cellStyle name="Saída 2 6 2 6" xfId="21275"/>
    <cellStyle name="Saída 2 6 2 6 2" xfId="50454"/>
    <cellStyle name="Saída 2 6 2 7" xfId="30878"/>
    <cellStyle name="Saída 2 6 3" xfId="2595"/>
    <cellStyle name="Saída 2 6 3 2" xfId="5772"/>
    <cellStyle name="Saída 2 6 3 2 2" xfId="14667"/>
    <cellStyle name="Saída 2 6 3 2 2 2" xfId="27503"/>
    <cellStyle name="Saída 2 6 3 2 2 2 2" xfId="56682"/>
    <cellStyle name="Saída 2 6 3 2 2 3" xfId="43848"/>
    <cellStyle name="Saída 2 6 3 2 3" xfId="23075"/>
    <cellStyle name="Saída 2 6 3 2 3 2" xfId="52254"/>
    <cellStyle name="Saída 2 6 3 2 4" xfId="34955"/>
    <cellStyle name="Saída 2 6 3 3" xfId="9089"/>
    <cellStyle name="Saída 2 6 3 3 2" xfId="17113"/>
    <cellStyle name="Saída 2 6 3 3 2 2" xfId="28988"/>
    <cellStyle name="Saída 2 6 3 3 2 2 2" xfId="58167"/>
    <cellStyle name="Saída 2 6 3 3 2 3" xfId="46294"/>
    <cellStyle name="Saída 2 6 3 3 3" xfId="24560"/>
    <cellStyle name="Saída 2 6 3 3 3 2" xfId="53739"/>
    <cellStyle name="Saída 2 6 3 3 4" xfId="38272"/>
    <cellStyle name="Saída 2 6 3 4" xfId="12294"/>
    <cellStyle name="Saída 2 6 3 4 2" xfId="26063"/>
    <cellStyle name="Saída 2 6 3 4 2 2" xfId="55242"/>
    <cellStyle name="Saída 2 6 3 4 3" xfId="41475"/>
    <cellStyle name="Saída 2 6 3 5" xfId="21635"/>
    <cellStyle name="Saída 2 6 3 5 2" xfId="50814"/>
    <cellStyle name="Saída 2 6 3 6" xfId="31778"/>
    <cellStyle name="Saída 2 6 4" xfId="4332"/>
    <cellStyle name="Saída 2 6 4 2" xfId="13546"/>
    <cellStyle name="Saída 2 6 4 2 2" xfId="26783"/>
    <cellStyle name="Saída 2 6 4 2 2 2" xfId="55962"/>
    <cellStyle name="Saída 2 6 4 2 3" xfId="42727"/>
    <cellStyle name="Saída 2 6 4 3" xfId="22355"/>
    <cellStyle name="Saída 2 6 4 3 2" xfId="51534"/>
    <cellStyle name="Saída 2 6 4 4" xfId="33515"/>
    <cellStyle name="Saída 2 6 5" xfId="7352"/>
    <cellStyle name="Saída 2 6 5 2" xfId="15879"/>
    <cellStyle name="Saída 2 6 5 2 2" xfId="28306"/>
    <cellStyle name="Saída 2 6 5 2 2 2" xfId="57485"/>
    <cellStyle name="Saída 2 6 5 2 3" xfId="45060"/>
    <cellStyle name="Saída 2 6 5 3" xfId="23878"/>
    <cellStyle name="Saída 2 6 5 3 2" xfId="53057"/>
    <cellStyle name="Saída 2 6 5 4" xfId="36535"/>
    <cellStyle name="Saída 2 6 6" xfId="10996"/>
    <cellStyle name="Saída 2 6 6 2" xfId="25317"/>
    <cellStyle name="Saída 2 6 6 2 2" xfId="54496"/>
    <cellStyle name="Saída 2 6 6 3" xfId="40177"/>
    <cellStyle name="Saída 2 6 7" xfId="20889"/>
    <cellStyle name="Saída 2 6 7 2" xfId="50068"/>
    <cellStyle name="Saída 2 6 8" xfId="29952"/>
    <cellStyle name="Saída 2 7" xfId="946"/>
    <cellStyle name="Saída 2 7 2" xfId="1859"/>
    <cellStyle name="Saída 2 7 2 2" xfId="3659"/>
    <cellStyle name="Saída 2 7 2 2 2" xfId="6620"/>
    <cellStyle name="Saída 2 7 2 2 2 2" xfId="15332"/>
    <cellStyle name="Saída 2 7 2 2 2 2 2" xfId="27937"/>
    <cellStyle name="Saída 2 7 2 2 2 2 2 2" xfId="57116"/>
    <cellStyle name="Saída 2 7 2 2 2 2 3" xfId="44513"/>
    <cellStyle name="Saída 2 7 2 2 2 3" xfId="23509"/>
    <cellStyle name="Saída 2 7 2 2 2 3 2" xfId="52688"/>
    <cellStyle name="Saída 2 7 2 2 2 4" xfId="35803"/>
    <cellStyle name="Saída 2 7 2 2 3" xfId="10183"/>
    <cellStyle name="Saída 2 7 2 2 3 2" xfId="17889"/>
    <cellStyle name="Saída 2 7 2 2 3 2 2" xfId="29423"/>
    <cellStyle name="Saída 2 7 2 2 3 2 2 2" xfId="58602"/>
    <cellStyle name="Saída 2 7 2 2 3 2 3" xfId="47070"/>
    <cellStyle name="Saída 2 7 2 2 3 3" xfId="24995"/>
    <cellStyle name="Saída 2 7 2 2 3 3 2" xfId="54174"/>
    <cellStyle name="Saída 2 7 2 2 3 4" xfId="39366"/>
    <cellStyle name="Saída 2 7 2 2 4" xfId="13053"/>
    <cellStyle name="Saída 2 7 2 2 4 2" xfId="26497"/>
    <cellStyle name="Saída 2 7 2 2 4 2 2" xfId="55676"/>
    <cellStyle name="Saída 2 7 2 2 4 3" xfId="42234"/>
    <cellStyle name="Saída 2 7 2 2 5" xfId="22069"/>
    <cellStyle name="Saída 2 7 2 2 5 2" xfId="51248"/>
    <cellStyle name="Saída 2 7 2 2 6" xfId="32842"/>
    <cellStyle name="Saída 2 7 2 3" xfId="5180"/>
    <cellStyle name="Saída 2 7 2 3 2" xfId="14210"/>
    <cellStyle name="Saída 2 7 2 3 2 2" xfId="27217"/>
    <cellStyle name="Saída 2 7 2 3 2 2 2" xfId="56396"/>
    <cellStyle name="Saída 2 7 2 3 2 3" xfId="43391"/>
    <cellStyle name="Saída 2 7 2 3 3" xfId="22789"/>
    <cellStyle name="Saída 2 7 2 3 3 2" xfId="51968"/>
    <cellStyle name="Saída 2 7 2 3 4" xfId="34363"/>
    <cellStyle name="Saída 2 7 2 4" xfId="8942"/>
    <cellStyle name="Saída 2 7 2 4 2" xfId="17008"/>
    <cellStyle name="Saída 2 7 2 4 2 2" xfId="28927"/>
    <cellStyle name="Saída 2 7 2 4 2 2 2" xfId="58106"/>
    <cellStyle name="Saída 2 7 2 4 2 3" xfId="46189"/>
    <cellStyle name="Saída 2 7 2 4 3" xfId="24499"/>
    <cellStyle name="Saída 2 7 2 4 3 2" xfId="53678"/>
    <cellStyle name="Saída 2 7 2 4 4" xfId="38125"/>
    <cellStyle name="Saída 2 7 2 5" xfId="11778"/>
    <cellStyle name="Saída 2 7 2 5 2" xfId="25777"/>
    <cellStyle name="Saída 2 7 2 5 2 2" xfId="54956"/>
    <cellStyle name="Saída 2 7 2 5 3" xfId="40959"/>
    <cellStyle name="Saída 2 7 2 6" xfId="21349"/>
    <cellStyle name="Saída 2 7 2 6 2" xfId="50528"/>
    <cellStyle name="Saída 2 7 2 7" xfId="31042"/>
    <cellStyle name="Saída 2 7 3" xfId="2759"/>
    <cellStyle name="Saída 2 7 3 2" xfId="5900"/>
    <cellStyle name="Saída 2 7 3 2 2" xfId="14775"/>
    <cellStyle name="Saída 2 7 3 2 2 2" xfId="27577"/>
    <cellStyle name="Saída 2 7 3 2 2 2 2" xfId="56756"/>
    <cellStyle name="Saída 2 7 3 2 2 3" xfId="43956"/>
    <cellStyle name="Saída 2 7 3 2 3" xfId="23149"/>
    <cellStyle name="Saída 2 7 3 2 3 2" xfId="52328"/>
    <cellStyle name="Saída 2 7 3 2 4" xfId="35083"/>
    <cellStyle name="Saída 2 7 3 3" xfId="10469"/>
    <cellStyle name="Saída 2 7 3 3 2" xfId="18086"/>
    <cellStyle name="Saída 2 7 3 3 2 2" xfId="29531"/>
    <cellStyle name="Saída 2 7 3 3 2 2 2" xfId="58710"/>
    <cellStyle name="Saída 2 7 3 3 2 3" xfId="47267"/>
    <cellStyle name="Saída 2 7 3 3 3" xfId="25103"/>
    <cellStyle name="Saída 2 7 3 3 3 2" xfId="54282"/>
    <cellStyle name="Saída 2 7 3 3 4" xfId="39652"/>
    <cellStyle name="Saída 2 7 3 4" xfId="12418"/>
    <cellStyle name="Saída 2 7 3 4 2" xfId="26137"/>
    <cellStyle name="Saída 2 7 3 4 2 2" xfId="55316"/>
    <cellStyle name="Saída 2 7 3 4 3" xfId="41599"/>
    <cellStyle name="Saída 2 7 3 5" xfId="21709"/>
    <cellStyle name="Saída 2 7 3 5 2" xfId="50888"/>
    <cellStyle name="Saída 2 7 3 6" xfId="31942"/>
    <cellStyle name="Saída 2 7 4" xfId="4460"/>
    <cellStyle name="Saída 2 7 4 2" xfId="13653"/>
    <cellStyle name="Saída 2 7 4 2 2" xfId="26857"/>
    <cellStyle name="Saída 2 7 4 2 2 2" xfId="56036"/>
    <cellStyle name="Saída 2 7 4 2 3" xfId="42834"/>
    <cellStyle name="Saída 2 7 4 3" xfId="22429"/>
    <cellStyle name="Saída 2 7 4 3 2" xfId="51608"/>
    <cellStyle name="Saída 2 7 4 4" xfId="33643"/>
    <cellStyle name="Saída 2 7 5" xfId="9407"/>
    <cellStyle name="Saída 2 7 5 2" xfId="17340"/>
    <cellStyle name="Saída 2 7 5 2 2" xfId="29114"/>
    <cellStyle name="Saída 2 7 5 2 2 2" xfId="58293"/>
    <cellStyle name="Saída 2 7 5 2 3" xfId="46521"/>
    <cellStyle name="Saída 2 7 5 3" xfId="24686"/>
    <cellStyle name="Saída 2 7 5 3 2" xfId="53865"/>
    <cellStyle name="Saída 2 7 5 4" xfId="38590"/>
    <cellStyle name="Saída 2 7 6" xfId="11141"/>
    <cellStyle name="Saída 2 7 6 2" xfId="25412"/>
    <cellStyle name="Saída 2 7 6 2 2" xfId="54591"/>
    <cellStyle name="Saída 2 7 6 3" xfId="40322"/>
    <cellStyle name="Saída 2 7 7" xfId="20984"/>
    <cellStyle name="Saída 2 7 7 2" xfId="50163"/>
    <cellStyle name="Saída 2 7 8" xfId="30137"/>
    <cellStyle name="Saída 2 8" xfId="1427"/>
    <cellStyle name="Saída 2 8 2" xfId="3227"/>
    <cellStyle name="Saída 2 8 2 2" xfId="6278"/>
    <cellStyle name="Saída 2 8 2 2 2" xfId="15061"/>
    <cellStyle name="Saída 2 8 2 2 2 2" xfId="27775"/>
    <cellStyle name="Saída 2 8 2 2 2 2 2" xfId="56954"/>
    <cellStyle name="Saída 2 8 2 2 2 3" xfId="44242"/>
    <cellStyle name="Saída 2 8 2 2 3" xfId="23347"/>
    <cellStyle name="Saída 2 8 2 2 3 2" xfId="52526"/>
    <cellStyle name="Saída 2 8 2 2 4" xfId="35461"/>
    <cellStyle name="Saída 2 8 2 3" xfId="9082"/>
    <cellStyle name="Saída 2 8 2 3 2" xfId="17108"/>
    <cellStyle name="Saída 2 8 2 3 2 2" xfId="28985"/>
    <cellStyle name="Saída 2 8 2 3 2 2 2" xfId="58164"/>
    <cellStyle name="Saída 2 8 2 3 2 3" xfId="46289"/>
    <cellStyle name="Saída 2 8 2 3 3" xfId="24557"/>
    <cellStyle name="Saída 2 8 2 3 3 2" xfId="53736"/>
    <cellStyle name="Saída 2 8 2 3 4" xfId="38265"/>
    <cellStyle name="Saída 2 8 2 4" xfId="12746"/>
    <cellStyle name="Saída 2 8 2 4 2" xfId="26335"/>
    <cellStyle name="Saída 2 8 2 4 2 2" xfId="55514"/>
    <cellStyle name="Saída 2 8 2 4 3" xfId="41927"/>
    <cellStyle name="Saída 2 8 2 5" xfId="21907"/>
    <cellStyle name="Saída 2 8 2 5 2" xfId="51086"/>
    <cellStyle name="Saída 2 8 2 6" xfId="32410"/>
    <cellStyle name="Saída 2 8 3" xfId="4838"/>
    <cellStyle name="Saída 2 8 3 2" xfId="13937"/>
    <cellStyle name="Saída 2 8 3 2 2" xfId="27055"/>
    <cellStyle name="Saída 2 8 3 2 2 2" xfId="56234"/>
    <cellStyle name="Saída 2 8 3 2 3" xfId="43118"/>
    <cellStyle name="Saída 2 8 3 3" xfId="22627"/>
    <cellStyle name="Saída 2 8 3 3 2" xfId="51806"/>
    <cellStyle name="Saída 2 8 3 4" xfId="34021"/>
    <cellStyle name="Saída 2 8 4" xfId="10168"/>
    <cellStyle name="Saída 2 8 4 2" xfId="17878"/>
    <cellStyle name="Saída 2 8 4 2 2" xfId="29417"/>
    <cellStyle name="Saída 2 8 4 2 2 2" xfId="58596"/>
    <cellStyle name="Saída 2 8 4 2 3" xfId="47059"/>
    <cellStyle name="Saída 2 8 4 3" xfId="24989"/>
    <cellStyle name="Saída 2 8 4 3 2" xfId="54168"/>
    <cellStyle name="Saída 2 8 4 4" xfId="39351"/>
    <cellStyle name="Saída 2 8 5" xfId="11475"/>
    <cellStyle name="Saída 2 8 5 2" xfId="25615"/>
    <cellStyle name="Saída 2 8 5 2 2" xfId="54794"/>
    <cellStyle name="Saída 2 8 5 3" xfId="40656"/>
    <cellStyle name="Saída 2 8 6" xfId="21187"/>
    <cellStyle name="Saída 2 8 6 2" xfId="50366"/>
    <cellStyle name="Saída 2 8 7" xfId="30610"/>
    <cellStyle name="Saída 2 9" xfId="2327"/>
    <cellStyle name="Saída 2 9 2" xfId="5558"/>
    <cellStyle name="Saída 2 9 2 2" xfId="14503"/>
    <cellStyle name="Saída 2 9 2 2 2" xfId="27415"/>
    <cellStyle name="Saída 2 9 2 2 2 2" xfId="56594"/>
    <cellStyle name="Saída 2 9 2 2 3" xfId="43684"/>
    <cellStyle name="Saída 2 9 2 3" xfId="22987"/>
    <cellStyle name="Saída 2 9 2 3 2" xfId="52166"/>
    <cellStyle name="Saída 2 9 2 4" xfId="34741"/>
    <cellStyle name="Saída 2 9 3" xfId="7278"/>
    <cellStyle name="Saída 2 9 3 2" xfId="15823"/>
    <cellStyle name="Saída 2 9 3 2 2" xfId="28267"/>
    <cellStyle name="Saída 2 9 3 2 2 2" xfId="57446"/>
    <cellStyle name="Saída 2 9 3 2 3" xfId="45004"/>
    <cellStyle name="Saída 2 9 3 3" xfId="23839"/>
    <cellStyle name="Saída 2 9 3 3 2" xfId="53018"/>
    <cellStyle name="Saída 2 9 3 4" xfId="36461"/>
    <cellStyle name="Saída 2 9 4" xfId="12107"/>
    <cellStyle name="Saída 2 9 4 2" xfId="25975"/>
    <cellStyle name="Saída 2 9 4 2 2" xfId="55154"/>
    <cellStyle name="Saída 2 9 4 3" xfId="41288"/>
    <cellStyle name="Saída 2 9 5" xfId="21547"/>
    <cellStyle name="Saída 2 9 5 2" xfId="50726"/>
    <cellStyle name="Saída 2 9 6" xfId="31510"/>
    <cellStyle name="Saída 3" xfId="342"/>
    <cellStyle name="Saída 3 10" xfId="4119"/>
    <cellStyle name="Saída 3 10 2" xfId="13383"/>
    <cellStyle name="Saída 3 10 2 2" xfId="26696"/>
    <cellStyle name="Saída 3 10 2 2 2" xfId="55875"/>
    <cellStyle name="Saída 3 10 2 3" xfId="42564"/>
    <cellStyle name="Saída 3 10 3" xfId="22268"/>
    <cellStyle name="Saída 3 10 3 2" xfId="51447"/>
    <cellStyle name="Saída 3 10 4" xfId="33302"/>
    <cellStyle name="Saída 3 11" xfId="10730"/>
    <cellStyle name="Saída 3 11 2" xfId="25156"/>
    <cellStyle name="Saída 3 11 2 2" xfId="54335"/>
    <cellStyle name="Saída 3 11 3" xfId="39911"/>
    <cellStyle name="Saída 3 12" xfId="20728"/>
    <cellStyle name="Saída 3 12 2" xfId="49907"/>
    <cellStyle name="Saída 3 13" xfId="58748"/>
    <cellStyle name="Saída 3 14" xfId="29611"/>
    <cellStyle name="Saída 3 2" xfId="450"/>
    <cellStyle name="Saída 3 2 10" xfId="9451"/>
    <cellStyle name="Saída 3 2 10 2" xfId="17367"/>
    <cellStyle name="Saída 3 2 10 2 2" xfId="29130"/>
    <cellStyle name="Saída 3 2 10 2 2 2" xfId="58309"/>
    <cellStyle name="Saída 3 2 10 2 3" xfId="46548"/>
    <cellStyle name="Saída 3 2 10 3" xfId="24702"/>
    <cellStyle name="Saída 3 2 10 3 2" xfId="53881"/>
    <cellStyle name="Saída 3 2 10 4" xfId="38634"/>
    <cellStyle name="Saída 3 2 11" xfId="10764"/>
    <cellStyle name="Saída 3 2 11 2" xfId="25174"/>
    <cellStyle name="Saída 3 2 11 2 2" xfId="54353"/>
    <cellStyle name="Saída 3 2 11 3" xfId="39945"/>
    <cellStyle name="Saída 3 2 12" xfId="20746"/>
    <cellStyle name="Saída 3 2 12 2" xfId="49925"/>
    <cellStyle name="Saída 3 2 13" xfId="58793"/>
    <cellStyle name="Saída 3 2 14" xfId="29656"/>
    <cellStyle name="Saída 3 2 2" xfId="540"/>
    <cellStyle name="Saída 3 2 2 10" xfId="10827"/>
    <cellStyle name="Saída 3 2 2 10 2" xfId="25210"/>
    <cellStyle name="Saída 3 2 2 10 2 2" xfId="54389"/>
    <cellStyle name="Saída 3 2 2 10 3" xfId="40008"/>
    <cellStyle name="Saída 3 2 2 11" xfId="20782"/>
    <cellStyle name="Saída 3 2 2 11 2" xfId="49961"/>
    <cellStyle name="Saída 3 2 2 12" xfId="29746"/>
    <cellStyle name="Saída 3 2 2 2" xfId="893"/>
    <cellStyle name="Saída 3 2 2 2 2" xfId="1831"/>
    <cellStyle name="Saída 3 2 2 2 2 2" xfId="3631"/>
    <cellStyle name="Saída 3 2 2 2 2 2 2" xfId="6601"/>
    <cellStyle name="Saída 3 2 2 2 2 2 2 2" xfId="15313"/>
    <cellStyle name="Saída 3 2 2 2 2 2 2 2 2" xfId="27918"/>
    <cellStyle name="Saída 3 2 2 2 2 2 2 2 2 2" xfId="57097"/>
    <cellStyle name="Saída 3 2 2 2 2 2 2 2 3" xfId="44494"/>
    <cellStyle name="Saída 3 2 2 2 2 2 2 3" xfId="23490"/>
    <cellStyle name="Saída 3 2 2 2 2 2 2 3 2" xfId="52669"/>
    <cellStyle name="Saída 3 2 2 2 2 2 2 4" xfId="35784"/>
    <cellStyle name="Saída 3 2 2 2 2 2 3" xfId="10459"/>
    <cellStyle name="Saída 3 2 2 2 2 2 3 2" xfId="18077"/>
    <cellStyle name="Saída 3 2 2 2 2 2 3 2 2" xfId="29526"/>
    <cellStyle name="Saída 3 2 2 2 2 2 3 2 2 2" xfId="58705"/>
    <cellStyle name="Saída 3 2 2 2 2 2 3 2 3" xfId="47258"/>
    <cellStyle name="Saída 3 2 2 2 2 2 3 3" xfId="25098"/>
    <cellStyle name="Saída 3 2 2 2 2 2 3 3 2" xfId="54277"/>
    <cellStyle name="Saída 3 2 2 2 2 2 3 4" xfId="39642"/>
    <cellStyle name="Saída 3 2 2 2 2 2 4" xfId="13032"/>
    <cellStyle name="Saída 3 2 2 2 2 2 4 2" xfId="26478"/>
    <cellStyle name="Saída 3 2 2 2 2 2 4 2 2" xfId="55657"/>
    <cellStyle name="Saída 3 2 2 2 2 2 4 3" xfId="42213"/>
    <cellStyle name="Saída 3 2 2 2 2 2 5" xfId="22050"/>
    <cellStyle name="Saída 3 2 2 2 2 2 5 2" xfId="51229"/>
    <cellStyle name="Saída 3 2 2 2 2 2 6" xfId="32814"/>
    <cellStyle name="Saída 3 2 2 2 2 3" xfId="5161"/>
    <cellStyle name="Saída 3 2 2 2 2 3 2" xfId="14191"/>
    <cellStyle name="Saída 3 2 2 2 2 3 2 2" xfId="27198"/>
    <cellStyle name="Saída 3 2 2 2 2 3 2 2 2" xfId="56377"/>
    <cellStyle name="Saída 3 2 2 2 2 3 2 3" xfId="43372"/>
    <cellStyle name="Saída 3 2 2 2 2 3 3" xfId="22770"/>
    <cellStyle name="Saída 3 2 2 2 2 3 3 2" xfId="51949"/>
    <cellStyle name="Saída 3 2 2 2 2 3 4" xfId="34344"/>
    <cellStyle name="Saída 3 2 2 2 2 4" xfId="7796"/>
    <cellStyle name="Saída 3 2 2 2 2 4 2" xfId="16180"/>
    <cellStyle name="Saída 3 2 2 2 2 4 2 2" xfId="28476"/>
    <cellStyle name="Saída 3 2 2 2 2 4 2 2 2" xfId="57655"/>
    <cellStyle name="Saída 3 2 2 2 2 4 2 3" xfId="45361"/>
    <cellStyle name="Saída 3 2 2 2 2 4 3" xfId="24048"/>
    <cellStyle name="Saída 3 2 2 2 2 4 3 2" xfId="53227"/>
    <cellStyle name="Saída 3 2 2 2 2 4 4" xfId="36979"/>
    <cellStyle name="Saída 3 2 2 2 2 5" xfId="11756"/>
    <cellStyle name="Saída 3 2 2 2 2 5 2" xfId="25758"/>
    <cellStyle name="Saída 3 2 2 2 2 5 2 2" xfId="54937"/>
    <cellStyle name="Saída 3 2 2 2 2 5 3" xfId="40937"/>
    <cellStyle name="Saída 3 2 2 2 2 6" xfId="21330"/>
    <cellStyle name="Saída 3 2 2 2 2 6 2" xfId="50509"/>
    <cellStyle name="Saída 3 2 2 2 2 7" xfId="31014"/>
    <cellStyle name="Saída 3 2 2 2 3" xfId="2731"/>
    <cellStyle name="Saída 3 2 2 2 3 2" xfId="5881"/>
    <cellStyle name="Saída 3 2 2 2 3 2 2" xfId="14756"/>
    <cellStyle name="Saída 3 2 2 2 3 2 2 2" xfId="27558"/>
    <cellStyle name="Saída 3 2 2 2 3 2 2 2 2" xfId="56737"/>
    <cellStyle name="Saída 3 2 2 2 3 2 2 3" xfId="43937"/>
    <cellStyle name="Saída 3 2 2 2 3 2 3" xfId="23130"/>
    <cellStyle name="Saída 3 2 2 2 3 2 3 2" xfId="52309"/>
    <cellStyle name="Saída 3 2 2 2 3 2 4" xfId="35064"/>
    <cellStyle name="Saída 3 2 2 2 3 3" xfId="8596"/>
    <cellStyle name="Saída 3 2 2 2 3 3 2" xfId="16747"/>
    <cellStyle name="Saída 3 2 2 2 3 3 2 2" xfId="28783"/>
    <cellStyle name="Saída 3 2 2 2 3 3 2 2 2" xfId="57962"/>
    <cellStyle name="Saída 3 2 2 2 3 3 2 3" xfId="45928"/>
    <cellStyle name="Saída 3 2 2 2 3 3 3" xfId="24355"/>
    <cellStyle name="Saída 3 2 2 2 3 3 3 2" xfId="53534"/>
    <cellStyle name="Saída 3 2 2 2 3 3 4" xfId="37779"/>
    <cellStyle name="Saída 3 2 2 2 3 4" xfId="12397"/>
    <cellStyle name="Saída 3 2 2 2 3 4 2" xfId="26118"/>
    <cellStyle name="Saída 3 2 2 2 3 4 2 2" xfId="55297"/>
    <cellStyle name="Saída 3 2 2 2 3 4 3" xfId="41578"/>
    <cellStyle name="Saída 3 2 2 2 3 5" xfId="21690"/>
    <cellStyle name="Saída 3 2 2 2 3 5 2" xfId="50869"/>
    <cellStyle name="Saída 3 2 2 2 3 6" xfId="31914"/>
    <cellStyle name="Saída 3 2 2 2 4" xfId="4441"/>
    <cellStyle name="Saída 3 2 2 2 4 2" xfId="13634"/>
    <cellStyle name="Saída 3 2 2 2 4 2 2" xfId="26838"/>
    <cellStyle name="Saída 3 2 2 2 4 2 2 2" xfId="56017"/>
    <cellStyle name="Saída 3 2 2 2 4 2 3" xfId="42815"/>
    <cellStyle name="Saída 3 2 2 2 4 3" xfId="22410"/>
    <cellStyle name="Saída 3 2 2 2 4 3 2" xfId="51589"/>
    <cellStyle name="Saída 3 2 2 2 4 4" xfId="33624"/>
    <cellStyle name="Saída 3 2 2 2 5" xfId="9486"/>
    <cellStyle name="Saída 3 2 2 2 5 2" xfId="17392"/>
    <cellStyle name="Saída 3 2 2 2 5 2 2" xfId="29147"/>
    <cellStyle name="Saída 3 2 2 2 5 2 2 2" xfId="58326"/>
    <cellStyle name="Saída 3 2 2 2 5 2 3" xfId="46573"/>
    <cellStyle name="Saída 3 2 2 2 5 3" xfId="24719"/>
    <cellStyle name="Saída 3 2 2 2 5 3 2" xfId="53898"/>
    <cellStyle name="Saída 3 2 2 2 5 4" xfId="38669"/>
    <cellStyle name="Saída 3 2 2 2 6" xfId="11097"/>
    <cellStyle name="Saída 3 2 2 2 6 2" xfId="25374"/>
    <cellStyle name="Saída 3 2 2 2 6 2 2" xfId="54553"/>
    <cellStyle name="Saída 3 2 2 2 6 3" xfId="40278"/>
    <cellStyle name="Saída 3 2 2 2 7" xfId="20946"/>
    <cellStyle name="Saída 3 2 2 2 7 2" xfId="50125"/>
    <cellStyle name="Saída 3 2 2 2 8" xfId="30090"/>
    <cellStyle name="Saída 3 2 2 3" xfId="1085"/>
    <cellStyle name="Saída 3 2 2 3 2" xfId="1995"/>
    <cellStyle name="Saída 3 2 2 3 2 2" xfId="3795"/>
    <cellStyle name="Saída 3 2 2 3 2 2 2" xfId="6729"/>
    <cellStyle name="Saída 3 2 2 3 2 2 2 2" xfId="15415"/>
    <cellStyle name="Saída 3 2 2 3 2 2 2 2 2" xfId="27992"/>
    <cellStyle name="Saída 3 2 2 3 2 2 2 2 2 2" xfId="57171"/>
    <cellStyle name="Saída 3 2 2 3 2 2 2 2 3" xfId="44596"/>
    <cellStyle name="Saída 3 2 2 3 2 2 2 3" xfId="23564"/>
    <cellStyle name="Saída 3 2 2 3 2 2 2 3 2" xfId="52743"/>
    <cellStyle name="Saída 3 2 2 3 2 2 2 4" xfId="35912"/>
    <cellStyle name="Saída 3 2 2 3 2 2 3" xfId="10337"/>
    <cellStyle name="Saída 3 2 2 3 2 2 3 2" xfId="17994"/>
    <cellStyle name="Saída 3 2 2 3 2 2 3 2 2" xfId="29480"/>
    <cellStyle name="Saída 3 2 2 3 2 2 3 2 2 2" xfId="58659"/>
    <cellStyle name="Saída 3 2 2 3 2 2 3 2 3" xfId="47175"/>
    <cellStyle name="Saída 3 2 2 3 2 2 3 3" xfId="25052"/>
    <cellStyle name="Saída 3 2 2 3 2 2 3 3 2" xfId="54231"/>
    <cellStyle name="Saída 3 2 2 3 2 2 3 4" xfId="39520"/>
    <cellStyle name="Saída 3 2 2 3 2 2 4" xfId="13152"/>
    <cellStyle name="Saída 3 2 2 3 2 2 4 2" xfId="26552"/>
    <cellStyle name="Saída 3 2 2 3 2 2 4 2 2" xfId="55731"/>
    <cellStyle name="Saída 3 2 2 3 2 2 4 3" xfId="42333"/>
    <cellStyle name="Saída 3 2 2 3 2 2 5" xfId="22124"/>
    <cellStyle name="Saída 3 2 2 3 2 2 5 2" xfId="51303"/>
    <cellStyle name="Saída 3 2 2 3 2 2 6" xfId="32978"/>
    <cellStyle name="Saída 3 2 2 3 2 3" xfId="5289"/>
    <cellStyle name="Saída 3 2 2 3 2 3 2" xfId="14294"/>
    <cellStyle name="Saída 3 2 2 3 2 3 2 2" xfId="27272"/>
    <cellStyle name="Saída 3 2 2 3 2 3 2 2 2" xfId="56451"/>
    <cellStyle name="Saída 3 2 2 3 2 3 2 3" xfId="43475"/>
    <cellStyle name="Saída 3 2 2 3 2 3 3" xfId="22844"/>
    <cellStyle name="Saída 3 2 2 3 2 3 3 2" xfId="52023"/>
    <cellStyle name="Saída 3 2 2 3 2 3 4" xfId="34472"/>
    <cellStyle name="Saída 3 2 2 3 2 4" xfId="9018"/>
    <cellStyle name="Saída 3 2 2 3 2 4 2" xfId="17068"/>
    <cellStyle name="Saída 3 2 2 3 2 4 2 2" xfId="28962"/>
    <cellStyle name="Saída 3 2 2 3 2 4 2 2 2" xfId="58141"/>
    <cellStyle name="Saída 3 2 2 3 2 4 2 3" xfId="46249"/>
    <cellStyle name="Saída 3 2 2 3 2 4 3" xfId="24534"/>
    <cellStyle name="Saída 3 2 2 3 2 4 3 2" xfId="53713"/>
    <cellStyle name="Saída 3 2 2 3 2 4 4" xfId="38201"/>
    <cellStyle name="Saída 3 2 2 3 2 5" xfId="11876"/>
    <cellStyle name="Saída 3 2 2 3 2 5 2" xfId="25832"/>
    <cellStyle name="Saída 3 2 2 3 2 5 2 2" xfId="55011"/>
    <cellStyle name="Saída 3 2 2 3 2 5 3" xfId="41057"/>
    <cellStyle name="Saída 3 2 2 3 2 6" xfId="21404"/>
    <cellStyle name="Saída 3 2 2 3 2 6 2" xfId="50583"/>
    <cellStyle name="Saída 3 2 2 3 2 7" xfId="31178"/>
    <cellStyle name="Saída 3 2 2 3 3" xfId="2895"/>
    <cellStyle name="Saída 3 2 2 3 3 2" xfId="6009"/>
    <cellStyle name="Saída 3 2 2 3 3 2 2" xfId="14855"/>
    <cellStyle name="Saída 3 2 2 3 3 2 2 2" xfId="27632"/>
    <cellStyle name="Saída 3 2 2 3 3 2 2 2 2" xfId="56811"/>
    <cellStyle name="Saída 3 2 2 3 3 2 2 3" xfId="44036"/>
    <cellStyle name="Saída 3 2 2 3 3 2 3" xfId="23204"/>
    <cellStyle name="Saída 3 2 2 3 3 2 3 2" xfId="52383"/>
    <cellStyle name="Saída 3 2 2 3 3 2 4" xfId="35192"/>
    <cellStyle name="Saída 3 2 2 3 3 3" xfId="7237"/>
    <cellStyle name="Saída 3 2 2 3 3 3 2" xfId="15798"/>
    <cellStyle name="Saída 3 2 2 3 3 3 2 2" xfId="28256"/>
    <cellStyle name="Saída 3 2 2 3 3 3 2 2 2" xfId="57435"/>
    <cellStyle name="Saída 3 2 2 3 3 3 2 3" xfId="44979"/>
    <cellStyle name="Saída 3 2 2 3 3 3 3" xfId="23828"/>
    <cellStyle name="Saída 3 2 2 3 3 3 3 2" xfId="53007"/>
    <cellStyle name="Saída 3 2 2 3 3 3 4" xfId="36420"/>
    <cellStyle name="Saída 3 2 2 3 3 4" xfId="12512"/>
    <cellStyle name="Saída 3 2 2 3 3 4 2" xfId="26192"/>
    <cellStyle name="Saída 3 2 2 3 3 4 2 2" xfId="55371"/>
    <cellStyle name="Saída 3 2 2 3 3 4 3" xfId="41693"/>
    <cellStyle name="Saída 3 2 2 3 3 5" xfId="21764"/>
    <cellStyle name="Saída 3 2 2 3 3 5 2" xfId="50943"/>
    <cellStyle name="Saída 3 2 2 3 3 6" xfId="32078"/>
    <cellStyle name="Saída 3 2 2 3 4" xfId="4569"/>
    <cellStyle name="Saída 3 2 2 3 4 2" xfId="13735"/>
    <cellStyle name="Saída 3 2 2 3 4 2 2" xfId="26912"/>
    <cellStyle name="Saída 3 2 2 3 4 2 2 2" xfId="56091"/>
    <cellStyle name="Saída 3 2 2 3 4 2 3" xfId="42916"/>
    <cellStyle name="Saída 3 2 2 3 4 3" xfId="22484"/>
    <cellStyle name="Saída 3 2 2 3 4 3 2" xfId="51663"/>
    <cellStyle name="Saída 3 2 2 3 4 4" xfId="33752"/>
    <cellStyle name="Saída 3 2 2 3 5" xfId="10527"/>
    <cellStyle name="Saída 3 2 2 3 5 2" xfId="18127"/>
    <cellStyle name="Saída 3 2 2 3 5 2 2" xfId="29552"/>
    <cellStyle name="Saída 3 2 2 3 5 2 2 2" xfId="58731"/>
    <cellStyle name="Saída 3 2 2 3 5 2 3" xfId="47308"/>
    <cellStyle name="Saída 3 2 2 3 5 3" xfId="25124"/>
    <cellStyle name="Saída 3 2 2 3 5 3 2" xfId="54303"/>
    <cellStyle name="Saída 3 2 2 3 5 4" xfId="39710"/>
    <cellStyle name="Saída 3 2 2 3 6" xfId="11240"/>
    <cellStyle name="Saída 3 2 2 3 6 2" xfId="25469"/>
    <cellStyle name="Saída 3 2 2 3 6 2 2" xfId="54648"/>
    <cellStyle name="Saída 3 2 2 3 6 3" xfId="40421"/>
    <cellStyle name="Saída 3 2 2 3 7" xfId="21041"/>
    <cellStyle name="Saída 3 2 2 3 7 2" xfId="50220"/>
    <cellStyle name="Saída 3 2 2 3 8" xfId="30275"/>
    <cellStyle name="Saída 3 2 2 4" xfId="1235"/>
    <cellStyle name="Saída 3 2 2 4 2" xfId="2139"/>
    <cellStyle name="Saída 3 2 2 4 2 2" xfId="3939"/>
    <cellStyle name="Saída 3 2 2 4 2 2 2" xfId="6846"/>
    <cellStyle name="Saída 3 2 2 4 2 2 2 2" xfId="15505"/>
    <cellStyle name="Saída 3 2 2 4 2 2 2 2 2" xfId="28055"/>
    <cellStyle name="Saída 3 2 2 4 2 2 2 2 2 2" xfId="57234"/>
    <cellStyle name="Saída 3 2 2 4 2 2 2 2 3" xfId="44686"/>
    <cellStyle name="Saída 3 2 2 4 2 2 2 3" xfId="23627"/>
    <cellStyle name="Saída 3 2 2 4 2 2 2 3 2" xfId="52806"/>
    <cellStyle name="Saída 3 2 2 4 2 2 2 4" xfId="36029"/>
    <cellStyle name="Saída 3 2 2 4 2 2 3" xfId="7141"/>
    <cellStyle name="Saída 3 2 2 4 2 2 3 2" xfId="15731"/>
    <cellStyle name="Saída 3 2 2 4 2 2 3 2 2" xfId="28213"/>
    <cellStyle name="Saída 3 2 2 4 2 2 3 2 2 2" xfId="57392"/>
    <cellStyle name="Saída 3 2 2 4 2 2 3 2 3" xfId="44912"/>
    <cellStyle name="Saída 3 2 2 4 2 2 3 3" xfId="23785"/>
    <cellStyle name="Saída 3 2 2 4 2 2 3 3 2" xfId="52964"/>
    <cellStyle name="Saída 3 2 2 4 2 2 3 4" xfId="36324"/>
    <cellStyle name="Saída 3 2 2 4 2 2 4" xfId="13250"/>
    <cellStyle name="Saída 3 2 2 4 2 2 4 2" xfId="26615"/>
    <cellStyle name="Saída 3 2 2 4 2 2 4 2 2" xfId="55794"/>
    <cellStyle name="Saída 3 2 2 4 2 2 4 3" xfId="42431"/>
    <cellStyle name="Saída 3 2 2 4 2 2 5" xfId="22187"/>
    <cellStyle name="Saída 3 2 2 4 2 2 5 2" xfId="51366"/>
    <cellStyle name="Saída 3 2 2 4 2 2 6" xfId="33122"/>
    <cellStyle name="Saída 3 2 2 4 2 3" xfId="5406"/>
    <cellStyle name="Saída 3 2 2 4 2 3 2" xfId="14383"/>
    <cellStyle name="Saída 3 2 2 4 2 3 2 2" xfId="27335"/>
    <cellStyle name="Saída 3 2 2 4 2 3 2 2 2" xfId="56514"/>
    <cellStyle name="Saída 3 2 2 4 2 3 2 3" xfId="43564"/>
    <cellStyle name="Saída 3 2 2 4 2 3 3" xfId="22907"/>
    <cellStyle name="Saída 3 2 2 4 2 3 3 2" xfId="52086"/>
    <cellStyle name="Saída 3 2 2 4 2 3 4" xfId="34589"/>
    <cellStyle name="Saída 3 2 2 4 2 4" xfId="8204"/>
    <cellStyle name="Saída 3 2 2 4 2 4 2" xfId="16471"/>
    <cellStyle name="Saída 3 2 2 4 2 4 2 2" xfId="28635"/>
    <cellStyle name="Saída 3 2 2 4 2 4 2 2 2" xfId="57814"/>
    <cellStyle name="Saída 3 2 2 4 2 4 2 3" xfId="45652"/>
    <cellStyle name="Saída 3 2 2 4 2 4 3" xfId="24207"/>
    <cellStyle name="Saída 3 2 2 4 2 4 3 2" xfId="53386"/>
    <cellStyle name="Saída 3 2 2 4 2 4 4" xfId="37387"/>
    <cellStyle name="Saída 3 2 2 4 2 5" xfId="11975"/>
    <cellStyle name="Saída 3 2 2 4 2 5 2" xfId="25895"/>
    <cellStyle name="Saída 3 2 2 4 2 5 2 2" xfId="55074"/>
    <cellStyle name="Saída 3 2 2 4 2 5 3" xfId="41156"/>
    <cellStyle name="Saída 3 2 2 4 2 6" xfId="21467"/>
    <cellStyle name="Saída 3 2 2 4 2 6 2" xfId="50646"/>
    <cellStyle name="Saída 3 2 2 4 2 7" xfId="31322"/>
    <cellStyle name="Saída 3 2 2 4 3" xfId="3039"/>
    <cellStyle name="Saída 3 2 2 4 3 2" xfId="6126"/>
    <cellStyle name="Saída 3 2 2 4 3 2 2" xfId="14944"/>
    <cellStyle name="Saída 3 2 2 4 3 2 2 2" xfId="27695"/>
    <cellStyle name="Saída 3 2 2 4 3 2 2 2 2" xfId="56874"/>
    <cellStyle name="Saída 3 2 2 4 3 2 2 3" xfId="44125"/>
    <cellStyle name="Saída 3 2 2 4 3 2 3" xfId="23267"/>
    <cellStyle name="Saída 3 2 2 4 3 2 3 2" xfId="52446"/>
    <cellStyle name="Saída 3 2 2 4 3 2 4" xfId="35309"/>
    <cellStyle name="Saída 3 2 2 4 3 3" xfId="8969"/>
    <cellStyle name="Saída 3 2 2 4 3 3 2" xfId="17028"/>
    <cellStyle name="Saída 3 2 2 4 3 3 2 2" xfId="28937"/>
    <cellStyle name="Saída 3 2 2 4 3 3 2 2 2" xfId="58116"/>
    <cellStyle name="Saída 3 2 2 4 3 3 2 3" xfId="46209"/>
    <cellStyle name="Saída 3 2 2 4 3 3 3" xfId="24509"/>
    <cellStyle name="Saída 3 2 2 4 3 3 3 2" xfId="53688"/>
    <cellStyle name="Saída 3 2 2 4 3 3 4" xfId="38152"/>
    <cellStyle name="Saída 3 2 2 4 3 4" xfId="12611"/>
    <cellStyle name="Saída 3 2 2 4 3 4 2" xfId="26255"/>
    <cellStyle name="Saída 3 2 2 4 3 4 2 2" xfId="55434"/>
    <cellStyle name="Saída 3 2 2 4 3 4 3" xfId="41792"/>
    <cellStyle name="Saída 3 2 2 4 3 5" xfId="21827"/>
    <cellStyle name="Saída 3 2 2 4 3 5 2" xfId="51006"/>
    <cellStyle name="Saída 3 2 2 4 3 6" xfId="32222"/>
    <cellStyle name="Saída 3 2 2 4 4" xfId="4686"/>
    <cellStyle name="Saída 3 2 2 4 4 2" xfId="13824"/>
    <cellStyle name="Saída 3 2 2 4 4 2 2" xfId="26975"/>
    <cellStyle name="Saída 3 2 2 4 4 2 2 2" xfId="56154"/>
    <cellStyle name="Saída 3 2 2 4 4 2 3" xfId="43005"/>
    <cellStyle name="Saída 3 2 2 4 4 3" xfId="22547"/>
    <cellStyle name="Saída 3 2 2 4 4 3 2" xfId="51726"/>
    <cellStyle name="Saída 3 2 2 4 4 4" xfId="33869"/>
    <cellStyle name="Saída 3 2 2 4 5" xfId="8675"/>
    <cellStyle name="Saída 3 2 2 4 5 2" xfId="16806"/>
    <cellStyle name="Saída 3 2 2 4 5 2 2" xfId="28818"/>
    <cellStyle name="Saída 3 2 2 4 5 2 2 2" xfId="57997"/>
    <cellStyle name="Saída 3 2 2 4 5 2 3" xfId="45987"/>
    <cellStyle name="Saída 3 2 2 4 5 3" xfId="24390"/>
    <cellStyle name="Saída 3 2 2 4 5 3 2" xfId="53569"/>
    <cellStyle name="Saída 3 2 2 4 5 4" xfId="37858"/>
    <cellStyle name="Saída 3 2 2 4 6" xfId="11345"/>
    <cellStyle name="Saída 3 2 2 4 6 2" xfId="25535"/>
    <cellStyle name="Saída 3 2 2 4 6 2 2" xfId="54714"/>
    <cellStyle name="Saída 3 2 2 4 6 3" xfId="40526"/>
    <cellStyle name="Saída 3 2 2 4 7" xfId="21107"/>
    <cellStyle name="Saída 3 2 2 4 7 2" xfId="50286"/>
    <cellStyle name="Saída 3 2 2 4 8" xfId="30422"/>
    <cellStyle name="Saída 3 2 2 5" xfId="1381"/>
    <cellStyle name="Saída 3 2 2 5 2" xfId="2283"/>
    <cellStyle name="Saída 3 2 2 5 2 2" xfId="4083"/>
    <cellStyle name="Saída 3 2 2 5 2 2 2" xfId="6963"/>
    <cellStyle name="Saída 3 2 2 5 2 2 2 2" xfId="15595"/>
    <cellStyle name="Saída 3 2 2 5 2 2 2 2 2" xfId="28118"/>
    <cellStyle name="Saída 3 2 2 5 2 2 2 2 2 2" xfId="57297"/>
    <cellStyle name="Saída 3 2 2 5 2 2 2 2 3" xfId="44776"/>
    <cellStyle name="Saída 3 2 2 5 2 2 2 3" xfId="23690"/>
    <cellStyle name="Saída 3 2 2 5 2 2 2 3 2" xfId="52869"/>
    <cellStyle name="Saída 3 2 2 5 2 2 2 4" xfId="36146"/>
    <cellStyle name="Saída 3 2 2 5 2 2 3" xfId="6997"/>
    <cellStyle name="Saída 3 2 2 5 2 2 3 2" xfId="15627"/>
    <cellStyle name="Saída 3 2 2 5 2 2 3 2 2" xfId="28150"/>
    <cellStyle name="Saída 3 2 2 5 2 2 3 2 2 2" xfId="57329"/>
    <cellStyle name="Saída 3 2 2 5 2 2 3 2 3" xfId="44808"/>
    <cellStyle name="Saída 3 2 2 5 2 2 3 3" xfId="23722"/>
    <cellStyle name="Saída 3 2 2 5 2 2 3 3 2" xfId="52901"/>
    <cellStyle name="Saída 3 2 2 5 2 2 3 4" xfId="36180"/>
    <cellStyle name="Saída 3 2 2 5 2 2 4" xfId="13355"/>
    <cellStyle name="Saída 3 2 2 5 2 2 4 2" xfId="26678"/>
    <cellStyle name="Saída 3 2 2 5 2 2 4 2 2" xfId="55857"/>
    <cellStyle name="Saída 3 2 2 5 2 2 4 3" xfId="42536"/>
    <cellStyle name="Saída 3 2 2 5 2 2 5" xfId="22250"/>
    <cellStyle name="Saída 3 2 2 5 2 2 5 2" xfId="51429"/>
    <cellStyle name="Saída 3 2 2 5 2 2 6" xfId="33266"/>
    <cellStyle name="Saída 3 2 2 5 2 3" xfId="5523"/>
    <cellStyle name="Saída 3 2 2 5 2 3 2" xfId="14476"/>
    <cellStyle name="Saída 3 2 2 5 2 3 2 2" xfId="27398"/>
    <cellStyle name="Saída 3 2 2 5 2 3 2 2 2" xfId="56577"/>
    <cellStyle name="Saída 3 2 2 5 2 3 2 3" xfId="43657"/>
    <cellStyle name="Saída 3 2 2 5 2 3 3" xfId="22970"/>
    <cellStyle name="Saída 3 2 2 5 2 3 3 2" xfId="52149"/>
    <cellStyle name="Saída 3 2 2 5 2 3 4" xfId="34706"/>
    <cellStyle name="Saída 3 2 2 5 2 4" xfId="7621"/>
    <cellStyle name="Saída 3 2 2 5 2 4 2" xfId="16062"/>
    <cellStyle name="Saída 3 2 2 5 2 4 2 2" xfId="28409"/>
    <cellStyle name="Saída 3 2 2 5 2 4 2 2 2" xfId="57588"/>
    <cellStyle name="Saída 3 2 2 5 2 4 2 3" xfId="45243"/>
    <cellStyle name="Saída 3 2 2 5 2 4 3" xfId="23981"/>
    <cellStyle name="Saída 3 2 2 5 2 4 3 2" xfId="53160"/>
    <cellStyle name="Saída 3 2 2 5 2 4 4" xfId="36804"/>
    <cellStyle name="Saída 3 2 2 5 2 5" xfId="12076"/>
    <cellStyle name="Saída 3 2 2 5 2 5 2" xfId="25958"/>
    <cellStyle name="Saída 3 2 2 5 2 5 2 2" xfId="55137"/>
    <cellStyle name="Saída 3 2 2 5 2 5 3" xfId="41257"/>
    <cellStyle name="Saída 3 2 2 5 2 6" xfId="21530"/>
    <cellStyle name="Saída 3 2 2 5 2 6 2" xfId="50709"/>
    <cellStyle name="Saída 3 2 2 5 2 7" xfId="31466"/>
    <cellStyle name="Saída 3 2 2 5 3" xfId="3183"/>
    <cellStyle name="Saída 3 2 2 5 3 2" xfId="6243"/>
    <cellStyle name="Saída 3 2 2 5 3 2 2" xfId="15036"/>
    <cellStyle name="Saída 3 2 2 5 3 2 2 2" xfId="27758"/>
    <cellStyle name="Saída 3 2 2 5 3 2 2 2 2" xfId="56937"/>
    <cellStyle name="Saída 3 2 2 5 3 2 2 3" xfId="44217"/>
    <cellStyle name="Saída 3 2 2 5 3 2 3" xfId="23330"/>
    <cellStyle name="Saída 3 2 2 5 3 2 3 2" xfId="52509"/>
    <cellStyle name="Saída 3 2 2 5 3 2 4" xfId="35426"/>
    <cellStyle name="Saída 3 2 2 5 3 3" xfId="7186"/>
    <cellStyle name="Saída 3 2 2 5 3 3 2" xfId="15762"/>
    <cellStyle name="Saída 3 2 2 5 3 3 2 2" xfId="28234"/>
    <cellStyle name="Saída 3 2 2 5 3 3 2 2 2" xfId="57413"/>
    <cellStyle name="Saída 3 2 2 5 3 3 2 3" xfId="44943"/>
    <cellStyle name="Saída 3 2 2 5 3 3 3" xfId="23806"/>
    <cellStyle name="Saída 3 2 2 5 3 3 3 2" xfId="52985"/>
    <cellStyle name="Saída 3 2 2 5 3 3 4" xfId="36369"/>
    <cellStyle name="Saída 3 2 2 5 3 4" xfId="12717"/>
    <cellStyle name="Saída 3 2 2 5 3 4 2" xfId="26318"/>
    <cellStyle name="Saída 3 2 2 5 3 4 2 2" xfId="55497"/>
    <cellStyle name="Saída 3 2 2 5 3 4 3" xfId="41898"/>
    <cellStyle name="Saída 3 2 2 5 3 5" xfId="21890"/>
    <cellStyle name="Saída 3 2 2 5 3 5 2" xfId="51069"/>
    <cellStyle name="Saída 3 2 2 5 3 6" xfId="32366"/>
    <cellStyle name="Saída 3 2 2 5 4" xfId="4803"/>
    <cellStyle name="Saída 3 2 2 5 4 2" xfId="13912"/>
    <cellStyle name="Saída 3 2 2 5 4 2 2" xfId="27038"/>
    <cellStyle name="Saída 3 2 2 5 4 2 2 2" xfId="56217"/>
    <cellStyle name="Saída 3 2 2 5 4 2 3" xfId="43093"/>
    <cellStyle name="Saída 3 2 2 5 4 3" xfId="22610"/>
    <cellStyle name="Saída 3 2 2 5 4 3 2" xfId="51789"/>
    <cellStyle name="Saída 3 2 2 5 4 4" xfId="33986"/>
    <cellStyle name="Saída 3 2 2 5 5" xfId="7436"/>
    <cellStyle name="Saída 3 2 2 5 5 2" xfId="15935"/>
    <cellStyle name="Saída 3 2 2 5 5 2 2" xfId="28340"/>
    <cellStyle name="Saída 3 2 2 5 5 2 2 2" xfId="57519"/>
    <cellStyle name="Saída 3 2 2 5 5 2 3" xfId="45116"/>
    <cellStyle name="Saída 3 2 2 5 5 3" xfId="23912"/>
    <cellStyle name="Saída 3 2 2 5 5 3 2" xfId="53091"/>
    <cellStyle name="Saída 3 2 2 5 5 4" xfId="36619"/>
    <cellStyle name="Saída 3 2 2 5 6" xfId="11445"/>
    <cellStyle name="Saída 3 2 2 5 6 2" xfId="25598"/>
    <cellStyle name="Saída 3 2 2 5 6 2 2" xfId="54777"/>
    <cellStyle name="Saída 3 2 2 5 6 3" xfId="40626"/>
    <cellStyle name="Saída 3 2 2 5 7" xfId="21170"/>
    <cellStyle name="Saída 3 2 2 5 7 2" xfId="50349"/>
    <cellStyle name="Saída 3 2 2 5 8" xfId="30566"/>
    <cellStyle name="Saída 3 2 2 6" xfId="1563"/>
    <cellStyle name="Saída 3 2 2 6 2" xfId="3363"/>
    <cellStyle name="Saída 3 2 2 6 2 2" xfId="6387"/>
    <cellStyle name="Saída 3 2 2 6 2 2 2" xfId="15142"/>
    <cellStyle name="Saída 3 2 2 6 2 2 2 2" xfId="27830"/>
    <cellStyle name="Saída 3 2 2 6 2 2 2 2 2" xfId="57009"/>
    <cellStyle name="Saída 3 2 2 6 2 2 2 3" xfId="44323"/>
    <cellStyle name="Saída 3 2 2 6 2 2 3" xfId="23402"/>
    <cellStyle name="Saída 3 2 2 6 2 2 3 2" xfId="52581"/>
    <cellStyle name="Saída 3 2 2 6 2 2 4" xfId="35570"/>
    <cellStyle name="Saída 3 2 2 6 2 3" xfId="8589"/>
    <cellStyle name="Saída 3 2 2 6 2 3 2" xfId="16742"/>
    <cellStyle name="Saída 3 2 2 6 2 3 2 2" xfId="28779"/>
    <cellStyle name="Saída 3 2 2 6 2 3 2 2 2" xfId="57958"/>
    <cellStyle name="Saída 3 2 2 6 2 3 2 3" xfId="45923"/>
    <cellStyle name="Saída 3 2 2 6 2 3 3" xfId="24351"/>
    <cellStyle name="Saída 3 2 2 6 2 3 3 2" xfId="53530"/>
    <cellStyle name="Saída 3 2 2 6 2 3 4" xfId="37772"/>
    <cellStyle name="Saída 3 2 2 6 2 4" xfId="12839"/>
    <cellStyle name="Saída 3 2 2 6 2 4 2" xfId="26390"/>
    <cellStyle name="Saída 3 2 2 6 2 4 2 2" xfId="55569"/>
    <cellStyle name="Saída 3 2 2 6 2 4 3" xfId="42020"/>
    <cellStyle name="Saída 3 2 2 6 2 5" xfId="21962"/>
    <cellStyle name="Saída 3 2 2 6 2 5 2" xfId="51141"/>
    <cellStyle name="Saída 3 2 2 6 2 6" xfId="32546"/>
    <cellStyle name="Saída 3 2 2 6 3" xfId="4947"/>
    <cellStyle name="Saída 3 2 2 6 3 2" xfId="14021"/>
    <cellStyle name="Saída 3 2 2 6 3 2 2" xfId="27110"/>
    <cellStyle name="Saída 3 2 2 6 3 2 2 2" xfId="56289"/>
    <cellStyle name="Saída 3 2 2 6 3 2 3" xfId="43202"/>
    <cellStyle name="Saída 3 2 2 6 3 3" xfId="22682"/>
    <cellStyle name="Saída 3 2 2 6 3 3 2" xfId="51861"/>
    <cellStyle name="Saída 3 2 2 6 3 4" xfId="34130"/>
    <cellStyle name="Saída 3 2 2 6 4" xfId="8788"/>
    <cellStyle name="Saída 3 2 2 6 4 2" xfId="16891"/>
    <cellStyle name="Saída 3 2 2 6 4 2 2" xfId="28863"/>
    <cellStyle name="Saída 3 2 2 6 4 2 2 2" xfId="58042"/>
    <cellStyle name="Saída 3 2 2 6 4 2 3" xfId="46072"/>
    <cellStyle name="Saída 3 2 2 6 4 3" xfId="24435"/>
    <cellStyle name="Saída 3 2 2 6 4 3 2" xfId="53614"/>
    <cellStyle name="Saída 3 2 2 6 4 4" xfId="37971"/>
    <cellStyle name="Saída 3 2 2 6 5" xfId="11568"/>
    <cellStyle name="Saída 3 2 2 6 5 2" xfId="25670"/>
    <cellStyle name="Saída 3 2 2 6 5 2 2" xfId="54849"/>
    <cellStyle name="Saída 3 2 2 6 5 3" xfId="40749"/>
    <cellStyle name="Saída 3 2 2 6 6" xfId="21242"/>
    <cellStyle name="Saída 3 2 2 6 6 2" xfId="50421"/>
    <cellStyle name="Saída 3 2 2 6 7" xfId="30746"/>
    <cellStyle name="Saída 3 2 2 7" xfId="2463"/>
    <cellStyle name="Saída 3 2 2 7 2" xfId="5667"/>
    <cellStyle name="Saída 3 2 2 7 2 2" xfId="14589"/>
    <cellStyle name="Saída 3 2 2 7 2 2 2" xfId="27470"/>
    <cellStyle name="Saída 3 2 2 7 2 2 2 2" xfId="56649"/>
    <cellStyle name="Saída 3 2 2 7 2 2 3" xfId="43770"/>
    <cellStyle name="Saída 3 2 2 7 2 3" xfId="23042"/>
    <cellStyle name="Saída 3 2 2 7 2 3 2" xfId="52221"/>
    <cellStyle name="Saída 3 2 2 7 2 4" xfId="34850"/>
    <cellStyle name="Saída 3 2 2 7 3" xfId="10315"/>
    <cellStyle name="Saída 3 2 2 7 3 2" xfId="17980"/>
    <cellStyle name="Saída 3 2 2 7 3 2 2" xfId="29474"/>
    <cellStyle name="Saída 3 2 2 7 3 2 2 2" xfId="58653"/>
    <cellStyle name="Saída 3 2 2 7 3 2 3" xfId="47161"/>
    <cellStyle name="Saída 3 2 2 7 3 3" xfId="25046"/>
    <cellStyle name="Saída 3 2 2 7 3 3 2" xfId="54225"/>
    <cellStyle name="Saída 3 2 2 7 3 4" xfId="39498"/>
    <cellStyle name="Saída 3 2 2 7 4" xfId="12205"/>
    <cellStyle name="Saída 3 2 2 7 4 2" xfId="26030"/>
    <cellStyle name="Saída 3 2 2 7 4 2 2" xfId="55209"/>
    <cellStyle name="Saída 3 2 2 7 4 3" xfId="41386"/>
    <cellStyle name="Saída 3 2 2 7 5" xfId="21602"/>
    <cellStyle name="Saída 3 2 2 7 5 2" xfId="50781"/>
    <cellStyle name="Saída 3 2 2 7 6" xfId="31646"/>
    <cellStyle name="Saída 3 2 2 8" xfId="4227"/>
    <cellStyle name="Saída 3 2 2 8 2" xfId="13470"/>
    <cellStyle name="Saída 3 2 2 8 2 2" xfId="26750"/>
    <cellStyle name="Saída 3 2 2 8 2 2 2" xfId="55929"/>
    <cellStyle name="Saída 3 2 2 8 2 3" xfId="42651"/>
    <cellStyle name="Saída 3 2 2 8 3" xfId="22322"/>
    <cellStyle name="Saída 3 2 2 8 3 2" xfId="51501"/>
    <cellStyle name="Saída 3 2 2 8 4" xfId="33410"/>
    <cellStyle name="Saída 3 2 2 9" xfId="8378"/>
    <cellStyle name="Saída 3 2 2 9 2" xfId="16597"/>
    <cellStyle name="Saída 3 2 2 9 2 2" xfId="28703"/>
    <cellStyle name="Saída 3 2 2 9 2 2 2" xfId="57882"/>
    <cellStyle name="Saída 3 2 2 9 2 3" xfId="45778"/>
    <cellStyle name="Saída 3 2 2 9 3" xfId="24275"/>
    <cellStyle name="Saída 3 2 2 9 3 2" xfId="53454"/>
    <cellStyle name="Saída 3 2 2 9 4" xfId="37561"/>
    <cellStyle name="Saída 3 2 3" xfId="803"/>
    <cellStyle name="Saída 3 2 3 2" xfId="1741"/>
    <cellStyle name="Saída 3 2 3 2 2" xfId="3541"/>
    <cellStyle name="Saída 3 2 3 2 2 2" xfId="6529"/>
    <cellStyle name="Saída 3 2 3 2 2 2 2" xfId="15258"/>
    <cellStyle name="Saída 3 2 3 2 2 2 2 2" xfId="27882"/>
    <cellStyle name="Saída 3 2 3 2 2 2 2 2 2" xfId="57061"/>
    <cellStyle name="Saída 3 2 3 2 2 2 2 3" xfId="44439"/>
    <cellStyle name="Saída 3 2 3 2 2 2 3" xfId="23454"/>
    <cellStyle name="Saída 3 2 3 2 2 2 3 2" xfId="52633"/>
    <cellStyle name="Saída 3 2 3 2 2 2 4" xfId="35712"/>
    <cellStyle name="Saída 3 2 3 2 2 3" xfId="8426"/>
    <cellStyle name="Saída 3 2 3 2 2 3 2" xfId="16630"/>
    <cellStyle name="Saída 3 2 3 2 2 3 2 2" xfId="28720"/>
    <cellStyle name="Saída 3 2 3 2 2 3 2 2 2" xfId="57899"/>
    <cellStyle name="Saída 3 2 3 2 2 3 2 3" xfId="45811"/>
    <cellStyle name="Saída 3 2 3 2 2 3 3" xfId="24292"/>
    <cellStyle name="Saída 3 2 3 2 2 3 3 2" xfId="53471"/>
    <cellStyle name="Saída 3 2 3 2 2 3 4" xfId="37609"/>
    <cellStyle name="Saída 3 2 3 2 2 4" xfId="12969"/>
    <cellStyle name="Saída 3 2 3 2 2 4 2" xfId="26442"/>
    <cellStyle name="Saída 3 2 3 2 2 4 2 2" xfId="55621"/>
    <cellStyle name="Saída 3 2 3 2 2 4 3" xfId="42150"/>
    <cellStyle name="Saída 3 2 3 2 2 5" xfId="22014"/>
    <cellStyle name="Saída 3 2 3 2 2 5 2" xfId="51193"/>
    <cellStyle name="Saída 3 2 3 2 2 6" xfId="32724"/>
    <cellStyle name="Saída 3 2 3 2 3" xfId="5089"/>
    <cellStyle name="Saída 3 2 3 2 3 2" xfId="14134"/>
    <cellStyle name="Saída 3 2 3 2 3 2 2" xfId="27162"/>
    <cellStyle name="Saída 3 2 3 2 3 2 2 2" xfId="56341"/>
    <cellStyle name="Saída 3 2 3 2 3 2 3" xfId="43315"/>
    <cellStyle name="Saída 3 2 3 2 3 3" xfId="22734"/>
    <cellStyle name="Saída 3 2 3 2 3 3 2" xfId="51913"/>
    <cellStyle name="Saída 3 2 3 2 3 4" xfId="34272"/>
    <cellStyle name="Saída 3 2 3 2 4" xfId="10399"/>
    <cellStyle name="Saída 3 2 3 2 4 2" xfId="18037"/>
    <cellStyle name="Saída 3 2 3 2 4 2 2" xfId="29505"/>
    <cellStyle name="Saída 3 2 3 2 4 2 2 2" xfId="58684"/>
    <cellStyle name="Saída 3 2 3 2 4 2 3" xfId="47218"/>
    <cellStyle name="Saída 3 2 3 2 4 3" xfId="25077"/>
    <cellStyle name="Saída 3 2 3 2 4 3 2" xfId="54256"/>
    <cellStyle name="Saída 3 2 3 2 4 4" xfId="39582"/>
    <cellStyle name="Saída 3 2 3 2 5" xfId="11695"/>
    <cellStyle name="Saída 3 2 3 2 5 2" xfId="25722"/>
    <cellStyle name="Saída 3 2 3 2 5 2 2" xfId="54901"/>
    <cellStyle name="Saída 3 2 3 2 5 3" xfId="40876"/>
    <cellStyle name="Saída 3 2 3 2 6" xfId="21294"/>
    <cellStyle name="Saída 3 2 3 2 6 2" xfId="50473"/>
    <cellStyle name="Saída 3 2 3 2 7" xfId="30924"/>
    <cellStyle name="Saída 3 2 3 3" xfId="2641"/>
    <cellStyle name="Saída 3 2 3 3 2" xfId="5809"/>
    <cellStyle name="Saída 3 2 3 3 2 2" xfId="14699"/>
    <cellStyle name="Saída 3 2 3 3 2 2 2" xfId="27522"/>
    <cellStyle name="Saída 3 2 3 3 2 2 2 2" xfId="56701"/>
    <cellStyle name="Saída 3 2 3 3 2 2 3" xfId="43880"/>
    <cellStyle name="Saída 3 2 3 3 2 3" xfId="23094"/>
    <cellStyle name="Saída 3 2 3 3 2 3 2" xfId="52273"/>
    <cellStyle name="Saída 3 2 3 3 2 4" xfId="34992"/>
    <cellStyle name="Saída 3 2 3 3 3" xfId="9622"/>
    <cellStyle name="Saída 3 2 3 3 3 2" xfId="17483"/>
    <cellStyle name="Saída 3 2 3 3 3 2 2" xfId="29198"/>
    <cellStyle name="Saída 3 2 3 3 3 2 2 2" xfId="58377"/>
    <cellStyle name="Saída 3 2 3 3 3 2 3" xfId="46664"/>
    <cellStyle name="Saída 3 2 3 3 3 3" xfId="24770"/>
    <cellStyle name="Saída 3 2 3 3 3 3 2" xfId="53949"/>
    <cellStyle name="Saída 3 2 3 3 3 4" xfId="38805"/>
    <cellStyle name="Saída 3 2 3 3 4" xfId="12331"/>
    <cellStyle name="Saída 3 2 3 3 4 2" xfId="26082"/>
    <cellStyle name="Saída 3 2 3 3 4 2 2" xfId="55261"/>
    <cellStyle name="Saída 3 2 3 3 4 3" xfId="41512"/>
    <cellStyle name="Saída 3 2 3 3 5" xfId="21654"/>
    <cellStyle name="Saída 3 2 3 3 5 2" xfId="50833"/>
    <cellStyle name="Saída 3 2 3 3 6" xfId="31824"/>
    <cellStyle name="Saída 3 2 3 4" xfId="4369"/>
    <cellStyle name="Saída 3 2 3 4 2" xfId="13575"/>
    <cellStyle name="Saída 3 2 3 4 2 2" xfId="26802"/>
    <cellStyle name="Saída 3 2 3 4 2 2 2" xfId="55981"/>
    <cellStyle name="Saída 3 2 3 4 2 3" xfId="42756"/>
    <cellStyle name="Saída 3 2 3 4 3" xfId="22374"/>
    <cellStyle name="Saída 3 2 3 4 3 2" xfId="51553"/>
    <cellStyle name="Saída 3 2 3 4 4" xfId="33552"/>
    <cellStyle name="Saída 3 2 3 5" xfId="9875"/>
    <cellStyle name="Saída 3 2 3 5 2" xfId="17674"/>
    <cellStyle name="Saída 3 2 3 5 2 2" xfId="29300"/>
    <cellStyle name="Saída 3 2 3 5 2 2 2" xfId="58479"/>
    <cellStyle name="Saída 3 2 3 5 2 3" xfId="46855"/>
    <cellStyle name="Saída 3 2 3 5 3" xfId="24872"/>
    <cellStyle name="Saída 3 2 3 5 3 2" xfId="54051"/>
    <cellStyle name="Saída 3 2 3 5 4" xfId="39058"/>
    <cellStyle name="Saída 3 2 3 6" xfId="11034"/>
    <cellStyle name="Saída 3 2 3 6 2" xfId="25338"/>
    <cellStyle name="Saída 3 2 3 6 2 2" xfId="54517"/>
    <cellStyle name="Saída 3 2 3 6 3" xfId="40215"/>
    <cellStyle name="Saída 3 2 3 7" xfId="20910"/>
    <cellStyle name="Saída 3 2 3 7 2" xfId="50089"/>
    <cellStyle name="Saída 3 2 3 8" xfId="30000"/>
    <cellStyle name="Saída 3 2 4" xfId="995"/>
    <cellStyle name="Saída 3 2 4 2" xfId="1905"/>
    <cellStyle name="Saída 3 2 4 2 2" xfId="3705"/>
    <cellStyle name="Saída 3 2 4 2 2 2" xfId="6657"/>
    <cellStyle name="Saída 3 2 4 2 2 2 2" xfId="15358"/>
    <cellStyle name="Saída 3 2 4 2 2 2 2 2" xfId="27956"/>
    <cellStyle name="Saída 3 2 4 2 2 2 2 2 2" xfId="57135"/>
    <cellStyle name="Saída 3 2 4 2 2 2 2 3" xfId="44539"/>
    <cellStyle name="Saída 3 2 4 2 2 2 3" xfId="23528"/>
    <cellStyle name="Saída 3 2 4 2 2 2 3 2" xfId="52707"/>
    <cellStyle name="Saída 3 2 4 2 2 2 4" xfId="35840"/>
    <cellStyle name="Saída 3 2 4 2 2 3" xfId="8431"/>
    <cellStyle name="Saída 3 2 4 2 2 3 2" xfId="16634"/>
    <cellStyle name="Saída 3 2 4 2 2 3 2 2" xfId="28721"/>
    <cellStyle name="Saída 3 2 4 2 2 3 2 2 2" xfId="57900"/>
    <cellStyle name="Saída 3 2 4 2 2 3 2 3" xfId="45815"/>
    <cellStyle name="Saída 3 2 4 2 2 3 3" xfId="24293"/>
    <cellStyle name="Saída 3 2 4 2 2 3 3 2" xfId="53472"/>
    <cellStyle name="Saída 3 2 4 2 2 3 4" xfId="37614"/>
    <cellStyle name="Saída 3 2 4 2 2 4" xfId="13089"/>
    <cellStyle name="Saída 3 2 4 2 2 4 2" xfId="26516"/>
    <cellStyle name="Saída 3 2 4 2 2 4 2 2" xfId="55695"/>
    <cellStyle name="Saída 3 2 4 2 2 4 3" xfId="42270"/>
    <cellStyle name="Saída 3 2 4 2 2 5" xfId="22088"/>
    <cellStyle name="Saída 3 2 4 2 2 5 2" xfId="51267"/>
    <cellStyle name="Saída 3 2 4 2 2 6" xfId="32888"/>
    <cellStyle name="Saída 3 2 4 2 3" xfId="5217"/>
    <cellStyle name="Saída 3 2 4 2 3 2" xfId="14236"/>
    <cellStyle name="Saída 3 2 4 2 3 2 2" xfId="27236"/>
    <cellStyle name="Saída 3 2 4 2 3 2 2 2" xfId="56415"/>
    <cellStyle name="Saída 3 2 4 2 3 2 3" xfId="43417"/>
    <cellStyle name="Saída 3 2 4 2 3 3" xfId="22808"/>
    <cellStyle name="Saída 3 2 4 2 3 3 2" xfId="51987"/>
    <cellStyle name="Saída 3 2 4 2 3 4" xfId="34400"/>
    <cellStyle name="Saída 3 2 4 2 4" xfId="10280"/>
    <cellStyle name="Saída 3 2 4 2 4 2" xfId="17956"/>
    <cellStyle name="Saída 3 2 4 2 4 2 2" xfId="29462"/>
    <cellStyle name="Saída 3 2 4 2 4 2 2 2" xfId="58641"/>
    <cellStyle name="Saída 3 2 4 2 4 2 3" xfId="47137"/>
    <cellStyle name="Saída 3 2 4 2 4 3" xfId="25034"/>
    <cellStyle name="Saída 3 2 4 2 4 3 2" xfId="54213"/>
    <cellStyle name="Saída 3 2 4 2 4 4" xfId="39463"/>
    <cellStyle name="Saída 3 2 4 2 5" xfId="11813"/>
    <cellStyle name="Saída 3 2 4 2 5 2" xfId="25796"/>
    <cellStyle name="Saída 3 2 4 2 5 2 2" xfId="54975"/>
    <cellStyle name="Saída 3 2 4 2 5 3" xfId="40994"/>
    <cellStyle name="Saída 3 2 4 2 6" xfId="21368"/>
    <cellStyle name="Saída 3 2 4 2 6 2" xfId="50547"/>
    <cellStyle name="Saída 3 2 4 2 7" xfId="31088"/>
    <cellStyle name="Saída 3 2 4 3" xfId="2805"/>
    <cellStyle name="Saída 3 2 4 3 2" xfId="5937"/>
    <cellStyle name="Saída 3 2 4 3 2 2" xfId="14800"/>
    <cellStyle name="Saída 3 2 4 3 2 2 2" xfId="27596"/>
    <cellStyle name="Saída 3 2 4 3 2 2 2 2" xfId="56775"/>
    <cellStyle name="Saída 3 2 4 3 2 2 3" xfId="43981"/>
    <cellStyle name="Saída 3 2 4 3 2 3" xfId="23168"/>
    <cellStyle name="Saída 3 2 4 3 2 3 2" xfId="52347"/>
    <cellStyle name="Saída 3 2 4 3 2 4" xfId="35120"/>
    <cellStyle name="Saída 3 2 4 3 3" xfId="9504"/>
    <cellStyle name="Saída 3 2 4 3 3 2" xfId="17405"/>
    <cellStyle name="Saída 3 2 4 3 3 2 2" xfId="29154"/>
    <cellStyle name="Saída 3 2 4 3 3 2 2 2" xfId="58333"/>
    <cellStyle name="Saída 3 2 4 3 3 2 3" xfId="46586"/>
    <cellStyle name="Saída 3 2 4 3 3 3" xfId="24726"/>
    <cellStyle name="Saída 3 2 4 3 3 3 2" xfId="53905"/>
    <cellStyle name="Saída 3 2 4 3 3 4" xfId="38687"/>
    <cellStyle name="Saída 3 2 4 3 4" xfId="12450"/>
    <cellStyle name="Saída 3 2 4 3 4 2" xfId="26156"/>
    <cellStyle name="Saída 3 2 4 3 4 2 2" xfId="55335"/>
    <cellStyle name="Saída 3 2 4 3 4 3" xfId="41631"/>
    <cellStyle name="Saída 3 2 4 3 5" xfId="21728"/>
    <cellStyle name="Saída 3 2 4 3 5 2" xfId="50907"/>
    <cellStyle name="Saída 3 2 4 3 6" xfId="31988"/>
    <cellStyle name="Saída 3 2 4 4" xfId="4497"/>
    <cellStyle name="Saída 3 2 4 4 2" xfId="13679"/>
    <cellStyle name="Saída 3 2 4 4 2 2" xfId="26876"/>
    <cellStyle name="Saída 3 2 4 4 2 2 2" xfId="56055"/>
    <cellStyle name="Saída 3 2 4 4 2 3" xfId="42860"/>
    <cellStyle name="Saída 3 2 4 4 3" xfId="22448"/>
    <cellStyle name="Saída 3 2 4 4 3 2" xfId="51627"/>
    <cellStyle name="Saída 3 2 4 4 4" xfId="33680"/>
    <cellStyle name="Saída 3 2 4 5" xfId="8678"/>
    <cellStyle name="Saída 3 2 4 5 2" xfId="16809"/>
    <cellStyle name="Saída 3 2 4 5 2 2" xfId="28820"/>
    <cellStyle name="Saída 3 2 4 5 2 2 2" xfId="57999"/>
    <cellStyle name="Saída 3 2 4 5 2 3" xfId="45990"/>
    <cellStyle name="Saída 3 2 4 5 3" xfId="24392"/>
    <cellStyle name="Saída 3 2 4 5 3 2" xfId="53571"/>
    <cellStyle name="Saída 3 2 4 5 4" xfId="37861"/>
    <cellStyle name="Saída 3 2 4 6" xfId="11176"/>
    <cellStyle name="Saída 3 2 4 6 2" xfId="25433"/>
    <cellStyle name="Saída 3 2 4 6 2 2" xfId="54612"/>
    <cellStyle name="Saída 3 2 4 6 3" xfId="40357"/>
    <cellStyle name="Saída 3 2 4 7" xfId="21005"/>
    <cellStyle name="Saída 3 2 4 7 2" xfId="50184"/>
    <cellStyle name="Saída 3 2 4 8" xfId="30185"/>
    <cellStyle name="Saída 3 2 5" xfId="1145"/>
    <cellStyle name="Saída 3 2 5 2" xfId="2049"/>
    <cellStyle name="Saída 3 2 5 2 2" xfId="3849"/>
    <cellStyle name="Saída 3 2 5 2 2 2" xfId="6774"/>
    <cellStyle name="Saída 3 2 5 2 2 2 2" xfId="15450"/>
    <cellStyle name="Saída 3 2 5 2 2 2 2 2" xfId="28019"/>
    <cellStyle name="Saída 3 2 5 2 2 2 2 2 2" xfId="57198"/>
    <cellStyle name="Saída 3 2 5 2 2 2 2 3" xfId="44631"/>
    <cellStyle name="Saída 3 2 5 2 2 2 3" xfId="23591"/>
    <cellStyle name="Saída 3 2 5 2 2 2 3 2" xfId="52770"/>
    <cellStyle name="Saída 3 2 5 2 2 2 4" xfId="35957"/>
    <cellStyle name="Saída 3 2 5 2 2 3" xfId="9765"/>
    <cellStyle name="Saída 3 2 5 2 2 3 2" xfId="17595"/>
    <cellStyle name="Saída 3 2 5 2 2 3 2 2" xfId="29256"/>
    <cellStyle name="Saída 3 2 5 2 2 3 2 2 2" xfId="58435"/>
    <cellStyle name="Saída 3 2 5 2 2 3 2 3" xfId="46776"/>
    <cellStyle name="Saída 3 2 5 2 2 3 3" xfId="24828"/>
    <cellStyle name="Saída 3 2 5 2 2 3 3 2" xfId="54007"/>
    <cellStyle name="Saída 3 2 5 2 2 3 4" xfId="38948"/>
    <cellStyle name="Saída 3 2 5 2 2 4" xfId="13189"/>
    <cellStyle name="Saída 3 2 5 2 2 4 2" xfId="26579"/>
    <cellStyle name="Saída 3 2 5 2 2 4 2 2" xfId="55758"/>
    <cellStyle name="Saída 3 2 5 2 2 4 3" xfId="42370"/>
    <cellStyle name="Saída 3 2 5 2 2 5" xfId="22151"/>
    <cellStyle name="Saída 3 2 5 2 2 5 2" xfId="51330"/>
    <cellStyle name="Saída 3 2 5 2 2 6" xfId="33032"/>
    <cellStyle name="Saída 3 2 5 2 3" xfId="5334"/>
    <cellStyle name="Saída 3 2 5 2 3 2" xfId="14329"/>
    <cellStyle name="Saída 3 2 5 2 3 2 2" xfId="27299"/>
    <cellStyle name="Saída 3 2 5 2 3 2 2 2" xfId="56478"/>
    <cellStyle name="Saída 3 2 5 2 3 2 3" xfId="43510"/>
    <cellStyle name="Saída 3 2 5 2 3 3" xfId="22871"/>
    <cellStyle name="Saída 3 2 5 2 3 3 2" xfId="52050"/>
    <cellStyle name="Saída 3 2 5 2 3 4" xfId="34517"/>
    <cellStyle name="Saída 3 2 5 2 4" xfId="9296"/>
    <cellStyle name="Saída 3 2 5 2 4 2" xfId="17260"/>
    <cellStyle name="Saída 3 2 5 2 4 2 2" xfId="29066"/>
    <cellStyle name="Saída 3 2 5 2 4 2 2 2" xfId="58245"/>
    <cellStyle name="Saída 3 2 5 2 4 2 3" xfId="46441"/>
    <cellStyle name="Saída 3 2 5 2 4 3" xfId="24638"/>
    <cellStyle name="Saída 3 2 5 2 4 3 2" xfId="53817"/>
    <cellStyle name="Saída 3 2 5 2 4 4" xfId="38479"/>
    <cellStyle name="Saída 3 2 5 2 5" xfId="11914"/>
    <cellStyle name="Saída 3 2 5 2 5 2" xfId="25859"/>
    <cellStyle name="Saída 3 2 5 2 5 2 2" xfId="55038"/>
    <cellStyle name="Saída 3 2 5 2 5 3" xfId="41095"/>
    <cellStyle name="Saída 3 2 5 2 6" xfId="21431"/>
    <cellStyle name="Saída 3 2 5 2 6 2" xfId="50610"/>
    <cellStyle name="Saída 3 2 5 2 7" xfId="31232"/>
    <cellStyle name="Saída 3 2 5 3" xfId="2949"/>
    <cellStyle name="Saída 3 2 5 3 2" xfId="6054"/>
    <cellStyle name="Saída 3 2 5 3 2 2" xfId="14891"/>
    <cellStyle name="Saída 3 2 5 3 2 2 2" xfId="27659"/>
    <cellStyle name="Saída 3 2 5 3 2 2 2 2" xfId="56838"/>
    <cellStyle name="Saída 3 2 5 3 2 2 3" xfId="44072"/>
    <cellStyle name="Saída 3 2 5 3 2 3" xfId="23231"/>
    <cellStyle name="Saída 3 2 5 3 2 3 2" xfId="52410"/>
    <cellStyle name="Saída 3 2 5 3 2 4" xfId="35237"/>
    <cellStyle name="Saída 3 2 5 3 3" xfId="7874"/>
    <cellStyle name="Saída 3 2 5 3 3 2" xfId="16231"/>
    <cellStyle name="Saída 3 2 5 3 3 2 2" xfId="28506"/>
    <cellStyle name="Saída 3 2 5 3 3 2 2 2" xfId="57685"/>
    <cellStyle name="Saída 3 2 5 3 3 2 3" xfId="45412"/>
    <cellStyle name="Saída 3 2 5 3 3 3" xfId="24078"/>
    <cellStyle name="Saída 3 2 5 3 3 3 2" xfId="53257"/>
    <cellStyle name="Saída 3 2 5 3 3 4" xfId="37057"/>
    <cellStyle name="Saída 3 2 5 3 4" xfId="12553"/>
    <cellStyle name="Saída 3 2 5 3 4 2" xfId="26219"/>
    <cellStyle name="Saída 3 2 5 3 4 2 2" xfId="55398"/>
    <cellStyle name="Saída 3 2 5 3 4 3" xfId="41734"/>
    <cellStyle name="Saída 3 2 5 3 5" xfId="21791"/>
    <cellStyle name="Saída 3 2 5 3 5 2" xfId="50970"/>
    <cellStyle name="Saída 3 2 5 3 6" xfId="32132"/>
    <cellStyle name="Saída 3 2 5 4" xfId="4614"/>
    <cellStyle name="Saída 3 2 5 4 2" xfId="13772"/>
    <cellStyle name="Saída 3 2 5 4 2 2" xfId="26939"/>
    <cellStyle name="Saída 3 2 5 4 2 2 2" xfId="56118"/>
    <cellStyle name="Saída 3 2 5 4 2 3" xfId="42953"/>
    <cellStyle name="Saída 3 2 5 4 3" xfId="22511"/>
    <cellStyle name="Saída 3 2 5 4 3 2" xfId="51690"/>
    <cellStyle name="Saída 3 2 5 4 4" xfId="33797"/>
    <cellStyle name="Saída 3 2 5 5" xfId="9680"/>
    <cellStyle name="Saída 3 2 5 5 2" xfId="17529"/>
    <cellStyle name="Saída 3 2 5 5 2 2" xfId="29222"/>
    <cellStyle name="Saída 3 2 5 5 2 2 2" xfId="58401"/>
    <cellStyle name="Saída 3 2 5 5 2 3" xfId="46710"/>
    <cellStyle name="Saída 3 2 5 5 3" xfId="24794"/>
    <cellStyle name="Saída 3 2 5 5 3 2" xfId="53973"/>
    <cellStyle name="Saída 3 2 5 5 4" xfId="38863"/>
    <cellStyle name="Saída 3 2 5 6" xfId="11282"/>
    <cellStyle name="Saída 3 2 5 6 2" xfId="25499"/>
    <cellStyle name="Saída 3 2 5 6 2 2" xfId="54678"/>
    <cellStyle name="Saída 3 2 5 6 3" xfId="40463"/>
    <cellStyle name="Saída 3 2 5 7" xfId="21071"/>
    <cellStyle name="Saída 3 2 5 7 2" xfId="50250"/>
    <cellStyle name="Saída 3 2 5 8" xfId="30332"/>
    <cellStyle name="Saída 3 2 6" xfId="1291"/>
    <cellStyle name="Saída 3 2 6 2" xfId="2193"/>
    <cellStyle name="Saída 3 2 6 2 2" xfId="3993"/>
    <cellStyle name="Saída 3 2 6 2 2 2" xfId="6891"/>
    <cellStyle name="Saída 3 2 6 2 2 2 2" xfId="15545"/>
    <cellStyle name="Saída 3 2 6 2 2 2 2 2" xfId="28082"/>
    <cellStyle name="Saída 3 2 6 2 2 2 2 2 2" xfId="57261"/>
    <cellStyle name="Saída 3 2 6 2 2 2 2 3" xfId="44726"/>
    <cellStyle name="Saída 3 2 6 2 2 2 3" xfId="23654"/>
    <cellStyle name="Saída 3 2 6 2 2 2 3 2" xfId="52833"/>
    <cellStyle name="Saída 3 2 6 2 2 2 4" xfId="36074"/>
    <cellStyle name="Saída 3 2 6 2 2 3" xfId="7087"/>
    <cellStyle name="Saída 3 2 6 2 2 3 2" xfId="15687"/>
    <cellStyle name="Saída 3 2 6 2 2 3 2 2" xfId="28186"/>
    <cellStyle name="Saída 3 2 6 2 2 3 2 2 2" xfId="57365"/>
    <cellStyle name="Saída 3 2 6 2 2 3 2 3" xfId="44868"/>
    <cellStyle name="Saída 3 2 6 2 2 3 3" xfId="23758"/>
    <cellStyle name="Saída 3 2 6 2 2 3 3 2" xfId="52937"/>
    <cellStyle name="Saída 3 2 6 2 2 3 4" xfId="36270"/>
    <cellStyle name="Saída 3 2 6 2 2 4" xfId="13294"/>
    <cellStyle name="Saída 3 2 6 2 2 4 2" xfId="26642"/>
    <cellStyle name="Saída 3 2 6 2 2 4 2 2" xfId="55821"/>
    <cellStyle name="Saída 3 2 6 2 2 4 3" xfId="42475"/>
    <cellStyle name="Saída 3 2 6 2 2 5" xfId="22214"/>
    <cellStyle name="Saída 3 2 6 2 2 5 2" xfId="51393"/>
    <cellStyle name="Saída 3 2 6 2 2 6" xfId="33176"/>
    <cellStyle name="Saída 3 2 6 2 3" xfId="5451"/>
    <cellStyle name="Saída 3 2 6 2 3 2" xfId="14425"/>
    <cellStyle name="Saída 3 2 6 2 3 2 2" xfId="27362"/>
    <cellStyle name="Saída 3 2 6 2 3 2 2 2" xfId="56541"/>
    <cellStyle name="Saída 3 2 6 2 3 2 3" xfId="43606"/>
    <cellStyle name="Saída 3 2 6 2 3 3" xfId="22934"/>
    <cellStyle name="Saída 3 2 6 2 3 3 2" xfId="52113"/>
    <cellStyle name="Saída 3 2 6 2 3 4" xfId="34634"/>
    <cellStyle name="Saída 3 2 6 2 4" xfId="7426"/>
    <cellStyle name="Saída 3 2 6 2 4 2" xfId="15928"/>
    <cellStyle name="Saída 3 2 6 2 4 2 2" xfId="28336"/>
    <cellStyle name="Saída 3 2 6 2 4 2 2 2" xfId="57515"/>
    <cellStyle name="Saída 3 2 6 2 4 2 3" xfId="45109"/>
    <cellStyle name="Saída 3 2 6 2 4 3" xfId="23908"/>
    <cellStyle name="Saída 3 2 6 2 4 3 2" xfId="53087"/>
    <cellStyle name="Saída 3 2 6 2 4 4" xfId="36609"/>
    <cellStyle name="Saída 3 2 6 2 5" xfId="12018"/>
    <cellStyle name="Saída 3 2 6 2 5 2" xfId="25922"/>
    <cellStyle name="Saída 3 2 6 2 5 2 2" xfId="55101"/>
    <cellStyle name="Saída 3 2 6 2 5 3" xfId="41199"/>
    <cellStyle name="Saída 3 2 6 2 6" xfId="21494"/>
    <cellStyle name="Saída 3 2 6 2 6 2" xfId="50673"/>
    <cellStyle name="Saída 3 2 6 2 7" xfId="31376"/>
    <cellStyle name="Saída 3 2 6 3" xfId="3093"/>
    <cellStyle name="Saída 3 2 6 3 2" xfId="6171"/>
    <cellStyle name="Saída 3 2 6 3 2 2" xfId="14986"/>
    <cellStyle name="Saída 3 2 6 3 2 2 2" xfId="27722"/>
    <cellStyle name="Saída 3 2 6 3 2 2 2 2" xfId="56901"/>
    <cellStyle name="Saída 3 2 6 3 2 2 3" xfId="44167"/>
    <cellStyle name="Saída 3 2 6 3 2 3" xfId="23294"/>
    <cellStyle name="Saída 3 2 6 3 2 3 2" xfId="52473"/>
    <cellStyle name="Saída 3 2 6 3 2 4" xfId="35354"/>
    <cellStyle name="Saída 3 2 6 3 3" xfId="7744"/>
    <cellStyle name="Saída 3 2 6 3 3 2" xfId="16145"/>
    <cellStyle name="Saída 3 2 6 3 3 2 2" xfId="28456"/>
    <cellStyle name="Saída 3 2 6 3 3 2 2 2" xfId="57635"/>
    <cellStyle name="Saída 3 2 6 3 3 2 3" xfId="45326"/>
    <cellStyle name="Saída 3 2 6 3 3 3" xfId="24028"/>
    <cellStyle name="Saída 3 2 6 3 3 3 2" xfId="53207"/>
    <cellStyle name="Saída 3 2 6 3 3 4" xfId="36927"/>
    <cellStyle name="Saída 3 2 6 3 4" xfId="12656"/>
    <cellStyle name="Saída 3 2 6 3 4 2" xfId="26282"/>
    <cellStyle name="Saída 3 2 6 3 4 2 2" xfId="55461"/>
    <cellStyle name="Saída 3 2 6 3 4 3" xfId="41837"/>
    <cellStyle name="Saída 3 2 6 3 5" xfId="21854"/>
    <cellStyle name="Saída 3 2 6 3 5 2" xfId="51033"/>
    <cellStyle name="Saída 3 2 6 3 6" xfId="32276"/>
    <cellStyle name="Saída 3 2 6 4" xfId="4731"/>
    <cellStyle name="Saída 3 2 6 4 2" xfId="13863"/>
    <cellStyle name="Saída 3 2 6 4 2 2" xfId="27002"/>
    <cellStyle name="Saída 3 2 6 4 2 2 2" xfId="56181"/>
    <cellStyle name="Saída 3 2 6 4 2 3" xfId="43044"/>
    <cellStyle name="Saída 3 2 6 4 3" xfId="22574"/>
    <cellStyle name="Saída 3 2 6 4 3 2" xfId="51753"/>
    <cellStyle name="Saída 3 2 6 4 4" xfId="33914"/>
    <cellStyle name="Saída 3 2 6 5" xfId="8829"/>
    <cellStyle name="Saída 3 2 6 5 2" xfId="16922"/>
    <cellStyle name="Saída 3 2 6 5 2 2" xfId="28882"/>
    <cellStyle name="Saída 3 2 6 5 2 2 2" xfId="58061"/>
    <cellStyle name="Saída 3 2 6 5 2 3" xfId="46103"/>
    <cellStyle name="Saída 3 2 6 5 3" xfId="24454"/>
    <cellStyle name="Saída 3 2 6 5 3 2" xfId="53633"/>
    <cellStyle name="Saída 3 2 6 5 4" xfId="38012"/>
    <cellStyle name="Saída 3 2 6 6" xfId="11388"/>
    <cellStyle name="Saída 3 2 6 6 2" xfId="25562"/>
    <cellStyle name="Saída 3 2 6 6 2 2" xfId="54741"/>
    <cellStyle name="Saída 3 2 6 6 3" xfId="40569"/>
    <cellStyle name="Saída 3 2 6 7" xfId="21134"/>
    <cellStyle name="Saída 3 2 6 7 2" xfId="50313"/>
    <cellStyle name="Saída 3 2 6 8" xfId="30476"/>
    <cellStyle name="Saída 3 2 7" xfId="1473"/>
    <cellStyle name="Saída 3 2 7 2" xfId="3273"/>
    <cellStyle name="Saída 3 2 7 2 2" xfId="6315"/>
    <cellStyle name="Saída 3 2 7 2 2 2" xfId="15089"/>
    <cellStyle name="Saída 3 2 7 2 2 2 2" xfId="27794"/>
    <cellStyle name="Saída 3 2 7 2 2 2 2 2" xfId="56973"/>
    <cellStyle name="Saída 3 2 7 2 2 2 3" xfId="44270"/>
    <cellStyle name="Saída 3 2 7 2 2 3" xfId="23366"/>
    <cellStyle name="Saída 3 2 7 2 2 3 2" xfId="52545"/>
    <cellStyle name="Saída 3 2 7 2 2 4" xfId="35498"/>
    <cellStyle name="Saída 3 2 7 2 3" xfId="9615"/>
    <cellStyle name="Saída 3 2 7 2 3 2" xfId="17477"/>
    <cellStyle name="Saída 3 2 7 2 3 2 2" xfId="29195"/>
    <cellStyle name="Saída 3 2 7 2 3 2 2 2" xfId="58374"/>
    <cellStyle name="Saída 3 2 7 2 3 2 3" xfId="46658"/>
    <cellStyle name="Saída 3 2 7 2 3 3" xfId="24767"/>
    <cellStyle name="Saída 3 2 7 2 3 3 2" xfId="53946"/>
    <cellStyle name="Saída 3 2 7 2 3 4" xfId="38798"/>
    <cellStyle name="Saída 3 2 7 2 4" xfId="12780"/>
    <cellStyle name="Saída 3 2 7 2 4 2" xfId="26354"/>
    <cellStyle name="Saída 3 2 7 2 4 2 2" xfId="55533"/>
    <cellStyle name="Saída 3 2 7 2 4 3" xfId="41961"/>
    <cellStyle name="Saída 3 2 7 2 5" xfId="21926"/>
    <cellStyle name="Saída 3 2 7 2 5 2" xfId="51105"/>
    <cellStyle name="Saída 3 2 7 2 6" xfId="32456"/>
    <cellStyle name="Saída 3 2 7 3" xfId="4875"/>
    <cellStyle name="Saída 3 2 7 3 2" xfId="13965"/>
    <cellStyle name="Saída 3 2 7 3 2 2" xfId="27074"/>
    <cellStyle name="Saída 3 2 7 3 2 2 2" xfId="56253"/>
    <cellStyle name="Saída 3 2 7 3 2 3" xfId="43146"/>
    <cellStyle name="Saída 3 2 7 3 3" xfId="22646"/>
    <cellStyle name="Saída 3 2 7 3 3 2" xfId="51825"/>
    <cellStyle name="Saída 3 2 7 3 4" xfId="34058"/>
    <cellStyle name="Saída 3 2 7 4" xfId="9440"/>
    <cellStyle name="Saída 3 2 7 4 2" xfId="17360"/>
    <cellStyle name="Saída 3 2 7 4 2 2" xfId="29124"/>
    <cellStyle name="Saída 3 2 7 4 2 2 2" xfId="58303"/>
    <cellStyle name="Saída 3 2 7 4 2 3" xfId="46541"/>
    <cellStyle name="Saída 3 2 7 4 3" xfId="24696"/>
    <cellStyle name="Saída 3 2 7 4 3 2" xfId="53875"/>
    <cellStyle name="Saída 3 2 7 4 4" xfId="38623"/>
    <cellStyle name="Saída 3 2 7 5" xfId="11510"/>
    <cellStyle name="Saída 3 2 7 5 2" xfId="25634"/>
    <cellStyle name="Saída 3 2 7 5 2 2" xfId="54813"/>
    <cellStyle name="Saída 3 2 7 5 3" xfId="40691"/>
    <cellStyle name="Saída 3 2 7 6" xfId="21206"/>
    <cellStyle name="Saída 3 2 7 6 2" xfId="50385"/>
    <cellStyle name="Saída 3 2 7 7" xfId="30656"/>
    <cellStyle name="Saída 3 2 8" xfId="2373"/>
    <cellStyle name="Saída 3 2 8 2" xfId="5595"/>
    <cellStyle name="Saída 3 2 8 2 2" xfId="14530"/>
    <cellStyle name="Saída 3 2 8 2 2 2" xfId="27434"/>
    <cellStyle name="Saída 3 2 8 2 2 2 2" xfId="56613"/>
    <cellStyle name="Saída 3 2 8 2 2 3" xfId="43711"/>
    <cellStyle name="Saída 3 2 8 2 3" xfId="23006"/>
    <cellStyle name="Saída 3 2 8 2 3 2" xfId="52185"/>
    <cellStyle name="Saída 3 2 8 2 4" xfId="34778"/>
    <cellStyle name="Saída 3 2 8 3" xfId="7529"/>
    <cellStyle name="Saída 3 2 8 3 2" xfId="15995"/>
    <cellStyle name="Saída 3 2 8 3 2 2" xfId="28375"/>
    <cellStyle name="Saída 3 2 8 3 2 2 2" xfId="57554"/>
    <cellStyle name="Saída 3 2 8 3 2 3" xfId="45176"/>
    <cellStyle name="Saída 3 2 8 3 3" xfId="23947"/>
    <cellStyle name="Saída 3 2 8 3 3 2" xfId="53126"/>
    <cellStyle name="Saída 3 2 8 3 4" xfId="36712"/>
    <cellStyle name="Saída 3 2 8 4" xfId="12139"/>
    <cellStyle name="Saída 3 2 8 4 2" xfId="25994"/>
    <cellStyle name="Saída 3 2 8 4 2 2" xfId="55173"/>
    <cellStyle name="Saída 3 2 8 4 3" xfId="41320"/>
    <cellStyle name="Saída 3 2 8 5" xfId="21566"/>
    <cellStyle name="Saída 3 2 8 5 2" xfId="50745"/>
    <cellStyle name="Saída 3 2 8 6" xfId="31556"/>
    <cellStyle name="Saída 3 2 9" xfId="4155"/>
    <cellStyle name="Saída 3 2 9 2" xfId="13408"/>
    <cellStyle name="Saída 3 2 9 2 2" xfId="26714"/>
    <cellStyle name="Saída 3 2 9 2 2 2" xfId="55893"/>
    <cellStyle name="Saída 3 2 9 2 3" xfId="42589"/>
    <cellStyle name="Saída 3 2 9 3" xfId="22286"/>
    <cellStyle name="Saída 3 2 9 3 2" xfId="51465"/>
    <cellStyle name="Saída 3 2 9 4" xfId="33338"/>
    <cellStyle name="Saída 3 3" xfId="495"/>
    <cellStyle name="Saída 3 3 10" xfId="10793"/>
    <cellStyle name="Saída 3 3 10 2" xfId="25192"/>
    <cellStyle name="Saída 3 3 10 2 2" xfId="54371"/>
    <cellStyle name="Saída 3 3 10 3" xfId="39974"/>
    <cellStyle name="Saída 3 3 11" xfId="20764"/>
    <cellStyle name="Saída 3 3 11 2" xfId="49943"/>
    <cellStyle name="Saída 3 3 12" xfId="29701"/>
    <cellStyle name="Saída 3 3 2" xfId="848"/>
    <cellStyle name="Saída 3 3 2 2" xfId="1786"/>
    <cellStyle name="Saída 3 3 2 2 2" xfId="3586"/>
    <cellStyle name="Saída 3 3 2 2 2 2" xfId="6565"/>
    <cellStyle name="Saída 3 3 2 2 2 2 2" xfId="15282"/>
    <cellStyle name="Saída 3 3 2 2 2 2 2 2" xfId="27900"/>
    <cellStyle name="Saída 3 3 2 2 2 2 2 2 2" xfId="57079"/>
    <cellStyle name="Saída 3 3 2 2 2 2 2 3" xfId="44463"/>
    <cellStyle name="Saída 3 3 2 2 2 2 3" xfId="23472"/>
    <cellStyle name="Saída 3 3 2 2 2 2 3 2" xfId="52651"/>
    <cellStyle name="Saída 3 3 2 2 2 2 4" xfId="35748"/>
    <cellStyle name="Saída 3 3 2 2 2 3" xfId="9116"/>
    <cellStyle name="Saída 3 3 2 2 2 3 2" xfId="17131"/>
    <cellStyle name="Saída 3 3 2 2 2 3 2 2" xfId="29000"/>
    <cellStyle name="Saída 3 3 2 2 2 3 2 2 2" xfId="58179"/>
    <cellStyle name="Saída 3 3 2 2 2 3 2 3" xfId="46312"/>
    <cellStyle name="Saída 3 3 2 2 2 3 3" xfId="24572"/>
    <cellStyle name="Saída 3 3 2 2 2 3 3 2" xfId="53751"/>
    <cellStyle name="Saída 3 3 2 2 2 3 4" xfId="38299"/>
    <cellStyle name="Saída 3 3 2 2 2 4" xfId="12998"/>
    <cellStyle name="Saída 3 3 2 2 2 4 2" xfId="26460"/>
    <cellStyle name="Saída 3 3 2 2 2 4 2 2" xfId="55639"/>
    <cellStyle name="Saída 3 3 2 2 2 4 3" xfId="42179"/>
    <cellStyle name="Saída 3 3 2 2 2 5" xfId="22032"/>
    <cellStyle name="Saída 3 3 2 2 2 5 2" xfId="51211"/>
    <cellStyle name="Saída 3 3 2 2 2 6" xfId="32769"/>
    <cellStyle name="Saída 3 3 2 2 3" xfId="5125"/>
    <cellStyle name="Saída 3 3 2 2 3 2" xfId="14159"/>
    <cellStyle name="Saída 3 3 2 2 3 2 2" xfId="27180"/>
    <cellStyle name="Saída 3 3 2 2 3 2 2 2" xfId="56359"/>
    <cellStyle name="Saída 3 3 2 2 3 2 3" xfId="43340"/>
    <cellStyle name="Saída 3 3 2 2 3 3" xfId="22752"/>
    <cellStyle name="Saída 3 3 2 2 3 3 2" xfId="51931"/>
    <cellStyle name="Saída 3 3 2 2 3 4" xfId="34308"/>
    <cellStyle name="Saída 3 3 2 2 4" xfId="10242"/>
    <cellStyle name="Saída 3 3 2 2 4 2" xfId="17930"/>
    <cellStyle name="Saída 3 3 2 2 4 2 2" xfId="29449"/>
    <cellStyle name="Saída 3 3 2 2 4 2 2 2" xfId="58628"/>
    <cellStyle name="Saída 3 3 2 2 4 2 3" xfId="47111"/>
    <cellStyle name="Saída 3 3 2 2 4 3" xfId="25021"/>
    <cellStyle name="Saída 3 3 2 2 4 3 2" xfId="54200"/>
    <cellStyle name="Saída 3 3 2 2 4 4" xfId="39425"/>
    <cellStyle name="Saída 3 3 2 2 5" xfId="11724"/>
    <cellStyle name="Saída 3 3 2 2 5 2" xfId="25740"/>
    <cellStyle name="Saída 3 3 2 2 5 2 2" xfId="54919"/>
    <cellStyle name="Saída 3 3 2 2 5 3" xfId="40905"/>
    <cellStyle name="Saída 3 3 2 2 6" xfId="21312"/>
    <cellStyle name="Saída 3 3 2 2 6 2" xfId="50491"/>
    <cellStyle name="Saída 3 3 2 2 7" xfId="30969"/>
    <cellStyle name="Saída 3 3 2 3" xfId="2686"/>
    <cellStyle name="Saída 3 3 2 3 2" xfId="5845"/>
    <cellStyle name="Saída 3 3 2 3 2 2" xfId="14726"/>
    <cellStyle name="Saída 3 3 2 3 2 2 2" xfId="27540"/>
    <cellStyle name="Saída 3 3 2 3 2 2 2 2" xfId="56719"/>
    <cellStyle name="Saída 3 3 2 3 2 2 3" xfId="43907"/>
    <cellStyle name="Saída 3 3 2 3 2 3" xfId="23112"/>
    <cellStyle name="Saída 3 3 2 3 2 3 2" xfId="52291"/>
    <cellStyle name="Saída 3 3 2 3 2 4" xfId="35028"/>
    <cellStyle name="Saída 3 3 2 3 3" xfId="9466"/>
    <cellStyle name="Saída 3 3 2 3 3 2" xfId="17378"/>
    <cellStyle name="Saída 3 3 2 3 3 2 2" xfId="29139"/>
    <cellStyle name="Saída 3 3 2 3 3 2 2 2" xfId="58318"/>
    <cellStyle name="Saída 3 3 2 3 3 2 3" xfId="46559"/>
    <cellStyle name="Saída 3 3 2 3 3 3" xfId="24711"/>
    <cellStyle name="Saída 3 3 2 3 3 3 2" xfId="53890"/>
    <cellStyle name="Saída 3 3 2 3 3 4" xfId="38649"/>
    <cellStyle name="Saída 3 3 2 3 4" xfId="12361"/>
    <cellStyle name="Saída 3 3 2 3 4 2" xfId="26100"/>
    <cellStyle name="Saída 3 3 2 3 4 2 2" xfId="55279"/>
    <cellStyle name="Saída 3 3 2 3 4 3" xfId="41542"/>
    <cellStyle name="Saída 3 3 2 3 5" xfId="21672"/>
    <cellStyle name="Saída 3 3 2 3 5 2" xfId="50851"/>
    <cellStyle name="Saída 3 3 2 3 6" xfId="31869"/>
    <cellStyle name="Saída 3 3 2 4" xfId="4405"/>
    <cellStyle name="Saída 3 3 2 4 2" xfId="13603"/>
    <cellStyle name="Saída 3 3 2 4 2 2" xfId="26820"/>
    <cellStyle name="Saída 3 3 2 4 2 2 2" xfId="55999"/>
    <cellStyle name="Saída 3 3 2 4 2 3" xfId="42784"/>
    <cellStyle name="Saída 3 3 2 4 3" xfId="22392"/>
    <cellStyle name="Saída 3 3 2 4 3 2" xfId="51571"/>
    <cellStyle name="Saída 3 3 2 4 4" xfId="33588"/>
    <cellStyle name="Saída 3 3 2 5" xfId="9641"/>
    <cellStyle name="Saída 3 3 2 5 2" xfId="17501"/>
    <cellStyle name="Saída 3 3 2 5 2 2" xfId="29208"/>
    <cellStyle name="Saída 3 3 2 5 2 2 2" xfId="58387"/>
    <cellStyle name="Saída 3 3 2 5 2 3" xfId="46682"/>
    <cellStyle name="Saída 3 3 2 5 3" xfId="24780"/>
    <cellStyle name="Saída 3 3 2 5 3 2" xfId="53959"/>
    <cellStyle name="Saída 3 3 2 5 4" xfId="38824"/>
    <cellStyle name="Saída 3 3 2 6" xfId="11063"/>
    <cellStyle name="Saída 3 3 2 6 2" xfId="25356"/>
    <cellStyle name="Saída 3 3 2 6 2 2" xfId="54535"/>
    <cellStyle name="Saída 3 3 2 6 3" xfId="40244"/>
    <cellStyle name="Saída 3 3 2 7" xfId="20928"/>
    <cellStyle name="Saída 3 3 2 7 2" xfId="50107"/>
    <cellStyle name="Saída 3 3 2 8" xfId="30045"/>
    <cellStyle name="Saída 3 3 3" xfId="1040"/>
    <cellStyle name="Saída 3 3 3 2" xfId="1950"/>
    <cellStyle name="Saída 3 3 3 2 2" xfId="3750"/>
    <cellStyle name="Saída 3 3 3 2 2 2" xfId="6693"/>
    <cellStyle name="Saída 3 3 3 2 2 2 2" xfId="15387"/>
    <cellStyle name="Saída 3 3 3 2 2 2 2 2" xfId="27974"/>
    <cellStyle name="Saída 3 3 3 2 2 2 2 2 2" xfId="57153"/>
    <cellStyle name="Saída 3 3 3 2 2 2 2 3" xfId="44568"/>
    <cellStyle name="Saída 3 3 3 2 2 2 3" xfId="23546"/>
    <cellStyle name="Saída 3 3 3 2 2 2 3 2" xfId="52725"/>
    <cellStyle name="Saída 3 3 3 2 2 2 4" xfId="35876"/>
    <cellStyle name="Saída 3 3 3 2 2 3" xfId="10497"/>
    <cellStyle name="Saída 3 3 3 2 2 3 2" xfId="18104"/>
    <cellStyle name="Saída 3 3 3 2 2 3 2 2" xfId="29540"/>
    <cellStyle name="Saída 3 3 3 2 2 3 2 2 2" xfId="58719"/>
    <cellStyle name="Saída 3 3 3 2 2 3 2 3" xfId="47285"/>
    <cellStyle name="Saída 3 3 3 2 2 3 3" xfId="25112"/>
    <cellStyle name="Saída 3 3 3 2 2 3 3 2" xfId="54291"/>
    <cellStyle name="Saída 3 3 3 2 2 3 4" xfId="39680"/>
    <cellStyle name="Saída 3 3 3 2 2 4" xfId="13120"/>
    <cellStyle name="Saída 3 3 3 2 2 4 2" xfId="26534"/>
    <cellStyle name="Saída 3 3 3 2 2 4 2 2" xfId="55713"/>
    <cellStyle name="Saída 3 3 3 2 2 4 3" xfId="42301"/>
    <cellStyle name="Saída 3 3 3 2 2 5" xfId="22106"/>
    <cellStyle name="Saída 3 3 3 2 2 5 2" xfId="51285"/>
    <cellStyle name="Saída 3 3 3 2 2 6" xfId="32933"/>
    <cellStyle name="Saída 3 3 3 2 3" xfId="5253"/>
    <cellStyle name="Saída 3 3 3 2 3 2" xfId="14266"/>
    <cellStyle name="Saída 3 3 3 2 3 2 2" xfId="27254"/>
    <cellStyle name="Saída 3 3 3 2 3 2 2 2" xfId="56433"/>
    <cellStyle name="Saída 3 3 3 2 3 2 3" xfId="43447"/>
    <cellStyle name="Saída 3 3 3 2 3 3" xfId="22826"/>
    <cellStyle name="Saída 3 3 3 2 3 3 2" xfId="52005"/>
    <cellStyle name="Saída 3 3 3 2 3 4" xfId="34436"/>
    <cellStyle name="Saída 3 3 3 2 4" xfId="10100"/>
    <cellStyle name="Saída 3 3 3 2 4 2" xfId="17827"/>
    <cellStyle name="Saída 3 3 3 2 4 2 2" xfId="29387"/>
    <cellStyle name="Saída 3 3 3 2 4 2 2 2" xfId="58566"/>
    <cellStyle name="Saída 3 3 3 2 4 2 3" xfId="47008"/>
    <cellStyle name="Saída 3 3 3 2 4 3" xfId="24959"/>
    <cellStyle name="Saída 3 3 3 2 4 3 2" xfId="54138"/>
    <cellStyle name="Saída 3 3 3 2 4 4" xfId="39283"/>
    <cellStyle name="Saída 3 3 3 2 5" xfId="11844"/>
    <cellStyle name="Saída 3 3 3 2 5 2" xfId="25814"/>
    <cellStyle name="Saída 3 3 3 2 5 2 2" xfId="54993"/>
    <cellStyle name="Saída 3 3 3 2 5 3" xfId="41025"/>
    <cellStyle name="Saída 3 3 3 2 6" xfId="21386"/>
    <cellStyle name="Saída 3 3 3 2 6 2" xfId="50565"/>
    <cellStyle name="Saída 3 3 3 2 7" xfId="31133"/>
    <cellStyle name="Saída 3 3 3 3" xfId="2850"/>
    <cellStyle name="Saída 3 3 3 3 2" xfId="5973"/>
    <cellStyle name="Saída 3 3 3 3 2 2" xfId="14830"/>
    <cellStyle name="Saída 3 3 3 3 2 2 2" xfId="27614"/>
    <cellStyle name="Saída 3 3 3 3 2 2 2 2" xfId="56793"/>
    <cellStyle name="Saída 3 3 3 3 2 2 3" xfId="44011"/>
    <cellStyle name="Saída 3 3 3 3 2 3" xfId="23186"/>
    <cellStyle name="Saída 3 3 3 3 2 3 2" xfId="52365"/>
    <cellStyle name="Saída 3 3 3 3 2 4" xfId="35156"/>
    <cellStyle name="Saída 3 3 3 3 3" xfId="9325"/>
    <cellStyle name="Saída 3 3 3 3 3 2" xfId="17283"/>
    <cellStyle name="Saída 3 3 3 3 3 2 2" xfId="29078"/>
    <cellStyle name="Saída 3 3 3 3 3 2 2 2" xfId="58257"/>
    <cellStyle name="Saída 3 3 3 3 3 2 3" xfId="46464"/>
    <cellStyle name="Saída 3 3 3 3 3 3" xfId="24650"/>
    <cellStyle name="Saída 3 3 3 3 3 3 2" xfId="53829"/>
    <cellStyle name="Saída 3 3 3 3 3 4" xfId="38508"/>
    <cellStyle name="Saída 3 3 3 3 4" xfId="12483"/>
    <cellStyle name="Saída 3 3 3 3 4 2" xfId="26174"/>
    <cellStyle name="Saída 3 3 3 3 4 2 2" xfId="55353"/>
    <cellStyle name="Saída 3 3 3 3 4 3" xfId="41664"/>
    <cellStyle name="Saída 3 3 3 3 5" xfId="21746"/>
    <cellStyle name="Saída 3 3 3 3 5 2" xfId="50925"/>
    <cellStyle name="Saída 3 3 3 3 6" xfId="32033"/>
    <cellStyle name="Saída 3 3 3 4" xfId="4533"/>
    <cellStyle name="Saída 3 3 3 4 2" xfId="13709"/>
    <cellStyle name="Saída 3 3 3 4 2 2" xfId="26894"/>
    <cellStyle name="Saída 3 3 3 4 2 2 2" xfId="56073"/>
    <cellStyle name="Saída 3 3 3 4 2 3" xfId="42890"/>
    <cellStyle name="Saída 3 3 3 4 3" xfId="22466"/>
    <cellStyle name="Saída 3 3 3 4 3 2" xfId="51645"/>
    <cellStyle name="Saída 3 3 3 4 4" xfId="33716"/>
    <cellStyle name="Saída 3 3 3 5" xfId="8481"/>
    <cellStyle name="Saída 3 3 3 5 2" xfId="16666"/>
    <cellStyle name="Saída 3 3 3 5 2 2" xfId="28738"/>
    <cellStyle name="Saída 3 3 3 5 2 2 2" xfId="57917"/>
    <cellStyle name="Saída 3 3 3 5 2 3" xfId="45847"/>
    <cellStyle name="Saída 3 3 3 5 3" xfId="24310"/>
    <cellStyle name="Saída 3 3 3 5 3 2" xfId="53489"/>
    <cellStyle name="Saída 3 3 3 5 4" xfId="37664"/>
    <cellStyle name="Saída 3 3 3 6" xfId="11207"/>
    <cellStyle name="Saída 3 3 3 6 2" xfId="25451"/>
    <cellStyle name="Saída 3 3 3 6 2 2" xfId="54630"/>
    <cellStyle name="Saída 3 3 3 6 3" xfId="40388"/>
    <cellStyle name="Saída 3 3 3 7" xfId="21023"/>
    <cellStyle name="Saída 3 3 3 7 2" xfId="50202"/>
    <cellStyle name="Saída 3 3 3 8" xfId="30230"/>
    <cellStyle name="Saída 3 3 4" xfId="1190"/>
    <cellStyle name="Saída 3 3 4 2" xfId="2094"/>
    <cellStyle name="Saída 3 3 4 2 2" xfId="3894"/>
    <cellStyle name="Saída 3 3 4 2 2 2" xfId="6810"/>
    <cellStyle name="Saída 3 3 4 2 2 2 2" xfId="15480"/>
    <cellStyle name="Saída 3 3 4 2 2 2 2 2" xfId="28037"/>
    <cellStyle name="Saída 3 3 4 2 2 2 2 2 2" xfId="57216"/>
    <cellStyle name="Saída 3 3 4 2 2 2 2 3" xfId="44661"/>
    <cellStyle name="Saída 3 3 4 2 2 2 3" xfId="23609"/>
    <cellStyle name="Saída 3 3 4 2 2 2 3 2" xfId="52788"/>
    <cellStyle name="Saída 3 3 4 2 2 2 4" xfId="35993"/>
    <cellStyle name="Saída 3 3 4 2 2 3" xfId="9530"/>
    <cellStyle name="Saída 3 3 4 2 2 3 2" xfId="17425"/>
    <cellStyle name="Saída 3 3 4 2 2 3 2 2" xfId="29165"/>
    <cellStyle name="Saída 3 3 4 2 2 3 2 2 2" xfId="58344"/>
    <cellStyle name="Saída 3 3 4 2 2 3 2 3" xfId="46606"/>
    <cellStyle name="Saída 3 3 4 2 2 3 3" xfId="24737"/>
    <cellStyle name="Saída 3 3 4 2 2 3 3 2" xfId="53916"/>
    <cellStyle name="Saída 3 3 4 2 2 3 4" xfId="38713"/>
    <cellStyle name="Saída 3 3 4 2 2 4" xfId="13222"/>
    <cellStyle name="Saída 3 3 4 2 2 4 2" xfId="26597"/>
    <cellStyle name="Saída 3 3 4 2 2 4 2 2" xfId="55776"/>
    <cellStyle name="Saída 3 3 4 2 2 4 3" xfId="42403"/>
    <cellStyle name="Saída 3 3 4 2 2 5" xfId="22169"/>
    <cellStyle name="Saída 3 3 4 2 2 5 2" xfId="51348"/>
    <cellStyle name="Saída 3 3 4 2 2 6" xfId="33077"/>
    <cellStyle name="Saída 3 3 4 2 3" xfId="5370"/>
    <cellStyle name="Saída 3 3 4 2 3 2" xfId="14358"/>
    <cellStyle name="Saída 3 3 4 2 3 2 2" xfId="27317"/>
    <cellStyle name="Saída 3 3 4 2 3 2 2 2" xfId="56496"/>
    <cellStyle name="Saída 3 3 4 2 3 2 3" xfId="43539"/>
    <cellStyle name="Saída 3 3 4 2 3 3" xfId="22889"/>
    <cellStyle name="Saída 3 3 4 2 3 3 2" xfId="52068"/>
    <cellStyle name="Saída 3 3 4 2 3 4" xfId="34553"/>
    <cellStyle name="Saída 3 3 4 2 4" xfId="9093"/>
    <cellStyle name="Saída 3 3 4 2 4 2" xfId="17115"/>
    <cellStyle name="Saída 3 3 4 2 4 2 2" xfId="28989"/>
    <cellStyle name="Saída 3 3 4 2 4 2 2 2" xfId="58168"/>
    <cellStyle name="Saída 3 3 4 2 4 2 3" xfId="46296"/>
    <cellStyle name="Saída 3 3 4 2 4 3" xfId="24561"/>
    <cellStyle name="Saída 3 3 4 2 4 3 2" xfId="53740"/>
    <cellStyle name="Saída 3 3 4 2 4 4" xfId="38276"/>
    <cellStyle name="Saída 3 3 4 2 5" xfId="11948"/>
    <cellStyle name="Saída 3 3 4 2 5 2" xfId="25877"/>
    <cellStyle name="Saída 3 3 4 2 5 2 2" xfId="55056"/>
    <cellStyle name="Saída 3 3 4 2 5 3" xfId="41129"/>
    <cellStyle name="Saída 3 3 4 2 6" xfId="21449"/>
    <cellStyle name="Saída 3 3 4 2 6 2" xfId="50628"/>
    <cellStyle name="Saída 3 3 4 2 7" xfId="31277"/>
    <cellStyle name="Saída 3 3 4 3" xfId="2994"/>
    <cellStyle name="Saída 3 3 4 3 2" xfId="6090"/>
    <cellStyle name="Saída 3 3 4 3 2 2" xfId="14919"/>
    <cellStyle name="Saída 3 3 4 3 2 2 2" xfId="27677"/>
    <cellStyle name="Saída 3 3 4 3 2 2 2 2" xfId="56856"/>
    <cellStyle name="Saída 3 3 4 3 2 2 3" xfId="44100"/>
    <cellStyle name="Saída 3 3 4 3 2 3" xfId="23249"/>
    <cellStyle name="Saída 3 3 4 3 2 3 2" xfId="52428"/>
    <cellStyle name="Saída 3 3 4 3 2 4" xfId="35273"/>
    <cellStyle name="Saída 3 3 4 3 3" xfId="7587"/>
    <cellStyle name="Saída 3 3 4 3 3 2" xfId="16038"/>
    <cellStyle name="Saída 3 3 4 3 3 2 2" xfId="28395"/>
    <cellStyle name="Saída 3 3 4 3 3 2 2 2" xfId="57574"/>
    <cellStyle name="Saída 3 3 4 3 3 2 3" xfId="45219"/>
    <cellStyle name="Saída 3 3 4 3 3 3" xfId="23967"/>
    <cellStyle name="Saída 3 3 4 3 3 3 2" xfId="53146"/>
    <cellStyle name="Saída 3 3 4 3 3 4" xfId="36770"/>
    <cellStyle name="Saída 3 3 4 3 4" xfId="12583"/>
    <cellStyle name="Saída 3 3 4 3 4 2" xfId="26237"/>
    <cellStyle name="Saída 3 3 4 3 4 2 2" xfId="55416"/>
    <cellStyle name="Saída 3 3 4 3 4 3" xfId="41764"/>
    <cellStyle name="Saída 3 3 4 3 5" xfId="21809"/>
    <cellStyle name="Saída 3 3 4 3 5 2" xfId="50988"/>
    <cellStyle name="Saída 3 3 4 3 6" xfId="32177"/>
    <cellStyle name="Saída 3 3 4 4" xfId="4650"/>
    <cellStyle name="Saída 3 3 4 4 2" xfId="13799"/>
    <cellStyle name="Saída 3 3 4 4 2 2" xfId="26957"/>
    <cellStyle name="Saída 3 3 4 4 2 2 2" xfId="56136"/>
    <cellStyle name="Saída 3 3 4 4 2 3" xfId="42980"/>
    <cellStyle name="Saída 3 3 4 4 3" xfId="22529"/>
    <cellStyle name="Saída 3 3 4 4 3 2" xfId="51708"/>
    <cellStyle name="Saída 3 3 4 4 4" xfId="33833"/>
    <cellStyle name="Saída 3 3 4 5" xfId="9267"/>
    <cellStyle name="Saída 3 3 4 5 2" xfId="17243"/>
    <cellStyle name="Saída 3 3 4 5 2 2" xfId="29057"/>
    <cellStyle name="Saída 3 3 4 5 2 2 2" xfId="58236"/>
    <cellStyle name="Saída 3 3 4 5 2 3" xfId="46424"/>
    <cellStyle name="Saída 3 3 4 5 3" xfId="24629"/>
    <cellStyle name="Saída 3 3 4 5 3 2" xfId="53808"/>
    <cellStyle name="Saída 3 3 4 5 4" xfId="38450"/>
    <cellStyle name="Saída 3 3 4 6" xfId="11317"/>
    <cellStyle name="Saída 3 3 4 6 2" xfId="25517"/>
    <cellStyle name="Saída 3 3 4 6 2 2" xfId="54696"/>
    <cellStyle name="Saída 3 3 4 6 3" xfId="40498"/>
    <cellStyle name="Saída 3 3 4 7" xfId="21089"/>
    <cellStyle name="Saída 3 3 4 7 2" xfId="50268"/>
    <cellStyle name="Saída 3 3 4 8" xfId="30377"/>
    <cellStyle name="Saída 3 3 5" xfId="1336"/>
    <cellStyle name="Saída 3 3 5 2" xfId="2238"/>
    <cellStyle name="Saída 3 3 5 2 2" xfId="4038"/>
    <cellStyle name="Saída 3 3 5 2 2 2" xfId="6927"/>
    <cellStyle name="Saída 3 3 5 2 2 2 2" xfId="15570"/>
    <cellStyle name="Saída 3 3 5 2 2 2 2 2" xfId="28100"/>
    <cellStyle name="Saída 3 3 5 2 2 2 2 2 2" xfId="57279"/>
    <cellStyle name="Saída 3 3 5 2 2 2 2 3" xfId="44751"/>
    <cellStyle name="Saída 3 3 5 2 2 2 3" xfId="23672"/>
    <cellStyle name="Saída 3 3 5 2 2 2 3 2" xfId="52851"/>
    <cellStyle name="Saída 3 3 5 2 2 2 4" xfId="36110"/>
    <cellStyle name="Saída 3 3 5 2 2 3" xfId="7042"/>
    <cellStyle name="Saída 3 3 5 2 2 3 2" xfId="15659"/>
    <cellStyle name="Saída 3 3 5 2 2 3 2 2" xfId="28168"/>
    <cellStyle name="Saída 3 3 5 2 2 3 2 2 2" xfId="57347"/>
    <cellStyle name="Saída 3 3 5 2 2 3 2 3" xfId="44840"/>
    <cellStyle name="Saída 3 3 5 2 2 3 3" xfId="23740"/>
    <cellStyle name="Saída 3 3 5 2 2 3 3 2" xfId="52919"/>
    <cellStyle name="Saída 3 3 5 2 2 3 4" xfId="36225"/>
    <cellStyle name="Saída 3 3 5 2 2 4" xfId="13324"/>
    <cellStyle name="Saída 3 3 5 2 2 4 2" xfId="26660"/>
    <cellStyle name="Saída 3 3 5 2 2 4 2 2" xfId="55839"/>
    <cellStyle name="Saída 3 3 5 2 2 4 3" xfId="42505"/>
    <cellStyle name="Saída 3 3 5 2 2 5" xfId="22232"/>
    <cellStyle name="Saída 3 3 5 2 2 5 2" xfId="51411"/>
    <cellStyle name="Saída 3 3 5 2 2 6" xfId="33221"/>
    <cellStyle name="Saída 3 3 5 2 3" xfId="5487"/>
    <cellStyle name="Saída 3 3 5 2 3 2" xfId="14450"/>
    <cellStyle name="Saída 3 3 5 2 3 2 2" xfId="27380"/>
    <cellStyle name="Saída 3 3 5 2 3 2 2 2" xfId="56559"/>
    <cellStyle name="Saída 3 3 5 2 3 2 3" xfId="43631"/>
    <cellStyle name="Saída 3 3 5 2 3 3" xfId="22952"/>
    <cellStyle name="Saída 3 3 5 2 3 3 2" xfId="52131"/>
    <cellStyle name="Saída 3 3 5 2 3 4" xfId="34670"/>
    <cellStyle name="Saída 3 3 5 2 4" xfId="7837"/>
    <cellStyle name="Saída 3 3 5 2 4 2" xfId="16208"/>
    <cellStyle name="Saída 3 3 5 2 4 2 2" xfId="28489"/>
    <cellStyle name="Saída 3 3 5 2 4 2 2 2" xfId="57668"/>
    <cellStyle name="Saída 3 3 5 2 4 2 3" xfId="45389"/>
    <cellStyle name="Saída 3 3 5 2 4 3" xfId="24061"/>
    <cellStyle name="Saída 3 3 5 2 4 3 2" xfId="53240"/>
    <cellStyle name="Saída 3 3 5 2 4 4" xfId="37020"/>
    <cellStyle name="Saída 3 3 5 2 5" xfId="12047"/>
    <cellStyle name="Saída 3 3 5 2 5 2" xfId="25940"/>
    <cellStyle name="Saída 3 3 5 2 5 2 2" xfId="55119"/>
    <cellStyle name="Saída 3 3 5 2 5 3" xfId="41228"/>
    <cellStyle name="Saída 3 3 5 2 6" xfId="21512"/>
    <cellStyle name="Saída 3 3 5 2 6 2" xfId="50691"/>
    <cellStyle name="Saída 3 3 5 2 7" xfId="31421"/>
    <cellStyle name="Saída 3 3 5 3" xfId="3138"/>
    <cellStyle name="Saída 3 3 5 3 2" xfId="6207"/>
    <cellStyle name="Saída 3 3 5 3 2 2" xfId="15010"/>
    <cellStyle name="Saída 3 3 5 3 2 2 2" xfId="27740"/>
    <cellStyle name="Saída 3 3 5 3 2 2 2 2" xfId="56919"/>
    <cellStyle name="Saída 3 3 5 3 2 2 3" xfId="44191"/>
    <cellStyle name="Saída 3 3 5 3 2 3" xfId="23312"/>
    <cellStyle name="Saída 3 3 5 3 2 3 2" xfId="52491"/>
    <cellStyle name="Saída 3 3 5 3 2 4" xfId="35390"/>
    <cellStyle name="Saída 3 3 5 3 3" xfId="7231"/>
    <cellStyle name="Saída 3 3 5 3 3 2" xfId="15793"/>
    <cellStyle name="Saída 3 3 5 3 3 2 2" xfId="28252"/>
    <cellStyle name="Saída 3 3 5 3 3 2 2 2" xfId="57431"/>
    <cellStyle name="Saída 3 3 5 3 3 2 3" xfId="44974"/>
    <cellStyle name="Saída 3 3 5 3 3 3" xfId="23824"/>
    <cellStyle name="Saída 3 3 5 3 3 3 2" xfId="53003"/>
    <cellStyle name="Saída 3 3 5 3 3 4" xfId="36414"/>
    <cellStyle name="Saída 3 3 5 3 4" xfId="12685"/>
    <cellStyle name="Saída 3 3 5 3 4 2" xfId="26300"/>
    <cellStyle name="Saída 3 3 5 3 4 2 2" xfId="55479"/>
    <cellStyle name="Saída 3 3 5 3 4 3" xfId="41866"/>
    <cellStyle name="Saída 3 3 5 3 5" xfId="21872"/>
    <cellStyle name="Saída 3 3 5 3 5 2" xfId="51051"/>
    <cellStyle name="Saída 3 3 5 3 6" xfId="32321"/>
    <cellStyle name="Saída 3 3 5 4" xfId="4767"/>
    <cellStyle name="Saída 3 3 5 4 2" xfId="13887"/>
    <cellStyle name="Saída 3 3 5 4 2 2" xfId="27020"/>
    <cellStyle name="Saída 3 3 5 4 2 2 2" xfId="56199"/>
    <cellStyle name="Saída 3 3 5 4 2 3" xfId="43068"/>
    <cellStyle name="Saída 3 3 5 4 3" xfId="22592"/>
    <cellStyle name="Saída 3 3 5 4 3 2" xfId="51771"/>
    <cellStyle name="Saída 3 3 5 4 4" xfId="33950"/>
    <cellStyle name="Saída 3 3 5 5" xfId="9381"/>
    <cellStyle name="Saída 3 3 5 5 2" xfId="17320"/>
    <cellStyle name="Saída 3 3 5 5 2 2" xfId="29101"/>
    <cellStyle name="Saída 3 3 5 5 2 2 2" xfId="58280"/>
    <cellStyle name="Saída 3 3 5 5 2 3" xfId="46501"/>
    <cellStyle name="Saída 3 3 5 5 3" xfId="24673"/>
    <cellStyle name="Saída 3 3 5 5 3 2" xfId="53852"/>
    <cellStyle name="Saída 3 3 5 5 4" xfId="38564"/>
    <cellStyle name="Saída 3 3 5 6" xfId="11416"/>
    <cellStyle name="Saída 3 3 5 6 2" xfId="25580"/>
    <cellStyle name="Saída 3 3 5 6 2 2" xfId="54759"/>
    <cellStyle name="Saída 3 3 5 6 3" xfId="40597"/>
    <cellStyle name="Saída 3 3 5 7" xfId="21152"/>
    <cellStyle name="Saída 3 3 5 7 2" xfId="50331"/>
    <cellStyle name="Saída 3 3 5 8" xfId="30521"/>
    <cellStyle name="Saída 3 3 6" xfId="1518"/>
    <cellStyle name="Saída 3 3 6 2" xfId="3318"/>
    <cellStyle name="Saída 3 3 6 2 2" xfId="6351"/>
    <cellStyle name="Saída 3 3 6 2 2 2" xfId="15113"/>
    <cellStyle name="Saída 3 3 6 2 2 2 2" xfId="27812"/>
    <cellStyle name="Saída 3 3 6 2 2 2 2 2" xfId="56991"/>
    <cellStyle name="Saída 3 3 6 2 2 2 3" xfId="44294"/>
    <cellStyle name="Saída 3 3 6 2 2 3" xfId="23384"/>
    <cellStyle name="Saída 3 3 6 2 2 3 2" xfId="52563"/>
    <cellStyle name="Saída 3 3 6 2 2 4" xfId="35534"/>
    <cellStyle name="Saída 3 3 6 2 3" xfId="9459"/>
    <cellStyle name="Saída 3 3 6 2 3 2" xfId="17372"/>
    <cellStyle name="Saída 3 3 6 2 3 2 2" xfId="29135"/>
    <cellStyle name="Saída 3 3 6 2 3 2 2 2" xfId="58314"/>
    <cellStyle name="Saída 3 3 6 2 3 2 3" xfId="46553"/>
    <cellStyle name="Saída 3 3 6 2 3 3" xfId="24707"/>
    <cellStyle name="Saída 3 3 6 2 3 3 2" xfId="53886"/>
    <cellStyle name="Saída 3 3 6 2 3 4" xfId="38642"/>
    <cellStyle name="Saída 3 3 6 2 4" xfId="12809"/>
    <cellStyle name="Saída 3 3 6 2 4 2" xfId="26372"/>
    <cellStyle name="Saída 3 3 6 2 4 2 2" xfId="55551"/>
    <cellStyle name="Saída 3 3 6 2 4 3" xfId="41990"/>
    <cellStyle name="Saída 3 3 6 2 5" xfId="21944"/>
    <cellStyle name="Saída 3 3 6 2 5 2" xfId="51123"/>
    <cellStyle name="Saída 3 3 6 2 6" xfId="32501"/>
    <cellStyle name="Saída 3 3 6 3" xfId="4911"/>
    <cellStyle name="Saída 3 3 6 3 2" xfId="13992"/>
    <cellStyle name="Saída 3 3 6 3 2 2" xfId="27092"/>
    <cellStyle name="Saída 3 3 6 3 2 2 2" xfId="56271"/>
    <cellStyle name="Saída 3 3 6 3 2 3" xfId="43173"/>
    <cellStyle name="Saída 3 3 6 3 3" xfId="22664"/>
    <cellStyle name="Saída 3 3 6 3 3 2" xfId="51843"/>
    <cellStyle name="Saída 3 3 6 3 4" xfId="34094"/>
    <cellStyle name="Saída 3 3 6 4" xfId="9401"/>
    <cellStyle name="Saída 3 3 6 4 2" xfId="17335"/>
    <cellStyle name="Saída 3 3 6 4 2 2" xfId="29111"/>
    <cellStyle name="Saída 3 3 6 4 2 2 2" xfId="58290"/>
    <cellStyle name="Saída 3 3 6 4 2 3" xfId="46516"/>
    <cellStyle name="Saída 3 3 6 4 3" xfId="24683"/>
    <cellStyle name="Saída 3 3 6 4 3 2" xfId="53862"/>
    <cellStyle name="Saída 3 3 6 4 4" xfId="38584"/>
    <cellStyle name="Saída 3 3 6 5" xfId="11537"/>
    <cellStyle name="Saída 3 3 6 5 2" xfId="25652"/>
    <cellStyle name="Saída 3 3 6 5 2 2" xfId="54831"/>
    <cellStyle name="Saída 3 3 6 5 3" xfId="40718"/>
    <cellStyle name="Saída 3 3 6 6" xfId="21224"/>
    <cellStyle name="Saída 3 3 6 6 2" xfId="50403"/>
    <cellStyle name="Saída 3 3 6 7" xfId="30701"/>
    <cellStyle name="Saída 3 3 7" xfId="2418"/>
    <cellStyle name="Saída 3 3 7 2" xfId="5631"/>
    <cellStyle name="Saída 3 3 7 2 2" xfId="14559"/>
    <cellStyle name="Saída 3 3 7 2 2 2" xfId="27452"/>
    <cellStyle name="Saída 3 3 7 2 2 2 2" xfId="56631"/>
    <cellStyle name="Saída 3 3 7 2 2 3" xfId="43740"/>
    <cellStyle name="Saída 3 3 7 2 3" xfId="23024"/>
    <cellStyle name="Saída 3 3 7 2 3 2" xfId="52203"/>
    <cellStyle name="Saída 3 3 7 2 4" xfId="34814"/>
    <cellStyle name="Saída 3 3 7 3" xfId="8243"/>
    <cellStyle name="Saída 3 3 7 3 2" xfId="16499"/>
    <cellStyle name="Saída 3 3 7 3 2 2" xfId="28653"/>
    <cellStyle name="Saída 3 3 7 3 2 2 2" xfId="57832"/>
    <cellStyle name="Saída 3 3 7 3 2 3" xfId="45680"/>
    <cellStyle name="Saída 3 3 7 3 3" xfId="24225"/>
    <cellStyle name="Saída 3 3 7 3 3 2" xfId="53404"/>
    <cellStyle name="Saída 3 3 7 3 4" xfId="37426"/>
    <cellStyle name="Saída 3 3 7 4" xfId="12171"/>
    <cellStyle name="Saída 3 3 7 4 2" xfId="26012"/>
    <cellStyle name="Saída 3 3 7 4 2 2" xfId="55191"/>
    <cellStyle name="Saída 3 3 7 4 3" xfId="41352"/>
    <cellStyle name="Saída 3 3 7 5" xfId="21584"/>
    <cellStyle name="Saída 3 3 7 5 2" xfId="50763"/>
    <cellStyle name="Saída 3 3 7 6" xfId="31601"/>
    <cellStyle name="Saída 3 3 8" xfId="4191"/>
    <cellStyle name="Saída 3 3 8 2" xfId="13440"/>
    <cellStyle name="Saída 3 3 8 2 2" xfId="26732"/>
    <cellStyle name="Saída 3 3 8 2 2 2" xfId="55911"/>
    <cellStyle name="Saída 3 3 8 2 3" xfId="42621"/>
    <cellStyle name="Saída 3 3 8 3" xfId="22304"/>
    <cellStyle name="Saída 3 3 8 3 2" xfId="51483"/>
    <cellStyle name="Saída 3 3 8 4" xfId="33374"/>
    <cellStyle name="Saída 3 3 9" xfId="9275"/>
    <cellStyle name="Saída 3 3 9 2" xfId="17248"/>
    <cellStyle name="Saída 3 3 9 2 2" xfId="29060"/>
    <cellStyle name="Saída 3 3 9 2 2 2" xfId="58239"/>
    <cellStyle name="Saída 3 3 9 2 3" xfId="46429"/>
    <cellStyle name="Saída 3 3 9 3" xfId="24632"/>
    <cellStyle name="Saída 3 3 9 3 2" xfId="53811"/>
    <cellStyle name="Saída 3 3 9 4" xfId="38458"/>
    <cellStyle name="Saída 3 4" xfId="716"/>
    <cellStyle name="Saída 3 4 2" xfId="1678"/>
    <cellStyle name="Saída 3 4 2 2" xfId="3478"/>
    <cellStyle name="Saída 3 4 2 2 2" xfId="6484"/>
    <cellStyle name="Saída 3 4 2 2 2 2" xfId="15218"/>
    <cellStyle name="Saída 3 4 2 2 2 2 2" xfId="27855"/>
    <cellStyle name="Saída 3 4 2 2 2 2 2 2" xfId="57034"/>
    <cellStyle name="Saída 3 4 2 2 2 2 3" xfId="44399"/>
    <cellStyle name="Saída 3 4 2 2 2 3" xfId="23427"/>
    <cellStyle name="Saída 3 4 2 2 2 3 2" xfId="52606"/>
    <cellStyle name="Saída 3 4 2 2 2 4" xfId="35667"/>
    <cellStyle name="Saída 3 4 2 2 3" xfId="9457"/>
    <cellStyle name="Saída 3 4 2 2 3 2" xfId="17371"/>
    <cellStyle name="Saída 3 4 2 2 3 2 2" xfId="29134"/>
    <cellStyle name="Saída 3 4 2 2 3 2 2 2" xfId="58313"/>
    <cellStyle name="Saída 3 4 2 2 3 2 3" xfId="46552"/>
    <cellStyle name="Saída 3 4 2 2 3 3" xfId="24706"/>
    <cellStyle name="Saída 3 4 2 2 3 3 2" xfId="53885"/>
    <cellStyle name="Saída 3 4 2 2 3 4" xfId="38640"/>
    <cellStyle name="Saída 3 4 2 2 4" xfId="12922"/>
    <cellStyle name="Saída 3 4 2 2 4 2" xfId="26415"/>
    <cellStyle name="Saída 3 4 2 2 4 2 2" xfId="55594"/>
    <cellStyle name="Saída 3 4 2 2 4 3" xfId="42103"/>
    <cellStyle name="Saída 3 4 2 2 5" xfId="21987"/>
    <cellStyle name="Saída 3 4 2 2 5 2" xfId="51166"/>
    <cellStyle name="Saída 3 4 2 2 6" xfId="32661"/>
    <cellStyle name="Saída 3 4 2 3" xfId="5044"/>
    <cellStyle name="Saída 3 4 2 3 2" xfId="14094"/>
    <cellStyle name="Saída 3 4 2 3 2 2" xfId="27135"/>
    <cellStyle name="Saída 3 4 2 3 2 2 2" xfId="56314"/>
    <cellStyle name="Saída 3 4 2 3 2 3" xfId="43275"/>
    <cellStyle name="Saída 3 4 2 3 3" xfId="22707"/>
    <cellStyle name="Saída 3 4 2 3 3 2" xfId="51886"/>
    <cellStyle name="Saída 3 4 2 3 4" xfId="34227"/>
    <cellStyle name="Saída 3 4 2 4" xfId="9399"/>
    <cellStyle name="Saída 3 4 2 4 2" xfId="17334"/>
    <cellStyle name="Saída 3 4 2 4 2 2" xfId="29110"/>
    <cellStyle name="Saída 3 4 2 4 2 2 2" xfId="58289"/>
    <cellStyle name="Saída 3 4 2 4 2 3" xfId="46515"/>
    <cellStyle name="Saída 3 4 2 4 3" xfId="24682"/>
    <cellStyle name="Saída 3 4 2 4 3 2" xfId="53861"/>
    <cellStyle name="Saída 3 4 2 4 4" xfId="38582"/>
    <cellStyle name="Saída 3 4 2 5" xfId="11649"/>
    <cellStyle name="Saída 3 4 2 5 2" xfId="25695"/>
    <cellStyle name="Saída 3 4 2 5 2 2" xfId="54874"/>
    <cellStyle name="Saída 3 4 2 5 3" xfId="40830"/>
    <cellStyle name="Saída 3 4 2 6" xfId="21267"/>
    <cellStyle name="Saída 3 4 2 6 2" xfId="50446"/>
    <cellStyle name="Saída 3 4 2 7" xfId="30861"/>
    <cellStyle name="Saída 3 4 3" xfId="2578"/>
    <cellStyle name="Saída 3 4 3 2" xfId="5764"/>
    <cellStyle name="Saída 3 4 3 2 2" xfId="14659"/>
    <cellStyle name="Saída 3 4 3 2 2 2" xfId="27495"/>
    <cellStyle name="Saída 3 4 3 2 2 2 2" xfId="56674"/>
    <cellStyle name="Saída 3 4 3 2 2 3" xfId="43840"/>
    <cellStyle name="Saída 3 4 3 2 3" xfId="23067"/>
    <cellStyle name="Saída 3 4 3 2 3 2" xfId="52246"/>
    <cellStyle name="Saída 3 4 3 2 4" xfId="34947"/>
    <cellStyle name="Saída 3 4 3 3" xfId="8241"/>
    <cellStyle name="Saída 3 4 3 3 2" xfId="16498"/>
    <cellStyle name="Saída 3 4 3 3 2 2" xfId="28652"/>
    <cellStyle name="Saída 3 4 3 3 2 2 2" xfId="57831"/>
    <cellStyle name="Saída 3 4 3 3 2 3" xfId="45679"/>
    <cellStyle name="Saída 3 4 3 3 3" xfId="24224"/>
    <cellStyle name="Saída 3 4 3 3 3 2" xfId="53403"/>
    <cellStyle name="Saída 3 4 3 3 4" xfId="37424"/>
    <cellStyle name="Saída 3 4 3 4" xfId="12284"/>
    <cellStyle name="Saída 3 4 3 4 2" xfId="26055"/>
    <cellStyle name="Saída 3 4 3 4 2 2" xfId="55234"/>
    <cellStyle name="Saída 3 4 3 4 3" xfId="41465"/>
    <cellStyle name="Saída 3 4 3 5" xfId="21627"/>
    <cellStyle name="Saída 3 4 3 5 2" xfId="50806"/>
    <cellStyle name="Saída 3 4 3 6" xfId="31761"/>
    <cellStyle name="Saída 3 4 4" xfId="4324"/>
    <cellStyle name="Saída 3 4 4 2" xfId="13538"/>
    <cellStyle name="Saída 3 4 4 2 2" xfId="26775"/>
    <cellStyle name="Saída 3 4 4 2 2 2" xfId="55954"/>
    <cellStyle name="Saída 3 4 4 2 3" xfId="42719"/>
    <cellStyle name="Saída 3 4 4 3" xfId="22347"/>
    <cellStyle name="Saída 3 4 4 3 2" xfId="51526"/>
    <cellStyle name="Saída 3 4 4 4" xfId="33507"/>
    <cellStyle name="Saída 3 4 5" xfId="7809"/>
    <cellStyle name="Saída 3 4 5 2" xfId="16190"/>
    <cellStyle name="Saída 3 4 5 2 2" xfId="28482"/>
    <cellStyle name="Saída 3 4 5 2 2 2" xfId="57661"/>
    <cellStyle name="Saída 3 4 5 2 3" xfId="45371"/>
    <cellStyle name="Saída 3 4 5 3" xfId="24054"/>
    <cellStyle name="Saída 3 4 5 3 2" xfId="53233"/>
    <cellStyle name="Saída 3 4 5 4" xfId="36992"/>
    <cellStyle name="Saída 3 4 6" xfId="10966"/>
    <cellStyle name="Saída 3 4 6 2" xfId="25290"/>
    <cellStyle name="Saída 3 4 6 2 2" xfId="54469"/>
    <cellStyle name="Saída 3 4 6 3" xfId="40147"/>
    <cellStyle name="Saída 3 4 7" xfId="20862"/>
    <cellStyle name="Saída 3 4 7 2" xfId="50041"/>
    <cellStyle name="Saída 3 4 8" xfId="29916"/>
    <cellStyle name="Saída 3 5" xfId="563"/>
    <cellStyle name="Saída 3 5 2" xfId="1583"/>
    <cellStyle name="Saída 3 5 2 2" xfId="3383"/>
    <cellStyle name="Saída 3 5 2 2 2" xfId="6407"/>
    <cellStyle name="Saída 3 5 2 2 2 2" xfId="15162"/>
    <cellStyle name="Saída 3 5 2 2 2 2 2" xfId="27850"/>
    <cellStyle name="Saída 3 5 2 2 2 2 2 2" xfId="57029"/>
    <cellStyle name="Saída 3 5 2 2 2 2 3" xfId="44343"/>
    <cellStyle name="Saída 3 5 2 2 2 3" xfId="23422"/>
    <cellStyle name="Saída 3 5 2 2 2 3 2" xfId="52601"/>
    <cellStyle name="Saída 3 5 2 2 2 4" xfId="35590"/>
    <cellStyle name="Saída 3 5 2 2 3" xfId="9205"/>
    <cellStyle name="Saída 3 5 2 2 3 2" xfId="17200"/>
    <cellStyle name="Saída 3 5 2 2 3 2 2" xfId="29033"/>
    <cellStyle name="Saída 3 5 2 2 3 2 2 2" xfId="58212"/>
    <cellStyle name="Saída 3 5 2 2 3 2 3" xfId="46381"/>
    <cellStyle name="Saída 3 5 2 2 3 3" xfId="24605"/>
    <cellStyle name="Saída 3 5 2 2 3 3 2" xfId="53784"/>
    <cellStyle name="Saída 3 5 2 2 3 4" xfId="38388"/>
    <cellStyle name="Saída 3 5 2 2 4" xfId="12859"/>
    <cellStyle name="Saída 3 5 2 2 4 2" xfId="26410"/>
    <cellStyle name="Saída 3 5 2 2 4 2 2" xfId="55589"/>
    <cellStyle name="Saída 3 5 2 2 4 3" xfId="42040"/>
    <cellStyle name="Saída 3 5 2 2 5" xfId="21982"/>
    <cellStyle name="Saída 3 5 2 2 5 2" xfId="51161"/>
    <cellStyle name="Saída 3 5 2 2 6" xfId="32566"/>
    <cellStyle name="Saída 3 5 2 3" xfId="4967"/>
    <cellStyle name="Saída 3 5 2 3 2" xfId="14041"/>
    <cellStyle name="Saída 3 5 2 3 2 2" xfId="27130"/>
    <cellStyle name="Saída 3 5 2 3 2 2 2" xfId="56309"/>
    <cellStyle name="Saída 3 5 2 3 2 3" xfId="43222"/>
    <cellStyle name="Saída 3 5 2 3 3" xfId="22702"/>
    <cellStyle name="Saída 3 5 2 3 3 2" xfId="51881"/>
    <cellStyle name="Saída 3 5 2 3 4" xfId="34150"/>
    <cellStyle name="Saída 3 5 2 4" xfId="8091"/>
    <cellStyle name="Saída 3 5 2 4 2" xfId="16391"/>
    <cellStyle name="Saída 3 5 2 4 2 2" xfId="28596"/>
    <cellStyle name="Saída 3 5 2 4 2 2 2" xfId="57775"/>
    <cellStyle name="Saída 3 5 2 4 2 3" xfId="45572"/>
    <cellStyle name="Saída 3 5 2 4 3" xfId="24168"/>
    <cellStyle name="Saída 3 5 2 4 3 2" xfId="53347"/>
    <cellStyle name="Saída 3 5 2 4 4" xfId="37274"/>
    <cellStyle name="Saída 3 5 2 5" xfId="11588"/>
    <cellStyle name="Saída 3 5 2 5 2" xfId="25690"/>
    <cellStyle name="Saída 3 5 2 5 2 2" xfId="54869"/>
    <cellStyle name="Saída 3 5 2 5 3" xfId="40769"/>
    <cellStyle name="Saída 3 5 2 6" xfId="21262"/>
    <cellStyle name="Saída 3 5 2 6 2" xfId="50441"/>
    <cellStyle name="Saída 3 5 2 7" xfId="30766"/>
    <cellStyle name="Saída 3 5 3" xfId="2483"/>
    <cellStyle name="Saída 3 5 3 2" xfId="5687"/>
    <cellStyle name="Saída 3 5 3 2 2" xfId="14609"/>
    <cellStyle name="Saída 3 5 3 2 2 2" xfId="27490"/>
    <cellStyle name="Saída 3 5 3 2 2 2 2" xfId="56669"/>
    <cellStyle name="Saída 3 5 3 2 2 3" xfId="43790"/>
    <cellStyle name="Saída 3 5 3 2 3" xfId="23062"/>
    <cellStyle name="Saída 3 5 3 2 3 2" xfId="52241"/>
    <cellStyle name="Saída 3 5 3 2 4" xfId="34870"/>
    <cellStyle name="Saída 3 5 3 3" xfId="8856"/>
    <cellStyle name="Saída 3 5 3 3 2" xfId="16946"/>
    <cellStyle name="Saída 3 5 3 3 2 2" xfId="28895"/>
    <cellStyle name="Saída 3 5 3 3 2 2 2" xfId="58074"/>
    <cellStyle name="Saída 3 5 3 3 2 3" xfId="46127"/>
    <cellStyle name="Saída 3 5 3 3 3" xfId="24467"/>
    <cellStyle name="Saída 3 5 3 3 3 2" xfId="53646"/>
    <cellStyle name="Saída 3 5 3 3 4" xfId="38039"/>
    <cellStyle name="Saída 3 5 3 4" xfId="12225"/>
    <cellStyle name="Saída 3 5 3 4 2" xfId="26050"/>
    <cellStyle name="Saída 3 5 3 4 2 2" xfId="55229"/>
    <cellStyle name="Saída 3 5 3 4 3" xfId="41406"/>
    <cellStyle name="Saída 3 5 3 5" xfId="21622"/>
    <cellStyle name="Saída 3 5 3 5 2" xfId="50801"/>
    <cellStyle name="Saída 3 5 3 6" xfId="31666"/>
    <cellStyle name="Saída 3 5 4" xfId="4247"/>
    <cellStyle name="Saída 3 5 4 2" xfId="13490"/>
    <cellStyle name="Saída 3 5 4 2 2" xfId="26770"/>
    <cellStyle name="Saída 3 5 4 2 2 2" xfId="55949"/>
    <cellStyle name="Saída 3 5 4 2 3" xfId="42671"/>
    <cellStyle name="Saída 3 5 4 3" xfId="22342"/>
    <cellStyle name="Saída 3 5 4 3 2" xfId="51521"/>
    <cellStyle name="Saída 3 5 4 4" xfId="33430"/>
    <cellStyle name="Saída 3 5 5" xfId="9647"/>
    <cellStyle name="Saída 3 5 5 2" xfId="17507"/>
    <cellStyle name="Saída 3 5 5 2 2" xfId="29211"/>
    <cellStyle name="Saída 3 5 5 2 2 2" xfId="58390"/>
    <cellStyle name="Saída 3 5 5 2 3" xfId="46688"/>
    <cellStyle name="Saída 3 5 5 3" xfId="24783"/>
    <cellStyle name="Saída 3 5 5 3 2" xfId="53962"/>
    <cellStyle name="Saída 3 5 5 4" xfId="38830"/>
    <cellStyle name="Saída 3 5 6" xfId="10849"/>
    <cellStyle name="Saída 3 5 6 2" xfId="25232"/>
    <cellStyle name="Saída 3 5 6 2 2" xfId="54411"/>
    <cellStyle name="Saída 3 5 6 3" xfId="40030"/>
    <cellStyle name="Saída 3 5 7" xfId="20804"/>
    <cellStyle name="Saída 3 5 7 2" xfId="49983"/>
    <cellStyle name="Saída 3 5 8" xfId="29768"/>
    <cellStyle name="Saída 3 6" xfId="755"/>
    <cellStyle name="Saída 3 6 2" xfId="1696"/>
    <cellStyle name="Saída 3 6 2 2" xfId="3496"/>
    <cellStyle name="Saída 3 6 2 2 2" xfId="6493"/>
    <cellStyle name="Saída 3 6 2 2 2 2" xfId="15227"/>
    <cellStyle name="Saída 3 6 2 2 2 2 2" xfId="27864"/>
    <cellStyle name="Saída 3 6 2 2 2 2 2 2" xfId="57043"/>
    <cellStyle name="Saída 3 6 2 2 2 2 3" xfId="44408"/>
    <cellStyle name="Saída 3 6 2 2 2 3" xfId="23436"/>
    <cellStyle name="Saída 3 6 2 2 2 3 2" xfId="52615"/>
    <cellStyle name="Saída 3 6 2 2 2 4" xfId="35676"/>
    <cellStyle name="Saída 3 6 2 2 3" xfId="8767"/>
    <cellStyle name="Saída 3 6 2 2 3 2" xfId="16873"/>
    <cellStyle name="Saída 3 6 2 2 3 2 2" xfId="28857"/>
    <cellStyle name="Saída 3 6 2 2 3 2 2 2" xfId="58036"/>
    <cellStyle name="Saída 3 6 2 2 3 2 3" xfId="46054"/>
    <cellStyle name="Saída 3 6 2 2 3 3" xfId="24429"/>
    <cellStyle name="Saída 3 6 2 2 3 3 2" xfId="53608"/>
    <cellStyle name="Saída 3 6 2 2 3 4" xfId="37950"/>
    <cellStyle name="Saída 3 6 2 2 4" xfId="12933"/>
    <cellStyle name="Saída 3 6 2 2 4 2" xfId="26424"/>
    <cellStyle name="Saída 3 6 2 2 4 2 2" xfId="55603"/>
    <cellStyle name="Saída 3 6 2 2 4 3" xfId="42114"/>
    <cellStyle name="Saída 3 6 2 2 5" xfId="21996"/>
    <cellStyle name="Saída 3 6 2 2 5 2" xfId="51175"/>
    <cellStyle name="Saída 3 6 2 2 6" xfId="32679"/>
    <cellStyle name="Saída 3 6 2 3" xfId="5053"/>
    <cellStyle name="Saída 3 6 2 3 2" xfId="14103"/>
    <cellStyle name="Saída 3 6 2 3 2 2" xfId="27144"/>
    <cellStyle name="Saída 3 6 2 3 2 2 2" xfId="56323"/>
    <cellStyle name="Saída 3 6 2 3 2 3" xfId="43284"/>
    <cellStyle name="Saída 3 6 2 3 3" xfId="22716"/>
    <cellStyle name="Saída 3 6 2 3 3 2" xfId="51895"/>
    <cellStyle name="Saída 3 6 2 3 4" xfId="34236"/>
    <cellStyle name="Saída 3 6 2 4" xfId="8326"/>
    <cellStyle name="Saída 3 6 2 4 2" xfId="16559"/>
    <cellStyle name="Saída 3 6 2 4 2 2" xfId="28684"/>
    <cellStyle name="Saída 3 6 2 4 2 2 2" xfId="57863"/>
    <cellStyle name="Saída 3 6 2 4 2 3" xfId="45740"/>
    <cellStyle name="Saída 3 6 2 4 3" xfId="24256"/>
    <cellStyle name="Saída 3 6 2 4 3 2" xfId="53435"/>
    <cellStyle name="Saída 3 6 2 4 4" xfId="37509"/>
    <cellStyle name="Saída 3 6 2 5" xfId="11660"/>
    <cellStyle name="Saída 3 6 2 5 2" xfId="25704"/>
    <cellStyle name="Saída 3 6 2 5 2 2" xfId="54883"/>
    <cellStyle name="Saída 3 6 2 5 3" xfId="40841"/>
    <cellStyle name="Saída 3 6 2 6" xfId="21276"/>
    <cellStyle name="Saída 3 6 2 6 2" xfId="50455"/>
    <cellStyle name="Saída 3 6 2 7" xfId="30879"/>
    <cellStyle name="Saída 3 6 3" xfId="2596"/>
    <cellStyle name="Saída 3 6 3 2" xfId="5773"/>
    <cellStyle name="Saída 3 6 3 2 2" xfId="14668"/>
    <cellStyle name="Saída 3 6 3 2 2 2" xfId="27504"/>
    <cellStyle name="Saída 3 6 3 2 2 2 2" xfId="56683"/>
    <cellStyle name="Saída 3 6 3 2 2 3" xfId="43849"/>
    <cellStyle name="Saída 3 6 3 2 3" xfId="23076"/>
    <cellStyle name="Saída 3 6 3 2 3 2" xfId="52255"/>
    <cellStyle name="Saída 3 6 3 2 4" xfId="34956"/>
    <cellStyle name="Saída 3 6 3 3" xfId="9855"/>
    <cellStyle name="Saída 3 6 3 3 2" xfId="17660"/>
    <cellStyle name="Saída 3 6 3 3 2 2" xfId="29292"/>
    <cellStyle name="Saída 3 6 3 3 2 2 2" xfId="58471"/>
    <cellStyle name="Saída 3 6 3 3 2 3" xfId="46841"/>
    <cellStyle name="Saída 3 6 3 3 3" xfId="24864"/>
    <cellStyle name="Saída 3 6 3 3 3 2" xfId="54043"/>
    <cellStyle name="Saída 3 6 3 3 4" xfId="39038"/>
    <cellStyle name="Saída 3 6 3 4" xfId="12295"/>
    <cellStyle name="Saída 3 6 3 4 2" xfId="26064"/>
    <cellStyle name="Saída 3 6 3 4 2 2" xfId="55243"/>
    <cellStyle name="Saída 3 6 3 4 3" xfId="41476"/>
    <cellStyle name="Saída 3 6 3 5" xfId="21636"/>
    <cellStyle name="Saída 3 6 3 5 2" xfId="50815"/>
    <cellStyle name="Saída 3 6 3 6" xfId="31779"/>
    <cellStyle name="Saída 3 6 4" xfId="4333"/>
    <cellStyle name="Saída 3 6 4 2" xfId="13547"/>
    <cellStyle name="Saída 3 6 4 2 2" xfId="26784"/>
    <cellStyle name="Saída 3 6 4 2 2 2" xfId="55963"/>
    <cellStyle name="Saída 3 6 4 2 3" xfId="42728"/>
    <cellStyle name="Saída 3 6 4 3" xfId="22356"/>
    <cellStyle name="Saída 3 6 4 3 2" xfId="51535"/>
    <cellStyle name="Saída 3 6 4 4" xfId="33516"/>
    <cellStyle name="Saída 3 6 5" xfId="7351"/>
    <cellStyle name="Saída 3 6 5 2" xfId="15878"/>
    <cellStyle name="Saída 3 6 5 2 2" xfId="28305"/>
    <cellStyle name="Saída 3 6 5 2 2 2" xfId="57484"/>
    <cellStyle name="Saída 3 6 5 2 3" xfId="45059"/>
    <cellStyle name="Saída 3 6 5 3" xfId="23877"/>
    <cellStyle name="Saída 3 6 5 3 2" xfId="53056"/>
    <cellStyle name="Saída 3 6 5 4" xfId="36534"/>
    <cellStyle name="Saída 3 6 6" xfId="10997"/>
    <cellStyle name="Saída 3 6 6 2" xfId="25318"/>
    <cellStyle name="Saída 3 6 6 2 2" xfId="54497"/>
    <cellStyle name="Saída 3 6 6 3" xfId="40178"/>
    <cellStyle name="Saída 3 6 7" xfId="20890"/>
    <cellStyle name="Saída 3 6 7 2" xfId="50069"/>
    <cellStyle name="Saída 3 6 8" xfId="29953"/>
    <cellStyle name="Saída 3 7" xfId="947"/>
    <cellStyle name="Saída 3 7 2" xfId="1860"/>
    <cellStyle name="Saída 3 7 2 2" xfId="3660"/>
    <cellStyle name="Saída 3 7 2 2 2" xfId="6621"/>
    <cellStyle name="Saída 3 7 2 2 2 2" xfId="15333"/>
    <cellStyle name="Saída 3 7 2 2 2 2 2" xfId="27938"/>
    <cellStyle name="Saída 3 7 2 2 2 2 2 2" xfId="57117"/>
    <cellStyle name="Saída 3 7 2 2 2 2 3" xfId="44514"/>
    <cellStyle name="Saída 3 7 2 2 2 3" xfId="23510"/>
    <cellStyle name="Saída 3 7 2 2 2 3 2" xfId="52689"/>
    <cellStyle name="Saída 3 7 2 2 2 4" xfId="35804"/>
    <cellStyle name="Saída 3 7 2 2 3" xfId="8648"/>
    <cellStyle name="Saída 3 7 2 2 3 2" xfId="16788"/>
    <cellStyle name="Saída 3 7 2 2 3 2 2" xfId="28808"/>
    <cellStyle name="Saída 3 7 2 2 3 2 2 2" xfId="57987"/>
    <cellStyle name="Saída 3 7 2 2 3 2 3" xfId="45969"/>
    <cellStyle name="Saída 3 7 2 2 3 3" xfId="24380"/>
    <cellStyle name="Saída 3 7 2 2 3 3 2" xfId="53559"/>
    <cellStyle name="Saída 3 7 2 2 3 4" xfId="37831"/>
    <cellStyle name="Saída 3 7 2 2 4" xfId="13054"/>
    <cellStyle name="Saída 3 7 2 2 4 2" xfId="26498"/>
    <cellStyle name="Saída 3 7 2 2 4 2 2" xfId="55677"/>
    <cellStyle name="Saída 3 7 2 2 4 3" xfId="42235"/>
    <cellStyle name="Saída 3 7 2 2 5" xfId="22070"/>
    <cellStyle name="Saída 3 7 2 2 5 2" xfId="51249"/>
    <cellStyle name="Saída 3 7 2 2 6" xfId="32843"/>
    <cellStyle name="Saída 3 7 2 3" xfId="5181"/>
    <cellStyle name="Saída 3 7 2 3 2" xfId="14211"/>
    <cellStyle name="Saída 3 7 2 3 2 2" xfId="27218"/>
    <cellStyle name="Saída 3 7 2 3 2 2 2" xfId="56397"/>
    <cellStyle name="Saída 3 7 2 3 2 3" xfId="43392"/>
    <cellStyle name="Saída 3 7 2 3 3" xfId="22790"/>
    <cellStyle name="Saída 3 7 2 3 3 2" xfId="51969"/>
    <cellStyle name="Saída 3 7 2 3 4" xfId="34364"/>
    <cellStyle name="Saída 3 7 2 4" xfId="8168"/>
    <cellStyle name="Saída 3 7 2 4 2" xfId="16442"/>
    <cellStyle name="Saída 3 7 2 4 2 2" xfId="28622"/>
    <cellStyle name="Saída 3 7 2 4 2 2 2" xfId="57801"/>
    <cellStyle name="Saída 3 7 2 4 2 3" xfId="45623"/>
    <cellStyle name="Saída 3 7 2 4 3" xfId="24194"/>
    <cellStyle name="Saída 3 7 2 4 3 2" xfId="53373"/>
    <cellStyle name="Saída 3 7 2 4 4" xfId="37351"/>
    <cellStyle name="Saída 3 7 2 5" xfId="11779"/>
    <cellStyle name="Saída 3 7 2 5 2" xfId="25778"/>
    <cellStyle name="Saída 3 7 2 5 2 2" xfId="54957"/>
    <cellStyle name="Saída 3 7 2 5 3" xfId="40960"/>
    <cellStyle name="Saída 3 7 2 6" xfId="21350"/>
    <cellStyle name="Saída 3 7 2 6 2" xfId="50529"/>
    <cellStyle name="Saída 3 7 2 7" xfId="31043"/>
    <cellStyle name="Saída 3 7 3" xfId="2760"/>
    <cellStyle name="Saída 3 7 3 2" xfId="5901"/>
    <cellStyle name="Saída 3 7 3 2 2" xfId="14776"/>
    <cellStyle name="Saída 3 7 3 2 2 2" xfId="27578"/>
    <cellStyle name="Saída 3 7 3 2 2 2 2" xfId="56757"/>
    <cellStyle name="Saída 3 7 3 2 2 3" xfId="43957"/>
    <cellStyle name="Saída 3 7 3 2 3" xfId="23150"/>
    <cellStyle name="Saída 3 7 3 2 3 2" xfId="52329"/>
    <cellStyle name="Saída 3 7 3 2 4" xfId="35084"/>
    <cellStyle name="Saída 3 7 3 3" xfId="8933"/>
    <cellStyle name="Saída 3 7 3 3 2" xfId="16999"/>
    <cellStyle name="Saída 3 7 3 3 2 2" xfId="28923"/>
    <cellStyle name="Saída 3 7 3 3 2 2 2" xfId="58102"/>
    <cellStyle name="Saída 3 7 3 3 2 3" xfId="46180"/>
    <cellStyle name="Saída 3 7 3 3 3" xfId="24495"/>
    <cellStyle name="Saída 3 7 3 3 3 2" xfId="53674"/>
    <cellStyle name="Saída 3 7 3 3 4" xfId="38116"/>
    <cellStyle name="Saída 3 7 3 4" xfId="12419"/>
    <cellStyle name="Saída 3 7 3 4 2" xfId="26138"/>
    <cellStyle name="Saída 3 7 3 4 2 2" xfId="55317"/>
    <cellStyle name="Saída 3 7 3 4 3" xfId="41600"/>
    <cellStyle name="Saída 3 7 3 5" xfId="21710"/>
    <cellStyle name="Saída 3 7 3 5 2" xfId="50889"/>
    <cellStyle name="Saída 3 7 3 6" xfId="31943"/>
    <cellStyle name="Saída 3 7 4" xfId="4461"/>
    <cellStyle name="Saída 3 7 4 2" xfId="13654"/>
    <cellStyle name="Saída 3 7 4 2 2" xfId="26858"/>
    <cellStyle name="Saída 3 7 4 2 2 2" xfId="56037"/>
    <cellStyle name="Saída 3 7 4 2 3" xfId="42835"/>
    <cellStyle name="Saída 3 7 4 3" xfId="22430"/>
    <cellStyle name="Saída 3 7 4 3 2" xfId="51609"/>
    <cellStyle name="Saída 3 7 4 4" xfId="33644"/>
    <cellStyle name="Saída 3 7 5" xfId="10174"/>
    <cellStyle name="Saída 3 7 5 2" xfId="17882"/>
    <cellStyle name="Saída 3 7 5 2 2" xfId="29420"/>
    <cellStyle name="Saída 3 7 5 2 2 2" xfId="58599"/>
    <cellStyle name="Saída 3 7 5 2 3" xfId="47063"/>
    <cellStyle name="Saída 3 7 5 3" xfId="24992"/>
    <cellStyle name="Saída 3 7 5 3 2" xfId="54171"/>
    <cellStyle name="Saída 3 7 5 4" xfId="39357"/>
    <cellStyle name="Saída 3 7 6" xfId="11142"/>
    <cellStyle name="Saída 3 7 6 2" xfId="25413"/>
    <cellStyle name="Saída 3 7 6 2 2" xfId="54592"/>
    <cellStyle name="Saída 3 7 6 3" xfId="40323"/>
    <cellStyle name="Saída 3 7 7" xfId="20985"/>
    <cellStyle name="Saída 3 7 7 2" xfId="50164"/>
    <cellStyle name="Saída 3 7 8" xfId="30138"/>
    <cellStyle name="Saída 3 8" xfId="1428"/>
    <cellStyle name="Saída 3 8 2" xfId="3228"/>
    <cellStyle name="Saída 3 8 2 2" xfId="6279"/>
    <cellStyle name="Saída 3 8 2 2 2" xfId="15062"/>
    <cellStyle name="Saída 3 8 2 2 2 2" xfId="27776"/>
    <cellStyle name="Saída 3 8 2 2 2 2 2" xfId="56955"/>
    <cellStyle name="Saída 3 8 2 2 2 3" xfId="44243"/>
    <cellStyle name="Saída 3 8 2 2 3" xfId="23348"/>
    <cellStyle name="Saída 3 8 2 2 3 2" xfId="52527"/>
    <cellStyle name="Saída 3 8 2 2 4" xfId="35462"/>
    <cellStyle name="Saída 3 8 2 3" xfId="9848"/>
    <cellStyle name="Saída 3 8 2 3 2" xfId="17655"/>
    <cellStyle name="Saída 3 8 2 3 2 2" xfId="29289"/>
    <cellStyle name="Saída 3 8 2 3 2 2 2" xfId="58468"/>
    <cellStyle name="Saída 3 8 2 3 2 3" xfId="46836"/>
    <cellStyle name="Saída 3 8 2 3 3" xfId="24861"/>
    <cellStyle name="Saída 3 8 2 3 3 2" xfId="54040"/>
    <cellStyle name="Saída 3 8 2 3 4" xfId="39031"/>
    <cellStyle name="Saída 3 8 2 4" xfId="12747"/>
    <cellStyle name="Saída 3 8 2 4 2" xfId="26336"/>
    <cellStyle name="Saída 3 8 2 4 2 2" xfId="55515"/>
    <cellStyle name="Saída 3 8 2 4 3" xfId="41928"/>
    <cellStyle name="Saída 3 8 2 5" xfId="21908"/>
    <cellStyle name="Saída 3 8 2 5 2" xfId="51087"/>
    <cellStyle name="Saída 3 8 2 6" xfId="32411"/>
    <cellStyle name="Saída 3 8 3" xfId="4839"/>
    <cellStyle name="Saída 3 8 3 2" xfId="13938"/>
    <cellStyle name="Saída 3 8 3 2 2" xfId="27056"/>
    <cellStyle name="Saída 3 8 3 2 2 2" xfId="56235"/>
    <cellStyle name="Saída 3 8 3 2 3" xfId="43119"/>
    <cellStyle name="Saída 3 8 3 3" xfId="22628"/>
    <cellStyle name="Saída 3 8 3 3 2" xfId="51807"/>
    <cellStyle name="Saída 3 8 3 4" xfId="34022"/>
    <cellStyle name="Saída 3 8 4" xfId="8633"/>
    <cellStyle name="Saída 3 8 4 2" xfId="16776"/>
    <cellStyle name="Saída 3 8 4 2 2" xfId="28801"/>
    <cellStyle name="Saída 3 8 4 2 2 2" xfId="57980"/>
    <cellStyle name="Saída 3 8 4 2 3" xfId="45957"/>
    <cellStyle name="Saída 3 8 4 3" xfId="24373"/>
    <cellStyle name="Saída 3 8 4 3 2" xfId="53552"/>
    <cellStyle name="Saída 3 8 4 4" xfId="37816"/>
    <cellStyle name="Saída 3 8 5" xfId="11476"/>
    <cellStyle name="Saída 3 8 5 2" xfId="25616"/>
    <cellStyle name="Saída 3 8 5 2 2" xfId="54795"/>
    <cellStyle name="Saída 3 8 5 3" xfId="40657"/>
    <cellStyle name="Saída 3 8 6" xfId="21188"/>
    <cellStyle name="Saída 3 8 6 2" xfId="50367"/>
    <cellStyle name="Saída 3 8 7" xfId="30611"/>
    <cellStyle name="Saída 3 9" xfId="2328"/>
    <cellStyle name="Saída 3 9 2" xfId="5559"/>
    <cellStyle name="Saída 3 9 2 2" xfId="14504"/>
    <cellStyle name="Saída 3 9 2 2 2" xfId="27416"/>
    <cellStyle name="Saída 3 9 2 2 2 2" xfId="56595"/>
    <cellStyle name="Saída 3 9 2 2 3" xfId="43685"/>
    <cellStyle name="Saída 3 9 2 3" xfId="22988"/>
    <cellStyle name="Saída 3 9 2 3 2" xfId="52167"/>
    <cellStyle name="Saída 3 9 2 4" xfId="34742"/>
    <cellStyle name="Saída 3 9 3" xfId="7984"/>
    <cellStyle name="Saída 3 9 3 2" xfId="16316"/>
    <cellStyle name="Saída 3 9 3 2 2" xfId="28551"/>
    <cellStyle name="Saída 3 9 3 2 2 2" xfId="57730"/>
    <cellStyle name="Saída 3 9 3 2 3" xfId="45497"/>
    <cellStyle name="Saída 3 9 3 3" xfId="24123"/>
    <cellStyle name="Saída 3 9 3 3 2" xfId="53302"/>
    <cellStyle name="Saída 3 9 3 4" xfId="37167"/>
    <cellStyle name="Saída 3 9 4" xfId="12108"/>
    <cellStyle name="Saída 3 9 4 2" xfId="25976"/>
    <cellStyle name="Saída 3 9 4 2 2" xfId="55155"/>
    <cellStyle name="Saída 3 9 4 3" xfId="41289"/>
    <cellStyle name="Saída 3 9 5" xfId="21548"/>
    <cellStyle name="Saída 3 9 5 2" xfId="50727"/>
    <cellStyle name="Saída 3 9 6" xfId="31511"/>
    <cellStyle name="Saída 4" xfId="343"/>
    <cellStyle name="Saída 4 10" xfId="4120"/>
    <cellStyle name="Saída 4 10 2" xfId="13384"/>
    <cellStyle name="Saída 4 10 2 2" xfId="26697"/>
    <cellStyle name="Saída 4 10 2 2 2" xfId="55876"/>
    <cellStyle name="Saída 4 10 2 3" xfId="42565"/>
    <cellStyle name="Saída 4 10 3" xfId="22269"/>
    <cellStyle name="Saída 4 10 3 2" xfId="51448"/>
    <cellStyle name="Saída 4 10 4" xfId="33303"/>
    <cellStyle name="Saída 4 11" xfId="10731"/>
    <cellStyle name="Saída 4 11 2" xfId="25157"/>
    <cellStyle name="Saída 4 11 2 2" xfId="54336"/>
    <cellStyle name="Saída 4 11 3" xfId="39912"/>
    <cellStyle name="Saída 4 12" xfId="20729"/>
    <cellStyle name="Saída 4 12 2" xfId="49908"/>
    <cellStyle name="Saída 4 13" xfId="58749"/>
    <cellStyle name="Saída 4 14" xfId="29612"/>
    <cellStyle name="Saída 4 2" xfId="451"/>
    <cellStyle name="Saída 4 2 10" xfId="10218"/>
    <cellStyle name="Saída 4 2 10 2" xfId="17911"/>
    <cellStyle name="Saída 4 2 10 2 2" xfId="29436"/>
    <cellStyle name="Saída 4 2 10 2 2 2" xfId="58615"/>
    <cellStyle name="Saída 4 2 10 2 3" xfId="47092"/>
    <cellStyle name="Saída 4 2 10 3" xfId="25008"/>
    <cellStyle name="Saída 4 2 10 3 2" xfId="54187"/>
    <cellStyle name="Saída 4 2 10 4" xfId="39401"/>
    <cellStyle name="Saída 4 2 11" xfId="10765"/>
    <cellStyle name="Saída 4 2 11 2" xfId="25175"/>
    <cellStyle name="Saída 4 2 11 2 2" xfId="54354"/>
    <cellStyle name="Saída 4 2 11 3" xfId="39946"/>
    <cellStyle name="Saída 4 2 12" xfId="20747"/>
    <cellStyle name="Saída 4 2 12 2" xfId="49926"/>
    <cellStyle name="Saída 4 2 13" xfId="58794"/>
    <cellStyle name="Saída 4 2 14" xfId="29657"/>
    <cellStyle name="Saída 4 2 2" xfId="541"/>
    <cellStyle name="Saída 4 2 2 10" xfId="10828"/>
    <cellStyle name="Saída 4 2 2 10 2" xfId="25211"/>
    <cellStyle name="Saída 4 2 2 10 2 2" xfId="54390"/>
    <cellStyle name="Saída 4 2 2 10 3" xfId="40009"/>
    <cellStyle name="Saída 4 2 2 11" xfId="20783"/>
    <cellStyle name="Saída 4 2 2 11 2" xfId="49962"/>
    <cellStyle name="Saída 4 2 2 12" xfId="29747"/>
    <cellStyle name="Saída 4 2 2 2" xfId="894"/>
    <cellStyle name="Saída 4 2 2 2 2" xfId="1832"/>
    <cellStyle name="Saída 4 2 2 2 2 2" xfId="3632"/>
    <cellStyle name="Saída 4 2 2 2 2 2 2" xfId="6602"/>
    <cellStyle name="Saída 4 2 2 2 2 2 2 2" xfId="15314"/>
    <cellStyle name="Saída 4 2 2 2 2 2 2 2 2" xfId="27919"/>
    <cellStyle name="Saída 4 2 2 2 2 2 2 2 2 2" xfId="57098"/>
    <cellStyle name="Saída 4 2 2 2 2 2 2 2 3" xfId="44495"/>
    <cellStyle name="Saída 4 2 2 2 2 2 2 3" xfId="23491"/>
    <cellStyle name="Saída 4 2 2 2 2 2 2 3 2" xfId="52670"/>
    <cellStyle name="Saída 4 2 2 2 2 2 2 4" xfId="35785"/>
    <cellStyle name="Saída 4 2 2 2 2 2 3" xfId="8923"/>
    <cellStyle name="Saída 4 2 2 2 2 2 3 2" xfId="16993"/>
    <cellStyle name="Saída 4 2 2 2 2 2 3 2 2" xfId="28919"/>
    <cellStyle name="Saída 4 2 2 2 2 2 3 2 2 2" xfId="58098"/>
    <cellStyle name="Saída 4 2 2 2 2 2 3 2 3" xfId="46174"/>
    <cellStyle name="Saída 4 2 2 2 2 2 3 3" xfId="24491"/>
    <cellStyle name="Saída 4 2 2 2 2 2 3 3 2" xfId="53670"/>
    <cellStyle name="Saída 4 2 2 2 2 2 3 4" xfId="38106"/>
    <cellStyle name="Saída 4 2 2 2 2 2 4" xfId="13033"/>
    <cellStyle name="Saída 4 2 2 2 2 2 4 2" xfId="26479"/>
    <cellStyle name="Saída 4 2 2 2 2 2 4 2 2" xfId="55658"/>
    <cellStyle name="Saída 4 2 2 2 2 2 4 3" xfId="42214"/>
    <cellStyle name="Saída 4 2 2 2 2 2 5" xfId="22051"/>
    <cellStyle name="Saída 4 2 2 2 2 2 5 2" xfId="51230"/>
    <cellStyle name="Saída 4 2 2 2 2 2 6" xfId="32815"/>
    <cellStyle name="Saída 4 2 2 2 2 3" xfId="5162"/>
    <cellStyle name="Saída 4 2 2 2 2 3 2" xfId="14192"/>
    <cellStyle name="Saída 4 2 2 2 2 3 2 2" xfId="27199"/>
    <cellStyle name="Saída 4 2 2 2 2 3 2 2 2" xfId="56378"/>
    <cellStyle name="Saída 4 2 2 2 2 3 2 3" xfId="43373"/>
    <cellStyle name="Saída 4 2 2 2 2 3 3" xfId="22771"/>
    <cellStyle name="Saída 4 2 2 2 2 3 3 2" xfId="51950"/>
    <cellStyle name="Saída 4 2 2 2 2 3 4" xfId="34345"/>
    <cellStyle name="Saída 4 2 2 2 2 4" xfId="7469"/>
    <cellStyle name="Saída 4 2 2 2 2 4 2" xfId="15955"/>
    <cellStyle name="Saída 4 2 2 2 2 4 2 2" xfId="28353"/>
    <cellStyle name="Saída 4 2 2 2 2 4 2 2 2" xfId="57532"/>
    <cellStyle name="Saída 4 2 2 2 2 4 2 3" xfId="45136"/>
    <cellStyle name="Saída 4 2 2 2 2 4 3" xfId="23925"/>
    <cellStyle name="Saída 4 2 2 2 2 4 3 2" xfId="53104"/>
    <cellStyle name="Saída 4 2 2 2 2 4 4" xfId="36652"/>
    <cellStyle name="Saída 4 2 2 2 2 5" xfId="11757"/>
    <cellStyle name="Saída 4 2 2 2 2 5 2" xfId="25759"/>
    <cellStyle name="Saída 4 2 2 2 2 5 2 2" xfId="54938"/>
    <cellStyle name="Saída 4 2 2 2 2 5 3" xfId="40938"/>
    <cellStyle name="Saída 4 2 2 2 2 6" xfId="21331"/>
    <cellStyle name="Saída 4 2 2 2 2 6 2" xfId="50510"/>
    <cellStyle name="Saída 4 2 2 2 2 7" xfId="31015"/>
    <cellStyle name="Saída 4 2 2 2 3" xfId="2732"/>
    <cellStyle name="Saída 4 2 2 2 3 2" xfId="5882"/>
    <cellStyle name="Saída 4 2 2 2 3 2 2" xfId="14757"/>
    <cellStyle name="Saída 4 2 2 2 3 2 2 2" xfId="27559"/>
    <cellStyle name="Saída 4 2 2 2 3 2 2 2 2" xfId="56738"/>
    <cellStyle name="Saída 4 2 2 2 3 2 2 3" xfId="43938"/>
    <cellStyle name="Saída 4 2 2 2 3 2 3" xfId="23131"/>
    <cellStyle name="Saída 4 2 2 2 3 2 3 2" xfId="52310"/>
    <cellStyle name="Saída 4 2 2 2 3 2 4" xfId="35065"/>
    <cellStyle name="Saída 4 2 2 2 3 3" xfId="7787"/>
    <cellStyle name="Saída 4 2 2 2 3 3 2" xfId="16175"/>
    <cellStyle name="Saída 4 2 2 2 3 3 2 2" xfId="28472"/>
    <cellStyle name="Saída 4 2 2 2 3 3 2 2 2" xfId="57651"/>
    <cellStyle name="Saída 4 2 2 2 3 3 2 3" xfId="45356"/>
    <cellStyle name="Saída 4 2 2 2 3 3 3" xfId="24044"/>
    <cellStyle name="Saída 4 2 2 2 3 3 3 2" xfId="53223"/>
    <cellStyle name="Saída 4 2 2 2 3 3 4" xfId="36970"/>
    <cellStyle name="Saída 4 2 2 2 3 4" xfId="12398"/>
    <cellStyle name="Saída 4 2 2 2 3 4 2" xfId="26119"/>
    <cellStyle name="Saída 4 2 2 2 3 4 2 2" xfId="55298"/>
    <cellStyle name="Saída 4 2 2 2 3 4 3" xfId="41579"/>
    <cellStyle name="Saída 4 2 2 2 3 5" xfId="21691"/>
    <cellStyle name="Saída 4 2 2 2 3 5 2" xfId="50870"/>
    <cellStyle name="Saída 4 2 2 2 3 6" xfId="31915"/>
    <cellStyle name="Saída 4 2 2 2 4" xfId="4442"/>
    <cellStyle name="Saída 4 2 2 2 4 2" xfId="13635"/>
    <cellStyle name="Saída 4 2 2 2 4 2 2" xfId="26839"/>
    <cellStyle name="Saída 4 2 2 2 4 2 2 2" xfId="56018"/>
    <cellStyle name="Saída 4 2 2 2 4 2 3" xfId="42816"/>
    <cellStyle name="Saída 4 2 2 2 4 3" xfId="22411"/>
    <cellStyle name="Saída 4 2 2 2 4 3 2" xfId="51590"/>
    <cellStyle name="Saída 4 2 2 2 4 4" xfId="33625"/>
    <cellStyle name="Saída 4 2 2 2 5" xfId="10253"/>
    <cellStyle name="Saída 4 2 2 2 5 2" xfId="17939"/>
    <cellStyle name="Saída 4 2 2 2 5 2 2" xfId="29453"/>
    <cellStyle name="Saída 4 2 2 2 5 2 2 2" xfId="58632"/>
    <cellStyle name="Saída 4 2 2 2 5 2 3" xfId="47120"/>
    <cellStyle name="Saída 4 2 2 2 5 3" xfId="25025"/>
    <cellStyle name="Saída 4 2 2 2 5 3 2" xfId="54204"/>
    <cellStyle name="Saída 4 2 2 2 5 4" xfId="39436"/>
    <cellStyle name="Saída 4 2 2 2 6" xfId="11098"/>
    <cellStyle name="Saída 4 2 2 2 6 2" xfId="25375"/>
    <cellStyle name="Saída 4 2 2 2 6 2 2" xfId="54554"/>
    <cellStyle name="Saída 4 2 2 2 6 3" xfId="40279"/>
    <cellStyle name="Saída 4 2 2 2 7" xfId="20947"/>
    <cellStyle name="Saída 4 2 2 2 7 2" xfId="50126"/>
    <cellStyle name="Saída 4 2 2 2 8" xfId="30091"/>
    <cellStyle name="Saída 4 2 2 3" xfId="1086"/>
    <cellStyle name="Saída 4 2 2 3 2" xfId="1996"/>
    <cellStyle name="Saída 4 2 2 3 2 2" xfId="3796"/>
    <cellStyle name="Saída 4 2 2 3 2 2 2" xfId="6730"/>
    <cellStyle name="Saída 4 2 2 3 2 2 2 2" xfId="15416"/>
    <cellStyle name="Saída 4 2 2 3 2 2 2 2 2" xfId="27993"/>
    <cellStyle name="Saída 4 2 2 3 2 2 2 2 2 2" xfId="57172"/>
    <cellStyle name="Saída 4 2 2 3 2 2 2 2 3" xfId="44597"/>
    <cellStyle name="Saída 4 2 2 3 2 2 2 3" xfId="23565"/>
    <cellStyle name="Saída 4 2 2 3 2 2 2 3 2" xfId="52744"/>
    <cellStyle name="Saída 4 2 2 3 2 2 2 4" xfId="35913"/>
    <cellStyle name="Saída 4 2 2 3 2 2 3" xfId="8801"/>
    <cellStyle name="Saída 4 2 2 3 2 2 3 2" xfId="16899"/>
    <cellStyle name="Saída 4 2 2 3 2 2 3 2 2" xfId="28868"/>
    <cellStyle name="Saída 4 2 2 3 2 2 3 2 2 2" xfId="58047"/>
    <cellStyle name="Saída 4 2 2 3 2 2 3 2 3" xfId="46080"/>
    <cellStyle name="Saída 4 2 2 3 2 2 3 3" xfId="24440"/>
    <cellStyle name="Saída 4 2 2 3 2 2 3 3 2" xfId="53619"/>
    <cellStyle name="Saída 4 2 2 3 2 2 3 4" xfId="37984"/>
    <cellStyle name="Saída 4 2 2 3 2 2 4" xfId="13153"/>
    <cellStyle name="Saída 4 2 2 3 2 2 4 2" xfId="26553"/>
    <cellStyle name="Saída 4 2 2 3 2 2 4 2 2" xfId="55732"/>
    <cellStyle name="Saída 4 2 2 3 2 2 4 3" xfId="42334"/>
    <cellStyle name="Saída 4 2 2 3 2 2 5" xfId="22125"/>
    <cellStyle name="Saída 4 2 2 3 2 2 5 2" xfId="51304"/>
    <cellStyle name="Saída 4 2 2 3 2 2 6" xfId="32979"/>
    <cellStyle name="Saída 4 2 2 3 2 3" xfId="5290"/>
    <cellStyle name="Saída 4 2 2 3 2 3 2" xfId="14295"/>
    <cellStyle name="Saída 4 2 2 3 2 3 2 2" xfId="27273"/>
    <cellStyle name="Saída 4 2 2 3 2 3 2 2 2" xfId="56452"/>
    <cellStyle name="Saída 4 2 2 3 2 3 2 3" xfId="43476"/>
    <cellStyle name="Saída 4 2 2 3 2 3 3" xfId="22845"/>
    <cellStyle name="Saída 4 2 2 3 2 3 3 2" xfId="52024"/>
    <cellStyle name="Saída 4 2 2 3 2 3 4" xfId="34473"/>
    <cellStyle name="Saída 4 2 2 3 2 4" xfId="9785"/>
    <cellStyle name="Saída 4 2 2 3 2 4 2" xfId="17612"/>
    <cellStyle name="Saída 4 2 2 3 2 4 2 2" xfId="29265"/>
    <cellStyle name="Saída 4 2 2 3 2 4 2 2 2" xfId="58444"/>
    <cellStyle name="Saída 4 2 2 3 2 4 2 3" xfId="46793"/>
    <cellStyle name="Saída 4 2 2 3 2 4 3" xfId="24837"/>
    <cellStyle name="Saída 4 2 2 3 2 4 3 2" xfId="54016"/>
    <cellStyle name="Saída 4 2 2 3 2 4 4" xfId="38968"/>
    <cellStyle name="Saída 4 2 2 3 2 5" xfId="11877"/>
    <cellStyle name="Saída 4 2 2 3 2 5 2" xfId="25833"/>
    <cellStyle name="Saída 4 2 2 3 2 5 2 2" xfId="55012"/>
    <cellStyle name="Saída 4 2 2 3 2 5 3" xfId="41058"/>
    <cellStyle name="Saída 4 2 2 3 2 6" xfId="21405"/>
    <cellStyle name="Saída 4 2 2 3 2 6 2" xfId="50584"/>
    <cellStyle name="Saída 4 2 2 3 2 7" xfId="31179"/>
    <cellStyle name="Saída 4 2 2 3 3" xfId="2896"/>
    <cellStyle name="Saída 4 2 2 3 3 2" xfId="6010"/>
    <cellStyle name="Saída 4 2 2 3 3 2 2" xfId="14856"/>
    <cellStyle name="Saída 4 2 2 3 3 2 2 2" xfId="27633"/>
    <cellStyle name="Saída 4 2 2 3 3 2 2 2 2" xfId="56812"/>
    <cellStyle name="Saída 4 2 2 3 3 2 2 3" xfId="44037"/>
    <cellStyle name="Saída 4 2 2 3 3 2 3" xfId="23205"/>
    <cellStyle name="Saída 4 2 2 3 3 2 3 2" xfId="52384"/>
    <cellStyle name="Saída 4 2 2 3 3 2 4" xfId="35193"/>
    <cellStyle name="Saída 4 2 2 3 3 3" xfId="9009"/>
    <cellStyle name="Saída 4 2 2 3 3 3 2" xfId="17060"/>
    <cellStyle name="Saída 4 2 2 3 3 3 2 2" xfId="28955"/>
    <cellStyle name="Saída 4 2 2 3 3 3 2 2 2" xfId="58134"/>
    <cellStyle name="Saída 4 2 2 3 3 3 2 3" xfId="46241"/>
    <cellStyle name="Saída 4 2 2 3 3 3 3" xfId="24527"/>
    <cellStyle name="Saída 4 2 2 3 3 3 3 2" xfId="53706"/>
    <cellStyle name="Saída 4 2 2 3 3 3 4" xfId="38192"/>
    <cellStyle name="Saída 4 2 2 3 3 4" xfId="12513"/>
    <cellStyle name="Saída 4 2 2 3 3 4 2" xfId="26193"/>
    <cellStyle name="Saída 4 2 2 3 3 4 2 2" xfId="55372"/>
    <cellStyle name="Saída 4 2 2 3 3 4 3" xfId="41694"/>
    <cellStyle name="Saída 4 2 2 3 3 5" xfId="21765"/>
    <cellStyle name="Saída 4 2 2 3 3 5 2" xfId="50944"/>
    <cellStyle name="Saída 4 2 2 3 3 6" xfId="32079"/>
    <cellStyle name="Saída 4 2 2 3 4" xfId="4570"/>
    <cellStyle name="Saída 4 2 2 3 4 2" xfId="13736"/>
    <cellStyle name="Saída 4 2 2 3 4 2 2" xfId="26913"/>
    <cellStyle name="Saída 4 2 2 3 4 2 2 2" xfId="56092"/>
    <cellStyle name="Saída 4 2 2 3 4 2 3" xfId="42917"/>
    <cellStyle name="Saída 4 2 2 3 4 3" xfId="22485"/>
    <cellStyle name="Saída 4 2 2 3 4 3 2" xfId="51664"/>
    <cellStyle name="Saída 4 2 2 3 4 4" xfId="33753"/>
    <cellStyle name="Saída 4 2 2 3 5" xfId="8991"/>
    <cellStyle name="Saída 4 2 2 3 5 2" xfId="17045"/>
    <cellStyle name="Saída 4 2 2 3 5 2 2" xfId="28946"/>
    <cellStyle name="Saída 4 2 2 3 5 2 2 2" xfId="58125"/>
    <cellStyle name="Saída 4 2 2 3 5 2 3" xfId="46226"/>
    <cellStyle name="Saída 4 2 2 3 5 3" xfId="24518"/>
    <cellStyle name="Saída 4 2 2 3 5 3 2" xfId="53697"/>
    <cellStyle name="Saída 4 2 2 3 5 4" xfId="38174"/>
    <cellStyle name="Saída 4 2 2 3 6" xfId="11241"/>
    <cellStyle name="Saída 4 2 2 3 6 2" xfId="25470"/>
    <cellStyle name="Saída 4 2 2 3 6 2 2" xfId="54649"/>
    <cellStyle name="Saída 4 2 2 3 6 3" xfId="40422"/>
    <cellStyle name="Saída 4 2 2 3 7" xfId="21042"/>
    <cellStyle name="Saída 4 2 2 3 7 2" xfId="50221"/>
    <cellStyle name="Saída 4 2 2 3 8" xfId="30276"/>
    <cellStyle name="Saída 4 2 2 4" xfId="1236"/>
    <cellStyle name="Saída 4 2 2 4 2" xfId="2140"/>
    <cellStyle name="Saída 4 2 2 4 2 2" xfId="3940"/>
    <cellStyle name="Saída 4 2 2 4 2 2 2" xfId="6847"/>
    <cellStyle name="Saída 4 2 2 4 2 2 2 2" xfId="15506"/>
    <cellStyle name="Saída 4 2 2 4 2 2 2 2 2" xfId="28056"/>
    <cellStyle name="Saída 4 2 2 4 2 2 2 2 2 2" xfId="57235"/>
    <cellStyle name="Saída 4 2 2 4 2 2 2 2 3" xfId="44687"/>
    <cellStyle name="Saída 4 2 2 4 2 2 2 3" xfId="23628"/>
    <cellStyle name="Saída 4 2 2 4 2 2 2 3 2" xfId="52807"/>
    <cellStyle name="Saída 4 2 2 4 2 2 2 4" xfId="36030"/>
    <cellStyle name="Saída 4 2 2 4 2 2 3" xfId="7140"/>
    <cellStyle name="Saída 4 2 2 4 2 2 3 2" xfId="15730"/>
    <cellStyle name="Saída 4 2 2 4 2 2 3 2 2" xfId="28212"/>
    <cellStyle name="Saída 4 2 2 4 2 2 3 2 2 2" xfId="57391"/>
    <cellStyle name="Saída 4 2 2 4 2 2 3 2 3" xfId="44911"/>
    <cellStyle name="Saída 4 2 2 4 2 2 3 3" xfId="23784"/>
    <cellStyle name="Saída 4 2 2 4 2 2 3 3 2" xfId="52963"/>
    <cellStyle name="Saída 4 2 2 4 2 2 3 4" xfId="36323"/>
    <cellStyle name="Saída 4 2 2 4 2 2 4" xfId="13251"/>
    <cellStyle name="Saída 4 2 2 4 2 2 4 2" xfId="26616"/>
    <cellStyle name="Saída 4 2 2 4 2 2 4 2 2" xfId="55795"/>
    <cellStyle name="Saída 4 2 2 4 2 2 4 3" xfId="42432"/>
    <cellStyle name="Saída 4 2 2 4 2 2 5" xfId="22188"/>
    <cellStyle name="Saída 4 2 2 4 2 2 5 2" xfId="51367"/>
    <cellStyle name="Saída 4 2 2 4 2 2 6" xfId="33123"/>
    <cellStyle name="Saída 4 2 2 4 2 3" xfId="5407"/>
    <cellStyle name="Saída 4 2 2 4 2 3 2" xfId="14384"/>
    <cellStyle name="Saída 4 2 2 4 2 3 2 2" xfId="27336"/>
    <cellStyle name="Saída 4 2 2 4 2 3 2 2 2" xfId="56515"/>
    <cellStyle name="Saída 4 2 2 4 2 3 2 3" xfId="43565"/>
    <cellStyle name="Saída 4 2 2 4 2 3 3" xfId="22908"/>
    <cellStyle name="Saída 4 2 2 4 2 3 3 2" xfId="52087"/>
    <cellStyle name="Saída 4 2 2 4 2 3 4" xfId="34590"/>
    <cellStyle name="Saída 4 2 2 4 2 4" xfId="9626"/>
    <cellStyle name="Saída 4 2 2 4 2 4 2" xfId="17487"/>
    <cellStyle name="Saída 4 2 2 4 2 4 2 2" xfId="29200"/>
    <cellStyle name="Saída 4 2 2 4 2 4 2 2 2" xfId="58379"/>
    <cellStyle name="Saída 4 2 2 4 2 4 2 3" xfId="46668"/>
    <cellStyle name="Saída 4 2 2 4 2 4 3" xfId="24772"/>
    <cellStyle name="Saída 4 2 2 4 2 4 3 2" xfId="53951"/>
    <cellStyle name="Saída 4 2 2 4 2 4 4" xfId="38809"/>
    <cellStyle name="Saída 4 2 2 4 2 5" xfId="11976"/>
    <cellStyle name="Saída 4 2 2 4 2 5 2" xfId="25896"/>
    <cellStyle name="Saída 4 2 2 4 2 5 2 2" xfId="55075"/>
    <cellStyle name="Saída 4 2 2 4 2 5 3" xfId="41157"/>
    <cellStyle name="Saída 4 2 2 4 2 6" xfId="21468"/>
    <cellStyle name="Saída 4 2 2 4 2 6 2" xfId="50647"/>
    <cellStyle name="Saída 4 2 2 4 2 7" xfId="31323"/>
    <cellStyle name="Saída 4 2 2 4 3" xfId="3040"/>
    <cellStyle name="Saída 4 2 2 4 3 2" xfId="6127"/>
    <cellStyle name="Saída 4 2 2 4 3 2 2" xfId="14945"/>
    <cellStyle name="Saída 4 2 2 4 3 2 2 2" xfId="27696"/>
    <cellStyle name="Saída 4 2 2 4 3 2 2 2 2" xfId="56875"/>
    <cellStyle name="Saída 4 2 2 4 3 2 2 3" xfId="44126"/>
    <cellStyle name="Saída 4 2 2 4 3 2 3" xfId="23268"/>
    <cellStyle name="Saída 4 2 2 4 3 2 3 2" xfId="52447"/>
    <cellStyle name="Saída 4 2 2 4 3 2 4" xfId="35310"/>
    <cellStyle name="Saída 4 2 2 4 3 3" xfId="8195"/>
    <cellStyle name="Saída 4 2 2 4 3 3 2" xfId="16462"/>
    <cellStyle name="Saída 4 2 2 4 3 3 2 2" xfId="28631"/>
    <cellStyle name="Saída 4 2 2 4 3 3 2 2 2" xfId="57810"/>
    <cellStyle name="Saída 4 2 2 4 3 3 2 3" xfId="45643"/>
    <cellStyle name="Saída 4 2 2 4 3 3 3" xfId="24203"/>
    <cellStyle name="Saída 4 2 2 4 3 3 3 2" xfId="53382"/>
    <cellStyle name="Saída 4 2 2 4 3 3 4" xfId="37378"/>
    <cellStyle name="Saída 4 2 2 4 3 4" xfId="12612"/>
    <cellStyle name="Saída 4 2 2 4 3 4 2" xfId="26256"/>
    <cellStyle name="Saída 4 2 2 4 3 4 2 2" xfId="55435"/>
    <cellStyle name="Saída 4 2 2 4 3 4 3" xfId="41793"/>
    <cellStyle name="Saída 4 2 2 4 3 5" xfId="21828"/>
    <cellStyle name="Saída 4 2 2 4 3 5 2" xfId="51007"/>
    <cellStyle name="Saída 4 2 2 4 3 6" xfId="32223"/>
    <cellStyle name="Saída 4 2 2 4 4" xfId="4687"/>
    <cellStyle name="Saída 4 2 2 4 4 2" xfId="13825"/>
    <cellStyle name="Saída 4 2 2 4 4 2 2" xfId="26976"/>
    <cellStyle name="Saída 4 2 2 4 4 2 2 2" xfId="56155"/>
    <cellStyle name="Saída 4 2 2 4 4 2 3" xfId="43006"/>
    <cellStyle name="Saída 4 2 2 4 4 3" xfId="22548"/>
    <cellStyle name="Saída 4 2 2 4 4 3 2" xfId="51727"/>
    <cellStyle name="Saída 4 2 2 4 4 4" xfId="33870"/>
    <cellStyle name="Saída 4 2 2 4 5" xfId="7893"/>
    <cellStyle name="Saída 4 2 2 4 5 2" xfId="16245"/>
    <cellStyle name="Saída 4 2 2 4 5 2 2" xfId="28513"/>
    <cellStyle name="Saída 4 2 2 4 5 2 2 2" xfId="57692"/>
    <cellStyle name="Saída 4 2 2 4 5 2 3" xfId="45426"/>
    <cellStyle name="Saída 4 2 2 4 5 3" xfId="24085"/>
    <cellStyle name="Saída 4 2 2 4 5 3 2" xfId="53264"/>
    <cellStyle name="Saída 4 2 2 4 5 4" xfId="37076"/>
    <cellStyle name="Saída 4 2 2 4 6" xfId="11346"/>
    <cellStyle name="Saída 4 2 2 4 6 2" xfId="25536"/>
    <cellStyle name="Saída 4 2 2 4 6 2 2" xfId="54715"/>
    <cellStyle name="Saída 4 2 2 4 6 3" xfId="40527"/>
    <cellStyle name="Saída 4 2 2 4 7" xfId="21108"/>
    <cellStyle name="Saída 4 2 2 4 7 2" xfId="50287"/>
    <cellStyle name="Saída 4 2 2 4 8" xfId="30423"/>
    <cellStyle name="Saída 4 2 2 5" xfId="1382"/>
    <cellStyle name="Saída 4 2 2 5 2" xfId="2284"/>
    <cellStyle name="Saída 4 2 2 5 2 2" xfId="4084"/>
    <cellStyle name="Saída 4 2 2 5 2 2 2" xfId="6964"/>
    <cellStyle name="Saída 4 2 2 5 2 2 2 2" xfId="15596"/>
    <cellStyle name="Saída 4 2 2 5 2 2 2 2 2" xfId="28119"/>
    <cellStyle name="Saída 4 2 2 5 2 2 2 2 2 2" xfId="57298"/>
    <cellStyle name="Saída 4 2 2 5 2 2 2 2 3" xfId="44777"/>
    <cellStyle name="Saída 4 2 2 5 2 2 2 3" xfId="23691"/>
    <cellStyle name="Saída 4 2 2 5 2 2 2 3 2" xfId="52870"/>
    <cellStyle name="Saída 4 2 2 5 2 2 2 4" xfId="36147"/>
    <cellStyle name="Saída 4 2 2 5 2 2 3" xfId="6996"/>
    <cellStyle name="Saída 4 2 2 5 2 2 3 2" xfId="15626"/>
    <cellStyle name="Saída 4 2 2 5 2 2 3 2 2" xfId="28149"/>
    <cellStyle name="Saída 4 2 2 5 2 2 3 2 2 2" xfId="57328"/>
    <cellStyle name="Saída 4 2 2 5 2 2 3 2 3" xfId="44807"/>
    <cellStyle name="Saída 4 2 2 5 2 2 3 3" xfId="23721"/>
    <cellStyle name="Saída 4 2 2 5 2 2 3 3 2" xfId="52900"/>
    <cellStyle name="Saída 4 2 2 5 2 2 3 4" xfId="36179"/>
    <cellStyle name="Saída 4 2 2 5 2 2 4" xfId="13356"/>
    <cellStyle name="Saída 4 2 2 5 2 2 4 2" xfId="26679"/>
    <cellStyle name="Saída 4 2 2 5 2 2 4 2 2" xfId="55858"/>
    <cellStyle name="Saída 4 2 2 5 2 2 4 3" xfId="42537"/>
    <cellStyle name="Saída 4 2 2 5 2 2 5" xfId="22251"/>
    <cellStyle name="Saída 4 2 2 5 2 2 5 2" xfId="51430"/>
    <cellStyle name="Saída 4 2 2 5 2 2 6" xfId="33267"/>
    <cellStyle name="Saída 4 2 2 5 2 3" xfId="5524"/>
    <cellStyle name="Saída 4 2 2 5 2 3 2" xfId="14477"/>
    <cellStyle name="Saída 4 2 2 5 2 3 2 2" xfId="27399"/>
    <cellStyle name="Saída 4 2 2 5 2 3 2 2 2" xfId="56578"/>
    <cellStyle name="Saída 4 2 2 5 2 3 2 3" xfId="43658"/>
    <cellStyle name="Saída 4 2 2 5 2 3 3" xfId="22971"/>
    <cellStyle name="Saída 4 2 2 5 2 3 3 2" xfId="52150"/>
    <cellStyle name="Saída 4 2 2 5 2 3 4" xfId="34707"/>
    <cellStyle name="Saída 4 2 2 5 2 4" xfId="7292"/>
    <cellStyle name="Saída 4 2 2 5 2 4 2" xfId="15835"/>
    <cellStyle name="Saída 4 2 2 5 2 4 2 2" xfId="28277"/>
    <cellStyle name="Saída 4 2 2 5 2 4 2 2 2" xfId="57456"/>
    <cellStyle name="Saída 4 2 2 5 2 4 2 3" xfId="45016"/>
    <cellStyle name="Saída 4 2 2 5 2 4 3" xfId="23849"/>
    <cellStyle name="Saída 4 2 2 5 2 4 3 2" xfId="53028"/>
    <cellStyle name="Saída 4 2 2 5 2 4 4" xfId="36475"/>
    <cellStyle name="Saída 4 2 2 5 2 5" xfId="12077"/>
    <cellStyle name="Saída 4 2 2 5 2 5 2" xfId="25959"/>
    <cellStyle name="Saída 4 2 2 5 2 5 2 2" xfId="55138"/>
    <cellStyle name="Saída 4 2 2 5 2 5 3" xfId="41258"/>
    <cellStyle name="Saída 4 2 2 5 2 6" xfId="21531"/>
    <cellStyle name="Saída 4 2 2 5 2 6 2" xfId="50710"/>
    <cellStyle name="Saída 4 2 2 5 2 7" xfId="31467"/>
    <cellStyle name="Saída 4 2 2 5 3" xfId="3184"/>
    <cellStyle name="Saída 4 2 2 5 3 2" xfId="6244"/>
    <cellStyle name="Saída 4 2 2 5 3 2 2" xfId="15037"/>
    <cellStyle name="Saída 4 2 2 5 3 2 2 2" xfId="27759"/>
    <cellStyle name="Saída 4 2 2 5 3 2 2 2 2" xfId="56938"/>
    <cellStyle name="Saída 4 2 2 5 3 2 2 3" xfId="44218"/>
    <cellStyle name="Saída 4 2 2 5 3 2 3" xfId="23331"/>
    <cellStyle name="Saída 4 2 2 5 3 2 3 2" xfId="52510"/>
    <cellStyle name="Saída 4 2 2 5 3 2 4" xfId="35427"/>
    <cellStyle name="Saída 4 2 2 5 3 3" xfId="7185"/>
    <cellStyle name="Saída 4 2 2 5 3 3 2" xfId="15761"/>
    <cellStyle name="Saída 4 2 2 5 3 3 2 2" xfId="28233"/>
    <cellStyle name="Saída 4 2 2 5 3 3 2 2 2" xfId="57412"/>
    <cellStyle name="Saída 4 2 2 5 3 3 2 3" xfId="44942"/>
    <cellStyle name="Saída 4 2 2 5 3 3 3" xfId="23805"/>
    <cellStyle name="Saída 4 2 2 5 3 3 3 2" xfId="52984"/>
    <cellStyle name="Saída 4 2 2 5 3 3 4" xfId="36368"/>
    <cellStyle name="Saída 4 2 2 5 3 4" xfId="12718"/>
    <cellStyle name="Saída 4 2 2 5 3 4 2" xfId="26319"/>
    <cellStyle name="Saída 4 2 2 5 3 4 2 2" xfId="55498"/>
    <cellStyle name="Saída 4 2 2 5 3 4 3" xfId="41899"/>
    <cellStyle name="Saída 4 2 2 5 3 5" xfId="21891"/>
    <cellStyle name="Saída 4 2 2 5 3 5 2" xfId="51070"/>
    <cellStyle name="Saída 4 2 2 5 3 6" xfId="32367"/>
    <cellStyle name="Saída 4 2 2 5 4" xfId="4804"/>
    <cellStyle name="Saída 4 2 2 5 4 2" xfId="13913"/>
    <cellStyle name="Saída 4 2 2 5 4 2 2" xfId="27039"/>
    <cellStyle name="Saída 4 2 2 5 4 2 2 2" xfId="56218"/>
    <cellStyle name="Saída 4 2 2 5 4 2 3" xfId="43094"/>
    <cellStyle name="Saída 4 2 2 5 4 3" xfId="22611"/>
    <cellStyle name="Saída 4 2 2 5 4 3 2" xfId="51790"/>
    <cellStyle name="Saída 4 2 2 5 4 4" xfId="33987"/>
    <cellStyle name="Saída 4 2 2 5 5" xfId="9064"/>
    <cellStyle name="Saída 4 2 2 5 5 2" xfId="17100"/>
    <cellStyle name="Saída 4 2 2 5 5 2 2" xfId="28980"/>
    <cellStyle name="Saída 4 2 2 5 5 2 2 2" xfId="58159"/>
    <cellStyle name="Saída 4 2 2 5 5 2 3" xfId="46281"/>
    <cellStyle name="Saída 4 2 2 5 5 3" xfId="24552"/>
    <cellStyle name="Saída 4 2 2 5 5 3 2" xfId="53731"/>
    <cellStyle name="Saída 4 2 2 5 5 4" xfId="38247"/>
    <cellStyle name="Saída 4 2 2 5 6" xfId="11446"/>
    <cellStyle name="Saída 4 2 2 5 6 2" xfId="25599"/>
    <cellStyle name="Saída 4 2 2 5 6 2 2" xfId="54778"/>
    <cellStyle name="Saída 4 2 2 5 6 3" xfId="40627"/>
    <cellStyle name="Saída 4 2 2 5 7" xfId="21171"/>
    <cellStyle name="Saída 4 2 2 5 7 2" xfId="50350"/>
    <cellStyle name="Saída 4 2 2 5 8" xfId="30567"/>
    <cellStyle name="Saída 4 2 2 6" xfId="1564"/>
    <cellStyle name="Saída 4 2 2 6 2" xfId="3364"/>
    <cellStyle name="Saída 4 2 2 6 2 2" xfId="6388"/>
    <cellStyle name="Saída 4 2 2 6 2 2 2" xfId="15143"/>
    <cellStyle name="Saída 4 2 2 6 2 2 2 2" xfId="27831"/>
    <cellStyle name="Saída 4 2 2 6 2 2 2 2 2" xfId="57010"/>
    <cellStyle name="Saída 4 2 2 6 2 2 2 3" xfId="44324"/>
    <cellStyle name="Saída 4 2 2 6 2 2 3" xfId="23403"/>
    <cellStyle name="Saída 4 2 2 6 2 2 3 2" xfId="52582"/>
    <cellStyle name="Saída 4 2 2 6 2 2 4" xfId="35571"/>
    <cellStyle name="Saída 4 2 2 6 2 3" xfId="7780"/>
    <cellStyle name="Saída 4 2 2 6 2 3 2" xfId="16170"/>
    <cellStyle name="Saída 4 2 2 6 2 3 2 2" xfId="28468"/>
    <cellStyle name="Saída 4 2 2 6 2 3 2 2 2" xfId="57647"/>
    <cellStyle name="Saída 4 2 2 6 2 3 2 3" xfId="45351"/>
    <cellStyle name="Saída 4 2 2 6 2 3 3" xfId="24040"/>
    <cellStyle name="Saída 4 2 2 6 2 3 3 2" xfId="53219"/>
    <cellStyle name="Saída 4 2 2 6 2 3 4" xfId="36963"/>
    <cellStyle name="Saída 4 2 2 6 2 4" xfId="12840"/>
    <cellStyle name="Saída 4 2 2 6 2 4 2" xfId="26391"/>
    <cellStyle name="Saída 4 2 2 6 2 4 2 2" xfId="55570"/>
    <cellStyle name="Saída 4 2 2 6 2 4 3" xfId="42021"/>
    <cellStyle name="Saída 4 2 2 6 2 5" xfId="21963"/>
    <cellStyle name="Saída 4 2 2 6 2 5 2" xfId="51142"/>
    <cellStyle name="Saída 4 2 2 6 2 6" xfId="32547"/>
    <cellStyle name="Saída 4 2 2 6 3" xfId="4948"/>
    <cellStyle name="Saída 4 2 2 6 3 2" xfId="14022"/>
    <cellStyle name="Saída 4 2 2 6 3 2 2" xfId="27111"/>
    <cellStyle name="Saída 4 2 2 6 3 2 2 2" xfId="56290"/>
    <cellStyle name="Saída 4 2 2 6 3 2 3" xfId="43203"/>
    <cellStyle name="Saída 4 2 2 6 3 3" xfId="22683"/>
    <cellStyle name="Saída 4 2 2 6 3 3 2" xfId="51862"/>
    <cellStyle name="Saída 4 2 2 6 3 4" xfId="34131"/>
    <cellStyle name="Saída 4 2 2 6 4" xfId="8014"/>
    <cellStyle name="Saída 4 2 2 6 4 2" xfId="16336"/>
    <cellStyle name="Saída 4 2 2 6 4 2 2" xfId="28560"/>
    <cellStyle name="Saída 4 2 2 6 4 2 2 2" xfId="57739"/>
    <cellStyle name="Saída 4 2 2 6 4 2 3" xfId="45517"/>
    <cellStyle name="Saída 4 2 2 6 4 3" xfId="24132"/>
    <cellStyle name="Saída 4 2 2 6 4 3 2" xfId="53311"/>
    <cellStyle name="Saída 4 2 2 6 4 4" xfId="37197"/>
    <cellStyle name="Saída 4 2 2 6 5" xfId="11569"/>
    <cellStyle name="Saída 4 2 2 6 5 2" xfId="25671"/>
    <cellStyle name="Saída 4 2 2 6 5 2 2" xfId="54850"/>
    <cellStyle name="Saída 4 2 2 6 5 3" xfId="40750"/>
    <cellStyle name="Saída 4 2 2 6 6" xfId="21243"/>
    <cellStyle name="Saída 4 2 2 6 6 2" xfId="50422"/>
    <cellStyle name="Saída 4 2 2 6 7" xfId="30747"/>
    <cellStyle name="Saída 4 2 2 7" xfId="2464"/>
    <cellStyle name="Saída 4 2 2 7 2" xfId="5668"/>
    <cellStyle name="Saída 4 2 2 7 2 2" xfId="14590"/>
    <cellStyle name="Saída 4 2 2 7 2 2 2" xfId="27471"/>
    <cellStyle name="Saída 4 2 2 7 2 2 2 2" xfId="56650"/>
    <cellStyle name="Saída 4 2 2 7 2 2 3" xfId="43771"/>
    <cellStyle name="Saída 4 2 2 7 2 3" xfId="23043"/>
    <cellStyle name="Saída 4 2 2 7 2 3 2" xfId="52222"/>
    <cellStyle name="Saída 4 2 2 7 2 4" xfId="34851"/>
    <cellStyle name="Saída 4 2 2 7 3" xfId="8779"/>
    <cellStyle name="Saída 4 2 2 7 3 2" xfId="16884"/>
    <cellStyle name="Saída 4 2 2 7 3 2 2" xfId="28860"/>
    <cellStyle name="Saída 4 2 2 7 3 2 2 2" xfId="58039"/>
    <cellStyle name="Saída 4 2 2 7 3 2 3" xfId="46065"/>
    <cellStyle name="Saída 4 2 2 7 3 3" xfId="24432"/>
    <cellStyle name="Saída 4 2 2 7 3 3 2" xfId="53611"/>
    <cellStyle name="Saída 4 2 2 7 3 4" xfId="37962"/>
    <cellStyle name="Saída 4 2 2 7 4" xfId="12206"/>
    <cellStyle name="Saída 4 2 2 7 4 2" xfId="26031"/>
    <cellStyle name="Saída 4 2 2 7 4 2 2" xfId="55210"/>
    <cellStyle name="Saída 4 2 2 7 4 3" xfId="41387"/>
    <cellStyle name="Saída 4 2 2 7 5" xfId="21603"/>
    <cellStyle name="Saída 4 2 2 7 5 2" xfId="50782"/>
    <cellStyle name="Saída 4 2 2 7 6" xfId="31647"/>
    <cellStyle name="Saída 4 2 2 8" xfId="4228"/>
    <cellStyle name="Saída 4 2 2 8 2" xfId="13471"/>
    <cellStyle name="Saída 4 2 2 8 2 2" xfId="26751"/>
    <cellStyle name="Saída 4 2 2 8 2 2 2" xfId="55930"/>
    <cellStyle name="Saída 4 2 2 8 2 3" xfId="42652"/>
    <cellStyle name="Saída 4 2 2 8 3" xfId="22323"/>
    <cellStyle name="Saída 4 2 2 8 3 2" xfId="51502"/>
    <cellStyle name="Saída 4 2 2 8 4" xfId="33411"/>
    <cellStyle name="Saída 4 2 2 9" xfId="9763"/>
    <cellStyle name="Saída 4 2 2 9 2" xfId="17593"/>
    <cellStyle name="Saída 4 2 2 9 2 2" xfId="29254"/>
    <cellStyle name="Saída 4 2 2 9 2 2 2" xfId="58433"/>
    <cellStyle name="Saída 4 2 2 9 2 3" xfId="46774"/>
    <cellStyle name="Saída 4 2 2 9 3" xfId="24826"/>
    <cellStyle name="Saída 4 2 2 9 3 2" xfId="54005"/>
    <cellStyle name="Saída 4 2 2 9 4" xfId="38946"/>
    <cellStyle name="Saída 4 2 3" xfId="804"/>
    <cellStyle name="Saída 4 2 3 2" xfId="1742"/>
    <cellStyle name="Saída 4 2 3 2 2" xfId="3542"/>
    <cellStyle name="Saída 4 2 3 2 2 2" xfId="6530"/>
    <cellStyle name="Saída 4 2 3 2 2 2 2" xfId="15259"/>
    <cellStyle name="Saída 4 2 3 2 2 2 2 2" xfId="27883"/>
    <cellStyle name="Saída 4 2 3 2 2 2 2 2 2" xfId="57062"/>
    <cellStyle name="Saída 4 2 3 2 2 2 2 3" xfId="44440"/>
    <cellStyle name="Saída 4 2 3 2 2 2 3" xfId="23455"/>
    <cellStyle name="Saída 4 2 3 2 2 2 3 2" xfId="52634"/>
    <cellStyle name="Saída 4 2 3 2 2 2 4" xfId="35713"/>
    <cellStyle name="Saída 4 2 3 2 2 3" xfId="7563"/>
    <cellStyle name="Saída 4 2 3 2 2 3 2" xfId="16022"/>
    <cellStyle name="Saída 4 2 3 2 2 3 2 2" xfId="28388"/>
    <cellStyle name="Saída 4 2 3 2 2 3 2 2 2" xfId="57567"/>
    <cellStyle name="Saída 4 2 3 2 2 3 2 3" xfId="45203"/>
    <cellStyle name="Saída 4 2 3 2 2 3 3" xfId="23960"/>
    <cellStyle name="Saída 4 2 3 2 2 3 3 2" xfId="53139"/>
    <cellStyle name="Saída 4 2 3 2 2 3 4" xfId="36746"/>
    <cellStyle name="Saída 4 2 3 2 2 4" xfId="12970"/>
    <cellStyle name="Saída 4 2 3 2 2 4 2" xfId="26443"/>
    <cellStyle name="Saída 4 2 3 2 2 4 2 2" xfId="55622"/>
    <cellStyle name="Saída 4 2 3 2 2 4 3" xfId="42151"/>
    <cellStyle name="Saída 4 2 3 2 2 5" xfId="22015"/>
    <cellStyle name="Saída 4 2 3 2 2 5 2" xfId="51194"/>
    <cellStyle name="Saída 4 2 3 2 2 6" xfId="32725"/>
    <cellStyle name="Saída 4 2 3 2 3" xfId="5090"/>
    <cellStyle name="Saída 4 2 3 2 3 2" xfId="14135"/>
    <cellStyle name="Saída 4 2 3 2 3 2 2" xfId="27163"/>
    <cellStyle name="Saída 4 2 3 2 3 2 2 2" xfId="56342"/>
    <cellStyle name="Saída 4 2 3 2 3 2 3" xfId="43316"/>
    <cellStyle name="Saída 4 2 3 2 3 3" xfId="22735"/>
    <cellStyle name="Saída 4 2 3 2 3 3 2" xfId="51914"/>
    <cellStyle name="Saída 4 2 3 2 3 4" xfId="34273"/>
    <cellStyle name="Saída 4 2 3 2 4" xfId="8863"/>
    <cellStyle name="Saída 4 2 3 2 4 2" xfId="16951"/>
    <cellStyle name="Saída 4 2 3 2 4 2 2" xfId="28898"/>
    <cellStyle name="Saída 4 2 3 2 4 2 2 2" xfId="58077"/>
    <cellStyle name="Saída 4 2 3 2 4 2 3" xfId="46132"/>
    <cellStyle name="Saída 4 2 3 2 4 3" xfId="24470"/>
    <cellStyle name="Saída 4 2 3 2 4 3 2" xfId="53649"/>
    <cellStyle name="Saída 4 2 3 2 4 4" xfId="38046"/>
    <cellStyle name="Saída 4 2 3 2 5" xfId="11696"/>
    <cellStyle name="Saída 4 2 3 2 5 2" xfId="25723"/>
    <cellStyle name="Saída 4 2 3 2 5 2 2" xfId="54902"/>
    <cellStyle name="Saída 4 2 3 2 5 3" xfId="40877"/>
    <cellStyle name="Saída 4 2 3 2 6" xfId="21295"/>
    <cellStyle name="Saída 4 2 3 2 6 2" xfId="50474"/>
    <cellStyle name="Saída 4 2 3 2 7" xfId="30925"/>
    <cellStyle name="Saída 4 2 3 3" xfId="2642"/>
    <cellStyle name="Saída 4 2 3 3 2" xfId="5810"/>
    <cellStyle name="Saída 4 2 3 3 2 2" xfId="14700"/>
    <cellStyle name="Saída 4 2 3 3 2 2 2" xfId="27523"/>
    <cellStyle name="Saída 4 2 3 3 2 2 2 2" xfId="56702"/>
    <cellStyle name="Saída 4 2 3 3 2 2 3" xfId="43881"/>
    <cellStyle name="Saída 4 2 3 3 2 3" xfId="23095"/>
    <cellStyle name="Saída 4 2 3 3 2 3 2" xfId="52274"/>
    <cellStyle name="Saída 4 2 3 3 2 4" xfId="34993"/>
    <cellStyle name="Saída 4 2 3 3 3" xfId="10390"/>
    <cellStyle name="Saída 4 2 3 3 3 2" xfId="18029"/>
    <cellStyle name="Saída 4 2 3 3 3 2 2" xfId="29501"/>
    <cellStyle name="Saída 4 2 3 3 3 2 2 2" xfId="58680"/>
    <cellStyle name="Saída 4 2 3 3 3 2 3" xfId="47210"/>
    <cellStyle name="Saída 4 2 3 3 3 3" xfId="25073"/>
    <cellStyle name="Saída 4 2 3 3 3 3 2" xfId="54252"/>
    <cellStyle name="Saída 4 2 3 3 3 4" xfId="39573"/>
    <cellStyle name="Saída 4 2 3 3 4" xfId="12332"/>
    <cellStyle name="Saída 4 2 3 3 4 2" xfId="26083"/>
    <cellStyle name="Saída 4 2 3 3 4 2 2" xfId="55262"/>
    <cellStyle name="Saída 4 2 3 3 4 3" xfId="41513"/>
    <cellStyle name="Saída 4 2 3 3 5" xfId="21655"/>
    <cellStyle name="Saída 4 2 3 3 5 2" xfId="50834"/>
    <cellStyle name="Saída 4 2 3 3 6" xfId="31825"/>
    <cellStyle name="Saída 4 2 3 4" xfId="4370"/>
    <cellStyle name="Saída 4 2 3 4 2" xfId="13576"/>
    <cellStyle name="Saída 4 2 3 4 2 2" xfId="26803"/>
    <cellStyle name="Saída 4 2 3 4 2 2 2" xfId="55982"/>
    <cellStyle name="Saída 4 2 3 4 2 3" xfId="42757"/>
    <cellStyle name="Saída 4 2 3 4 3" xfId="22375"/>
    <cellStyle name="Saída 4 2 3 4 3 2" xfId="51554"/>
    <cellStyle name="Saída 4 2 3 4 4" xfId="33553"/>
    <cellStyle name="Saída 4 2 3 5" xfId="8337"/>
    <cellStyle name="Saída 4 2 3 5 2" xfId="16569"/>
    <cellStyle name="Saída 4 2 3 5 2 2" xfId="28688"/>
    <cellStyle name="Saída 4 2 3 5 2 2 2" xfId="57867"/>
    <cellStyle name="Saída 4 2 3 5 2 3" xfId="45750"/>
    <cellStyle name="Saída 4 2 3 5 3" xfId="24260"/>
    <cellStyle name="Saída 4 2 3 5 3 2" xfId="53439"/>
    <cellStyle name="Saída 4 2 3 5 4" xfId="37520"/>
    <cellStyle name="Saída 4 2 3 6" xfId="11035"/>
    <cellStyle name="Saída 4 2 3 6 2" xfId="25339"/>
    <cellStyle name="Saída 4 2 3 6 2 2" xfId="54518"/>
    <cellStyle name="Saída 4 2 3 6 3" xfId="40216"/>
    <cellStyle name="Saída 4 2 3 7" xfId="20911"/>
    <cellStyle name="Saída 4 2 3 7 2" xfId="50090"/>
    <cellStyle name="Saída 4 2 3 8" xfId="30001"/>
    <cellStyle name="Saída 4 2 4" xfId="996"/>
    <cellStyle name="Saída 4 2 4 2" xfId="1906"/>
    <cellStyle name="Saída 4 2 4 2 2" xfId="3706"/>
    <cellStyle name="Saída 4 2 4 2 2 2" xfId="6658"/>
    <cellStyle name="Saída 4 2 4 2 2 2 2" xfId="15359"/>
    <cellStyle name="Saída 4 2 4 2 2 2 2 2" xfId="27957"/>
    <cellStyle name="Saída 4 2 4 2 2 2 2 2 2" xfId="57136"/>
    <cellStyle name="Saída 4 2 4 2 2 2 2 3" xfId="44540"/>
    <cellStyle name="Saída 4 2 4 2 2 2 3" xfId="23529"/>
    <cellStyle name="Saída 4 2 4 2 2 2 3 2" xfId="52708"/>
    <cellStyle name="Saída 4 2 4 2 2 2 4" xfId="35841"/>
    <cellStyle name="Saída 4 2 4 2 2 3" xfId="7568"/>
    <cellStyle name="Saída 4 2 4 2 2 3 2" xfId="16026"/>
    <cellStyle name="Saída 4 2 4 2 2 3 2 2" xfId="28389"/>
    <cellStyle name="Saída 4 2 4 2 2 3 2 2 2" xfId="57568"/>
    <cellStyle name="Saída 4 2 4 2 2 3 2 3" xfId="45207"/>
    <cellStyle name="Saída 4 2 4 2 2 3 3" xfId="23961"/>
    <cellStyle name="Saída 4 2 4 2 2 3 3 2" xfId="53140"/>
    <cellStyle name="Saída 4 2 4 2 2 3 4" xfId="36751"/>
    <cellStyle name="Saída 4 2 4 2 2 4" xfId="13090"/>
    <cellStyle name="Saída 4 2 4 2 2 4 2" xfId="26517"/>
    <cellStyle name="Saída 4 2 4 2 2 4 2 2" xfId="55696"/>
    <cellStyle name="Saída 4 2 4 2 2 4 3" xfId="42271"/>
    <cellStyle name="Saída 4 2 4 2 2 5" xfId="22089"/>
    <cellStyle name="Saída 4 2 4 2 2 5 2" xfId="51268"/>
    <cellStyle name="Saída 4 2 4 2 2 6" xfId="32889"/>
    <cellStyle name="Saída 4 2 4 2 3" xfId="5218"/>
    <cellStyle name="Saída 4 2 4 2 3 2" xfId="14237"/>
    <cellStyle name="Saída 4 2 4 2 3 2 2" xfId="27237"/>
    <cellStyle name="Saída 4 2 4 2 3 2 2 2" xfId="56416"/>
    <cellStyle name="Saída 4 2 4 2 3 2 3" xfId="43418"/>
    <cellStyle name="Saída 4 2 4 2 3 3" xfId="22809"/>
    <cellStyle name="Saída 4 2 4 2 3 3 2" xfId="51988"/>
    <cellStyle name="Saída 4 2 4 2 3 4" xfId="34401"/>
    <cellStyle name="Saída 4 2 4 2 4" xfId="8744"/>
    <cellStyle name="Saída 4 2 4 2 4 2" xfId="16856"/>
    <cellStyle name="Saída 4 2 4 2 4 2 2" xfId="28848"/>
    <cellStyle name="Saída 4 2 4 2 4 2 2 2" xfId="58027"/>
    <cellStyle name="Saída 4 2 4 2 4 2 3" xfId="46037"/>
    <cellStyle name="Saída 4 2 4 2 4 3" xfId="24420"/>
    <cellStyle name="Saída 4 2 4 2 4 3 2" xfId="53599"/>
    <cellStyle name="Saída 4 2 4 2 4 4" xfId="37927"/>
    <cellStyle name="Saída 4 2 4 2 5" xfId="11814"/>
    <cellStyle name="Saída 4 2 4 2 5 2" xfId="25797"/>
    <cellStyle name="Saída 4 2 4 2 5 2 2" xfId="54976"/>
    <cellStyle name="Saída 4 2 4 2 5 3" xfId="40995"/>
    <cellStyle name="Saída 4 2 4 2 6" xfId="21369"/>
    <cellStyle name="Saída 4 2 4 2 6 2" xfId="50548"/>
    <cellStyle name="Saída 4 2 4 2 7" xfId="31089"/>
    <cellStyle name="Saída 4 2 4 3" xfId="2806"/>
    <cellStyle name="Saída 4 2 4 3 2" xfId="5938"/>
    <cellStyle name="Saída 4 2 4 3 2 2" xfId="14801"/>
    <cellStyle name="Saída 4 2 4 3 2 2 2" xfId="27597"/>
    <cellStyle name="Saída 4 2 4 3 2 2 2 2" xfId="56776"/>
    <cellStyle name="Saída 4 2 4 3 2 2 3" xfId="43982"/>
    <cellStyle name="Saída 4 2 4 3 2 3" xfId="23169"/>
    <cellStyle name="Saída 4 2 4 3 2 3 2" xfId="52348"/>
    <cellStyle name="Saída 4 2 4 3 2 4" xfId="35121"/>
    <cellStyle name="Saída 4 2 4 3 3" xfId="10271"/>
    <cellStyle name="Saída 4 2 4 3 3 2" xfId="17951"/>
    <cellStyle name="Saída 4 2 4 3 3 2 2" xfId="29459"/>
    <cellStyle name="Saída 4 2 4 3 3 2 2 2" xfId="58638"/>
    <cellStyle name="Saída 4 2 4 3 3 2 3" xfId="47132"/>
    <cellStyle name="Saída 4 2 4 3 3 3" xfId="25031"/>
    <cellStyle name="Saída 4 2 4 3 3 3 2" xfId="54210"/>
    <cellStyle name="Saída 4 2 4 3 3 4" xfId="39454"/>
    <cellStyle name="Saída 4 2 4 3 4" xfId="12451"/>
    <cellStyle name="Saída 4 2 4 3 4 2" xfId="26157"/>
    <cellStyle name="Saída 4 2 4 3 4 2 2" xfId="55336"/>
    <cellStyle name="Saída 4 2 4 3 4 3" xfId="41632"/>
    <cellStyle name="Saída 4 2 4 3 5" xfId="21729"/>
    <cellStyle name="Saída 4 2 4 3 5 2" xfId="50908"/>
    <cellStyle name="Saída 4 2 4 3 6" xfId="31989"/>
    <cellStyle name="Saída 4 2 4 4" xfId="4498"/>
    <cellStyle name="Saída 4 2 4 4 2" xfId="13680"/>
    <cellStyle name="Saída 4 2 4 4 2 2" xfId="26877"/>
    <cellStyle name="Saída 4 2 4 4 2 2 2" xfId="56056"/>
    <cellStyle name="Saída 4 2 4 4 2 3" xfId="42861"/>
    <cellStyle name="Saída 4 2 4 4 3" xfId="22449"/>
    <cellStyle name="Saída 4 2 4 4 3 2" xfId="51628"/>
    <cellStyle name="Saída 4 2 4 4 4" xfId="33681"/>
    <cellStyle name="Saída 4 2 4 5" xfId="7896"/>
    <cellStyle name="Saída 4 2 4 5 2" xfId="16248"/>
    <cellStyle name="Saída 4 2 4 5 2 2" xfId="28515"/>
    <cellStyle name="Saída 4 2 4 5 2 2 2" xfId="57694"/>
    <cellStyle name="Saída 4 2 4 5 2 3" xfId="45429"/>
    <cellStyle name="Saída 4 2 4 5 3" xfId="24087"/>
    <cellStyle name="Saída 4 2 4 5 3 2" xfId="53266"/>
    <cellStyle name="Saída 4 2 4 5 4" xfId="37079"/>
    <cellStyle name="Saída 4 2 4 6" xfId="11177"/>
    <cellStyle name="Saída 4 2 4 6 2" xfId="25434"/>
    <cellStyle name="Saída 4 2 4 6 2 2" xfId="54613"/>
    <cellStyle name="Saída 4 2 4 6 3" xfId="40358"/>
    <cellStyle name="Saída 4 2 4 7" xfId="21006"/>
    <cellStyle name="Saída 4 2 4 7 2" xfId="50185"/>
    <cellStyle name="Saída 4 2 4 8" xfId="30186"/>
    <cellStyle name="Saída 4 2 5" xfId="1146"/>
    <cellStyle name="Saída 4 2 5 2" xfId="2050"/>
    <cellStyle name="Saída 4 2 5 2 2" xfId="3850"/>
    <cellStyle name="Saída 4 2 5 2 2 2" xfId="6775"/>
    <cellStyle name="Saída 4 2 5 2 2 2 2" xfId="15451"/>
    <cellStyle name="Saída 4 2 5 2 2 2 2 2" xfId="28020"/>
    <cellStyle name="Saída 4 2 5 2 2 2 2 2 2" xfId="57199"/>
    <cellStyle name="Saída 4 2 5 2 2 2 2 3" xfId="44632"/>
    <cellStyle name="Saída 4 2 5 2 2 2 3" xfId="23592"/>
    <cellStyle name="Saída 4 2 5 2 2 2 3 2" xfId="52771"/>
    <cellStyle name="Saída 4 2 5 2 2 2 4" xfId="35958"/>
    <cellStyle name="Saída 4 2 5 2 2 3" xfId="8226"/>
    <cellStyle name="Saída 4 2 5 2 2 3 2" xfId="16488"/>
    <cellStyle name="Saída 4 2 5 2 2 3 2 2" xfId="28646"/>
    <cellStyle name="Saída 4 2 5 2 2 3 2 2 2" xfId="57825"/>
    <cellStyle name="Saída 4 2 5 2 2 3 2 3" xfId="45669"/>
    <cellStyle name="Saída 4 2 5 2 2 3 3" xfId="24218"/>
    <cellStyle name="Saída 4 2 5 2 2 3 3 2" xfId="53397"/>
    <cellStyle name="Saída 4 2 5 2 2 3 4" xfId="37409"/>
    <cellStyle name="Saída 4 2 5 2 2 4" xfId="13190"/>
    <cellStyle name="Saída 4 2 5 2 2 4 2" xfId="26580"/>
    <cellStyle name="Saída 4 2 5 2 2 4 2 2" xfId="55759"/>
    <cellStyle name="Saída 4 2 5 2 2 4 3" xfId="42371"/>
    <cellStyle name="Saída 4 2 5 2 2 5" xfId="22152"/>
    <cellStyle name="Saída 4 2 5 2 2 5 2" xfId="51331"/>
    <cellStyle name="Saída 4 2 5 2 2 6" xfId="33033"/>
    <cellStyle name="Saída 4 2 5 2 3" xfId="5335"/>
    <cellStyle name="Saída 4 2 5 2 3 2" xfId="14330"/>
    <cellStyle name="Saída 4 2 5 2 3 2 2" xfId="27300"/>
    <cellStyle name="Saída 4 2 5 2 3 2 2 2" xfId="56479"/>
    <cellStyle name="Saída 4 2 5 2 3 2 3" xfId="43511"/>
    <cellStyle name="Saída 4 2 5 2 3 3" xfId="22872"/>
    <cellStyle name="Saída 4 2 5 2 3 3 2" xfId="52051"/>
    <cellStyle name="Saída 4 2 5 2 3 4" xfId="34518"/>
    <cellStyle name="Saída 4 2 5 2 4" xfId="10062"/>
    <cellStyle name="Saída 4 2 5 2 4 2" xfId="17801"/>
    <cellStyle name="Saída 4 2 5 2 4 2 2" xfId="29370"/>
    <cellStyle name="Saída 4 2 5 2 4 2 2 2" xfId="58549"/>
    <cellStyle name="Saída 4 2 5 2 4 2 3" xfId="46982"/>
    <cellStyle name="Saída 4 2 5 2 4 3" xfId="24942"/>
    <cellStyle name="Saída 4 2 5 2 4 3 2" xfId="54121"/>
    <cellStyle name="Saída 4 2 5 2 4 4" xfId="39245"/>
    <cellStyle name="Saída 4 2 5 2 5" xfId="11915"/>
    <cellStyle name="Saída 4 2 5 2 5 2" xfId="25860"/>
    <cellStyle name="Saída 4 2 5 2 5 2 2" xfId="55039"/>
    <cellStyle name="Saída 4 2 5 2 5 3" xfId="41096"/>
    <cellStyle name="Saída 4 2 5 2 6" xfId="21432"/>
    <cellStyle name="Saída 4 2 5 2 6 2" xfId="50611"/>
    <cellStyle name="Saída 4 2 5 2 7" xfId="31233"/>
    <cellStyle name="Saída 4 2 5 3" xfId="2950"/>
    <cellStyle name="Saída 4 2 5 3 2" xfId="6055"/>
    <cellStyle name="Saída 4 2 5 3 2 2" xfId="14892"/>
    <cellStyle name="Saída 4 2 5 3 2 2 2" xfId="27660"/>
    <cellStyle name="Saída 4 2 5 3 2 2 2 2" xfId="56839"/>
    <cellStyle name="Saída 4 2 5 3 2 2 3" xfId="44073"/>
    <cellStyle name="Saída 4 2 5 3 2 3" xfId="23232"/>
    <cellStyle name="Saída 4 2 5 3 2 3 2" xfId="52411"/>
    <cellStyle name="Saída 4 2 5 3 2 4" xfId="35238"/>
    <cellStyle name="Saída 4 2 5 3 3" xfId="9287"/>
    <cellStyle name="Saída 4 2 5 3 3 2" xfId="17256"/>
    <cellStyle name="Saída 4 2 5 3 3 2 2" xfId="29064"/>
    <cellStyle name="Saída 4 2 5 3 3 2 2 2" xfId="58243"/>
    <cellStyle name="Saída 4 2 5 3 3 2 3" xfId="46437"/>
    <cellStyle name="Saída 4 2 5 3 3 3" xfId="24636"/>
    <cellStyle name="Saída 4 2 5 3 3 3 2" xfId="53815"/>
    <cellStyle name="Saída 4 2 5 3 3 4" xfId="38470"/>
    <cellStyle name="Saída 4 2 5 3 4" xfId="12554"/>
    <cellStyle name="Saída 4 2 5 3 4 2" xfId="26220"/>
    <cellStyle name="Saída 4 2 5 3 4 2 2" xfId="55399"/>
    <cellStyle name="Saída 4 2 5 3 4 3" xfId="41735"/>
    <cellStyle name="Saída 4 2 5 3 5" xfId="21792"/>
    <cellStyle name="Saída 4 2 5 3 5 2" xfId="50971"/>
    <cellStyle name="Saída 4 2 5 3 6" xfId="32133"/>
    <cellStyle name="Saída 4 2 5 4" xfId="4615"/>
    <cellStyle name="Saída 4 2 5 4 2" xfId="13773"/>
    <cellStyle name="Saída 4 2 5 4 2 2" xfId="26940"/>
    <cellStyle name="Saída 4 2 5 4 2 2 2" xfId="56119"/>
    <cellStyle name="Saída 4 2 5 4 2 3" xfId="42954"/>
    <cellStyle name="Saída 4 2 5 4 3" xfId="22512"/>
    <cellStyle name="Saída 4 2 5 4 3 2" xfId="51691"/>
    <cellStyle name="Saída 4 2 5 4 4" xfId="33798"/>
    <cellStyle name="Saída 4 2 5 5" xfId="10448"/>
    <cellStyle name="Saída 4 2 5 5 2" xfId="18070"/>
    <cellStyle name="Saída 4 2 5 5 2 2" xfId="29523"/>
    <cellStyle name="Saída 4 2 5 5 2 2 2" xfId="58702"/>
    <cellStyle name="Saída 4 2 5 5 2 3" xfId="47251"/>
    <cellStyle name="Saída 4 2 5 5 3" xfId="25095"/>
    <cellStyle name="Saída 4 2 5 5 3 2" xfId="54274"/>
    <cellStyle name="Saída 4 2 5 5 4" xfId="39631"/>
    <cellStyle name="Saída 4 2 5 6" xfId="11283"/>
    <cellStyle name="Saída 4 2 5 6 2" xfId="25500"/>
    <cellStyle name="Saída 4 2 5 6 2 2" xfId="54679"/>
    <cellStyle name="Saída 4 2 5 6 3" xfId="40464"/>
    <cellStyle name="Saída 4 2 5 7" xfId="21072"/>
    <cellStyle name="Saída 4 2 5 7 2" xfId="50251"/>
    <cellStyle name="Saída 4 2 5 8" xfId="30333"/>
    <cellStyle name="Saída 4 2 6" xfId="1292"/>
    <cellStyle name="Saída 4 2 6 2" xfId="2194"/>
    <cellStyle name="Saída 4 2 6 2 2" xfId="3994"/>
    <cellStyle name="Saída 4 2 6 2 2 2" xfId="6892"/>
    <cellStyle name="Saída 4 2 6 2 2 2 2" xfId="15546"/>
    <cellStyle name="Saída 4 2 6 2 2 2 2 2" xfId="28083"/>
    <cellStyle name="Saída 4 2 6 2 2 2 2 2 2" xfId="57262"/>
    <cellStyle name="Saída 4 2 6 2 2 2 2 3" xfId="44727"/>
    <cellStyle name="Saída 4 2 6 2 2 2 3" xfId="23655"/>
    <cellStyle name="Saída 4 2 6 2 2 2 3 2" xfId="52834"/>
    <cellStyle name="Saída 4 2 6 2 2 2 4" xfId="36075"/>
    <cellStyle name="Saída 4 2 6 2 2 3" xfId="7086"/>
    <cellStyle name="Saída 4 2 6 2 2 3 2" xfId="15686"/>
    <cellStyle name="Saída 4 2 6 2 2 3 2 2" xfId="28185"/>
    <cellStyle name="Saída 4 2 6 2 2 3 2 2 2" xfId="57364"/>
    <cellStyle name="Saída 4 2 6 2 2 3 2 3" xfId="44867"/>
    <cellStyle name="Saída 4 2 6 2 2 3 3" xfId="23757"/>
    <cellStyle name="Saída 4 2 6 2 2 3 3 2" xfId="52936"/>
    <cellStyle name="Saída 4 2 6 2 2 3 4" xfId="36269"/>
    <cellStyle name="Saída 4 2 6 2 2 4" xfId="13295"/>
    <cellStyle name="Saída 4 2 6 2 2 4 2" xfId="26643"/>
    <cellStyle name="Saída 4 2 6 2 2 4 2 2" xfId="55822"/>
    <cellStyle name="Saída 4 2 6 2 2 4 3" xfId="42476"/>
    <cellStyle name="Saída 4 2 6 2 2 5" xfId="22215"/>
    <cellStyle name="Saída 4 2 6 2 2 5 2" xfId="51394"/>
    <cellStyle name="Saída 4 2 6 2 2 6" xfId="33177"/>
    <cellStyle name="Saída 4 2 6 2 3" xfId="5452"/>
    <cellStyle name="Saída 4 2 6 2 3 2" xfId="14426"/>
    <cellStyle name="Saída 4 2 6 2 3 2 2" xfId="27363"/>
    <cellStyle name="Saída 4 2 6 2 3 2 2 2" xfId="56542"/>
    <cellStyle name="Saída 4 2 6 2 3 2 3" xfId="43607"/>
    <cellStyle name="Saída 4 2 6 2 3 3" xfId="22935"/>
    <cellStyle name="Saída 4 2 6 2 3 3 2" xfId="52114"/>
    <cellStyle name="Saída 4 2 6 2 3 4" xfId="34635"/>
    <cellStyle name="Saída 4 2 6 2 4" xfId="9054"/>
    <cellStyle name="Saída 4 2 6 2 4 2" xfId="17092"/>
    <cellStyle name="Saída 4 2 6 2 4 2 2" xfId="28976"/>
    <cellStyle name="Saída 4 2 6 2 4 2 2 2" xfId="58155"/>
    <cellStyle name="Saída 4 2 6 2 4 2 3" xfId="46273"/>
    <cellStyle name="Saída 4 2 6 2 4 3" xfId="24548"/>
    <cellStyle name="Saída 4 2 6 2 4 3 2" xfId="53727"/>
    <cellStyle name="Saída 4 2 6 2 4 4" xfId="38237"/>
    <cellStyle name="Saída 4 2 6 2 5" xfId="12019"/>
    <cellStyle name="Saída 4 2 6 2 5 2" xfId="25923"/>
    <cellStyle name="Saída 4 2 6 2 5 2 2" xfId="55102"/>
    <cellStyle name="Saída 4 2 6 2 5 3" xfId="41200"/>
    <cellStyle name="Saída 4 2 6 2 6" xfId="21495"/>
    <cellStyle name="Saída 4 2 6 2 6 2" xfId="50674"/>
    <cellStyle name="Saída 4 2 6 2 7" xfId="31377"/>
    <cellStyle name="Saída 4 2 6 3" xfId="3094"/>
    <cellStyle name="Saída 4 2 6 3 2" xfId="6172"/>
    <cellStyle name="Saída 4 2 6 3 2 2" xfId="14987"/>
    <cellStyle name="Saída 4 2 6 3 2 2 2" xfId="27723"/>
    <cellStyle name="Saída 4 2 6 3 2 2 2 2" xfId="56902"/>
    <cellStyle name="Saída 4 2 6 3 2 2 3" xfId="44168"/>
    <cellStyle name="Saída 4 2 6 3 2 3" xfId="23295"/>
    <cellStyle name="Saída 4 2 6 3 2 3 2" xfId="52474"/>
    <cellStyle name="Saída 4 2 6 3 2 4" xfId="35355"/>
    <cellStyle name="Saída 4 2 6 3 3" xfId="7417"/>
    <cellStyle name="Saída 4 2 6 3 3 2" xfId="15922"/>
    <cellStyle name="Saída 4 2 6 3 3 2 2" xfId="28332"/>
    <cellStyle name="Saída 4 2 6 3 3 2 2 2" xfId="57511"/>
    <cellStyle name="Saída 4 2 6 3 3 2 3" xfId="45103"/>
    <cellStyle name="Saída 4 2 6 3 3 3" xfId="23904"/>
    <cellStyle name="Saída 4 2 6 3 3 3 2" xfId="53083"/>
    <cellStyle name="Saída 4 2 6 3 3 4" xfId="36600"/>
    <cellStyle name="Saída 4 2 6 3 4" xfId="12657"/>
    <cellStyle name="Saída 4 2 6 3 4 2" xfId="26283"/>
    <cellStyle name="Saída 4 2 6 3 4 2 2" xfId="55462"/>
    <cellStyle name="Saída 4 2 6 3 4 3" xfId="41838"/>
    <cellStyle name="Saída 4 2 6 3 5" xfId="21855"/>
    <cellStyle name="Saída 4 2 6 3 5 2" xfId="51034"/>
    <cellStyle name="Saída 4 2 6 3 6" xfId="32277"/>
    <cellStyle name="Saída 4 2 6 4" xfId="4732"/>
    <cellStyle name="Saída 4 2 6 4 2" xfId="13864"/>
    <cellStyle name="Saída 4 2 6 4 2 2" xfId="27003"/>
    <cellStyle name="Saída 4 2 6 4 2 2 2" xfId="56182"/>
    <cellStyle name="Saída 4 2 6 4 2 3" xfId="43045"/>
    <cellStyle name="Saída 4 2 6 4 3" xfId="22575"/>
    <cellStyle name="Saída 4 2 6 4 3 2" xfId="51754"/>
    <cellStyle name="Saída 4 2 6 4 4" xfId="33915"/>
    <cellStyle name="Saída 4 2 6 5" xfId="8055"/>
    <cellStyle name="Saída 4 2 6 5 2" xfId="16364"/>
    <cellStyle name="Saída 4 2 6 5 2 2" xfId="28579"/>
    <cellStyle name="Saída 4 2 6 5 2 2 2" xfId="57758"/>
    <cellStyle name="Saída 4 2 6 5 2 3" xfId="45545"/>
    <cellStyle name="Saída 4 2 6 5 3" xfId="24151"/>
    <cellStyle name="Saída 4 2 6 5 3 2" xfId="53330"/>
    <cellStyle name="Saída 4 2 6 5 4" xfId="37238"/>
    <cellStyle name="Saída 4 2 6 6" xfId="11389"/>
    <cellStyle name="Saída 4 2 6 6 2" xfId="25563"/>
    <cellStyle name="Saída 4 2 6 6 2 2" xfId="54742"/>
    <cellStyle name="Saída 4 2 6 6 3" xfId="40570"/>
    <cellStyle name="Saída 4 2 6 7" xfId="21135"/>
    <cellStyle name="Saída 4 2 6 7 2" xfId="50314"/>
    <cellStyle name="Saída 4 2 6 8" xfId="30477"/>
    <cellStyle name="Saída 4 2 7" xfId="1474"/>
    <cellStyle name="Saída 4 2 7 2" xfId="3274"/>
    <cellStyle name="Saída 4 2 7 2 2" xfId="6316"/>
    <cellStyle name="Saída 4 2 7 2 2 2" xfId="15090"/>
    <cellStyle name="Saída 4 2 7 2 2 2 2" xfId="27795"/>
    <cellStyle name="Saída 4 2 7 2 2 2 2 2" xfId="56974"/>
    <cellStyle name="Saída 4 2 7 2 2 2 3" xfId="44271"/>
    <cellStyle name="Saída 4 2 7 2 2 3" xfId="23367"/>
    <cellStyle name="Saída 4 2 7 2 2 3 2" xfId="52546"/>
    <cellStyle name="Saída 4 2 7 2 2 4" xfId="35499"/>
    <cellStyle name="Saída 4 2 7 2 3" xfId="10383"/>
    <cellStyle name="Saída 4 2 7 2 3 2" xfId="18024"/>
    <cellStyle name="Saída 4 2 7 2 3 2 2" xfId="29498"/>
    <cellStyle name="Saída 4 2 7 2 3 2 2 2" xfId="58677"/>
    <cellStyle name="Saída 4 2 7 2 3 2 3" xfId="47205"/>
    <cellStyle name="Saída 4 2 7 2 3 3" xfId="25070"/>
    <cellStyle name="Saída 4 2 7 2 3 3 2" xfId="54249"/>
    <cellStyle name="Saída 4 2 7 2 3 4" xfId="39566"/>
    <cellStyle name="Saída 4 2 7 2 4" xfId="12781"/>
    <cellStyle name="Saída 4 2 7 2 4 2" xfId="26355"/>
    <cellStyle name="Saída 4 2 7 2 4 2 2" xfId="55534"/>
    <cellStyle name="Saída 4 2 7 2 4 3" xfId="41962"/>
    <cellStyle name="Saída 4 2 7 2 5" xfId="21927"/>
    <cellStyle name="Saída 4 2 7 2 5 2" xfId="51106"/>
    <cellStyle name="Saída 4 2 7 2 6" xfId="32457"/>
    <cellStyle name="Saída 4 2 7 3" xfId="4876"/>
    <cellStyle name="Saída 4 2 7 3 2" xfId="13966"/>
    <cellStyle name="Saída 4 2 7 3 2 2" xfId="27075"/>
    <cellStyle name="Saída 4 2 7 3 2 2 2" xfId="56254"/>
    <cellStyle name="Saída 4 2 7 3 2 3" xfId="43147"/>
    <cellStyle name="Saída 4 2 7 3 3" xfId="22647"/>
    <cellStyle name="Saída 4 2 7 3 3 2" xfId="51826"/>
    <cellStyle name="Saída 4 2 7 3 4" xfId="34059"/>
    <cellStyle name="Saída 4 2 7 4" xfId="10207"/>
    <cellStyle name="Saída 4 2 7 4 2" xfId="17904"/>
    <cellStyle name="Saída 4 2 7 4 2 2" xfId="29430"/>
    <cellStyle name="Saída 4 2 7 4 2 2 2" xfId="58609"/>
    <cellStyle name="Saída 4 2 7 4 2 3" xfId="47085"/>
    <cellStyle name="Saída 4 2 7 4 3" xfId="25002"/>
    <cellStyle name="Saída 4 2 7 4 3 2" xfId="54181"/>
    <cellStyle name="Saída 4 2 7 4 4" xfId="39390"/>
    <cellStyle name="Saída 4 2 7 5" xfId="11511"/>
    <cellStyle name="Saída 4 2 7 5 2" xfId="25635"/>
    <cellStyle name="Saída 4 2 7 5 2 2" xfId="54814"/>
    <cellStyle name="Saída 4 2 7 5 3" xfId="40692"/>
    <cellStyle name="Saída 4 2 7 6" xfId="21207"/>
    <cellStyle name="Saída 4 2 7 6 2" xfId="50386"/>
    <cellStyle name="Saída 4 2 7 7" xfId="30657"/>
    <cellStyle name="Saída 4 2 8" xfId="2374"/>
    <cellStyle name="Saída 4 2 8 2" xfId="5596"/>
    <cellStyle name="Saída 4 2 8 2 2" xfId="14531"/>
    <cellStyle name="Saída 4 2 8 2 2 2" xfId="27435"/>
    <cellStyle name="Saída 4 2 8 2 2 2 2" xfId="56614"/>
    <cellStyle name="Saída 4 2 8 2 2 3" xfId="43712"/>
    <cellStyle name="Saída 4 2 8 2 3" xfId="23007"/>
    <cellStyle name="Saída 4 2 8 2 3 2" xfId="52186"/>
    <cellStyle name="Saída 4 2 8 2 4" xfId="34779"/>
    <cellStyle name="Saída 4 2 8 3" xfId="7606"/>
    <cellStyle name="Saída 4 2 8 3 2" xfId="16052"/>
    <cellStyle name="Saída 4 2 8 3 2 2" xfId="28403"/>
    <cellStyle name="Saída 4 2 8 3 2 2 2" xfId="57582"/>
    <cellStyle name="Saída 4 2 8 3 2 3" xfId="45233"/>
    <cellStyle name="Saída 4 2 8 3 3" xfId="23975"/>
    <cellStyle name="Saída 4 2 8 3 3 2" xfId="53154"/>
    <cellStyle name="Saída 4 2 8 3 4" xfId="36789"/>
    <cellStyle name="Saída 4 2 8 4" xfId="12140"/>
    <cellStyle name="Saída 4 2 8 4 2" xfId="25995"/>
    <cellStyle name="Saída 4 2 8 4 2 2" xfId="55174"/>
    <cellStyle name="Saída 4 2 8 4 3" xfId="41321"/>
    <cellStyle name="Saída 4 2 8 5" xfId="21567"/>
    <cellStyle name="Saída 4 2 8 5 2" xfId="50746"/>
    <cellStyle name="Saída 4 2 8 6" xfId="31557"/>
    <cellStyle name="Saída 4 2 9" xfId="4156"/>
    <cellStyle name="Saída 4 2 9 2" xfId="13409"/>
    <cellStyle name="Saída 4 2 9 2 2" xfId="26715"/>
    <cellStyle name="Saída 4 2 9 2 2 2" xfId="55894"/>
    <cellStyle name="Saída 4 2 9 2 3" xfId="42590"/>
    <cellStyle name="Saída 4 2 9 3" xfId="22287"/>
    <cellStyle name="Saída 4 2 9 3 2" xfId="51466"/>
    <cellStyle name="Saída 4 2 9 4" xfId="33339"/>
    <cellStyle name="Saída 4 3" xfId="496"/>
    <cellStyle name="Saída 4 3 10" xfId="10794"/>
    <cellStyle name="Saída 4 3 10 2" xfId="25193"/>
    <cellStyle name="Saída 4 3 10 2 2" xfId="54372"/>
    <cellStyle name="Saída 4 3 10 3" xfId="39975"/>
    <cellStyle name="Saída 4 3 11" xfId="20765"/>
    <cellStyle name="Saída 4 3 11 2" xfId="49944"/>
    <cellStyle name="Saída 4 3 12" xfId="29702"/>
    <cellStyle name="Saída 4 3 2" xfId="849"/>
    <cellStyle name="Saída 4 3 2 2" xfId="1787"/>
    <cellStyle name="Saída 4 3 2 2 2" xfId="3587"/>
    <cellStyle name="Saída 4 3 2 2 2 2" xfId="6566"/>
    <cellStyle name="Saída 4 3 2 2 2 2 2" xfId="15283"/>
    <cellStyle name="Saída 4 3 2 2 2 2 2 2" xfId="27901"/>
    <cellStyle name="Saída 4 3 2 2 2 2 2 2 2" xfId="57080"/>
    <cellStyle name="Saída 4 3 2 2 2 2 2 3" xfId="44464"/>
    <cellStyle name="Saída 4 3 2 2 2 2 3" xfId="23473"/>
    <cellStyle name="Saída 4 3 2 2 2 2 3 2" xfId="52652"/>
    <cellStyle name="Saída 4 3 2 2 2 2 4" xfId="35749"/>
    <cellStyle name="Saída 4 3 2 2 2 3" xfId="9882"/>
    <cellStyle name="Saída 4 3 2 2 2 3 2" xfId="17679"/>
    <cellStyle name="Saída 4 3 2 2 2 3 2 2" xfId="29304"/>
    <cellStyle name="Saída 4 3 2 2 2 3 2 2 2" xfId="58483"/>
    <cellStyle name="Saída 4 3 2 2 2 3 2 3" xfId="46860"/>
    <cellStyle name="Saída 4 3 2 2 2 3 3" xfId="24876"/>
    <cellStyle name="Saída 4 3 2 2 2 3 3 2" xfId="54055"/>
    <cellStyle name="Saída 4 3 2 2 2 3 4" xfId="39065"/>
    <cellStyle name="Saída 4 3 2 2 2 4" xfId="12999"/>
    <cellStyle name="Saída 4 3 2 2 2 4 2" xfId="26461"/>
    <cellStyle name="Saída 4 3 2 2 2 4 2 2" xfId="55640"/>
    <cellStyle name="Saída 4 3 2 2 2 4 3" xfId="42180"/>
    <cellStyle name="Saída 4 3 2 2 2 5" xfId="22033"/>
    <cellStyle name="Saída 4 3 2 2 2 5 2" xfId="51212"/>
    <cellStyle name="Saída 4 3 2 2 2 6" xfId="32770"/>
    <cellStyle name="Saída 4 3 2 2 3" xfId="5126"/>
    <cellStyle name="Saída 4 3 2 2 3 2" xfId="14160"/>
    <cellStyle name="Saída 4 3 2 2 3 2 2" xfId="27181"/>
    <cellStyle name="Saída 4 3 2 2 3 2 2 2" xfId="56360"/>
    <cellStyle name="Saída 4 3 2 2 3 2 3" xfId="43341"/>
    <cellStyle name="Saída 4 3 2 2 3 3" xfId="22753"/>
    <cellStyle name="Saída 4 3 2 2 3 3 2" xfId="51932"/>
    <cellStyle name="Saída 4 3 2 2 3 4" xfId="34309"/>
    <cellStyle name="Saída 4 3 2 2 4" xfId="8706"/>
    <cellStyle name="Saída 4 3 2 2 4 2" xfId="16831"/>
    <cellStyle name="Saída 4 3 2 2 4 2 2" xfId="28835"/>
    <cellStyle name="Saída 4 3 2 2 4 2 2 2" xfId="58014"/>
    <cellStyle name="Saída 4 3 2 2 4 2 3" xfId="46012"/>
    <cellStyle name="Saída 4 3 2 2 4 3" xfId="24407"/>
    <cellStyle name="Saída 4 3 2 2 4 3 2" xfId="53586"/>
    <cellStyle name="Saída 4 3 2 2 4 4" xfId="37889"/>
    <cellStyle name="Saída 4 3 2 2 5" xfId="11725"/>
    <cellStyle name="Saída 4 3 2 2 5 2" xfId="25741"/>
    <cellStyle name="Saída 4 3 2 2 5 2 2" xfId="54920"/>
    <cellStyle name="Saída 4 3 2 2 5 3" xfId="40906"/>
    <cellStyle name="Saída 4 3 2 2 6" xfId="21313"/>
    <cellStyle name="Saída 4 3 2 2 6 2" xfId="50492"/>
    <cellStyle name="Saída 4 3 2 2 7" xfId="30970"/>
    <cellStyle name="Saída 4 3 2 3" xfId="2687"/>
    <cellStyle name="Saída 4 3 2 3 2" xfId="5846"/>
    <cellStyle name="Saída 4 3 2 3 2 2" xfId="14727"/>
    <cellStyle name="Saída 4 3 2 3 2 2 2" xfId="27541"/>
    <cellStyle name="Saída 4 3 2 3 2 2 2 2" xfId="56720"/>
    <cellStyle name="Saída 4 3 2 3 2 2 3" xfId="43908"/>
    <cellStyle name="Saída 4 3 2 3 2 3" xfId="23113"/>
    <cellStyle name="Saída 4 3 2 3 2 3 2" xfId="52292"/>
    <cellStyle name="Saída 4 3 2 3 2 4" xfId="35029"/>
    <cellStyle name="Saída 4 3 2 3 3" xfId="10233"/>
    <cellStyle name="Saída 4 3 2 3 3 2" xfId="17924"/>
    <cellStyle name="Saída 4 3 2 3 3 2 2" xfId="29445"/>
    <cellStyle name="Saída 4 3 2 3 3 2 2 2" xfId="58624"/>
    <cellStyle name="Saída 4 3 2 3 3 2 3" xfId="47105"/>
    <cellStyle name="Saída 4 3 2 3 3 3" xfId="25017"/>
    <cellStyle name="Saída 4 3 2 3 3 3 2" xfId="54196"/>
    <cellStyle name="Saída 4 3 2 3 3 4" xfId="39416"/>
    <cellStyle name="Saída 4 3 2 3 4" xfId="12362"/>
    <cellStyle name="Saída 4 3 2 3 4 2" xfId="26101"/>
    <cellStyle name="Saída 4 3 2 3 4 2 2" xfId="55280"/>
    <cellStyle name="Saída 4 3 2 3 4 3" xfId="41543"/>
    <cellStyle name="Saída 4 3 2 3 5" xfId="21673"/>
    <cellStyle name="Saída 4 3 2 3 5 2" xfId="50852"/>
    <cellStyle name="Saída 4 3 2 3 6" xfId="31870"/>
    <cellStyle name="Saída 4 3 2 4" xfId="4406"/>
    <cellStyle name="Saída 4 3 2 4 2" xfId="13604"/>
    <cellStyle name="Saída 4 3 2 4 2 2" xfId="26821"/>
    <cellStyle name="Saída 4 3 2 4 2 2 2" xfId="56000"/>
    <cellStyle name="Saída 4 3 2 4 2 3" xfId="42785"/>
    <cellStyle name="Saída 4 3 2 4 3" xfId="22393"/>
    <cellStyle name="Saída 4 3 2 4 3 2" xfId="51572"/>
    <cellStyle name="Saída 4 3 2 4 4" xfId="33589"/>
    <cellStyle name="Saída 4 3 2 5" xfId="10409"/>
    <cellStyle name="Saída 4 3 2 5 2" xfId="18045"/>
    <cellStyle name="Saída 4 3 2 5 2 2" xfId="29510"/>
    <cellStyle name="Saída 4 3 2 5 2 2 2" xfId="58689"/>
    <cellStyle name="Saída 4 3 2 5 2 3" xfId="47226"/>
    <cellStyle name="Saída 4 3 2 5 3" xfId="25082"/>
    <cellStyle name="Saída 4 3 2 5 3 2" xfId="54261"/>
    <cellStyle name="Saída 4 3 2 5 4" xfId="39592"/>
    <cellStyle name="Saída 4 3 2 6" xfId="11064"/>
    <cellStyle name="Saída 4 3 2 6 2" xfId="25357"/>
    <cellStyle name="Saída 4 3 2 6 2 2" xfId="54536"/>
    <cellStyle name="Saída 4 3 2 6 3" xfId="40245"/>
    <cellStyle name="Saída 4 3 2 7" xfId="20929"/>
    <cellStyle name="Saída 4 3 2 7 2" xfId="50108"/>
    <cellStyle name="Saída 4 3 2 8" xfId="30046"/>
    <cellStyle name="Saída 4 3 3" xfId="1041"/>
    <cellStyle name="Saída 4 3 3 2" xfId="1951"/>
    <cellStyle name="Saída 4 3 3 2 2" xfId="3751"/>
    <cellStyle name="Saída 4 3 3 2 2 2" xfId="6694"/>
    <cellStyle name="Saída 4 3 3 2 2 2 2" xfId="15388"/>
    <cellStyle name="Saída 4 3 3 2 2 2 2 2" xfId="27975"/>
    <cellStyle name="Saída 4 3 3 2 2 2 2 2 2" xfId="57154"/>
    <cellStyle name="Saída 4 3 3 2 2 2 2 3" xfId="44569"/>
    <cellStyle name="Saída 4 3 3 2 2 2 3" xfId="23547"/>
    <cellStyle name="Saída 4 3 3 2 2 2 3 2" xfId="52726"/>
    <cellStyle name="Saída 4 3 3 2 2 2 4" xfId="35877"/>
    <cellStyle name="Saída 4 3 3 2 2 3" xfId="8961"/>
    <cellStyle name="Saída 4 3 3 2 2 3 2" xfId="17021"/>
    <cellStyle name="Saída 4 3 3 2 2 3 2 2" xfId="28932"/>
    <cellStyle name="Saída 4 3 3 2 2 3 2 2 2" xfId="58111"/>
    <cellStyle name="Saída 4 3 3 2 2 3 2 3" xfId="46202"/>
    <cellStyle name="Saída 4 3 3 2 2 3 3" xfId="24504"/>
    <cellStyle name="Saída 4 3 3 2 2 3 3 2" xfId="53683"/>
    <cellStyle name="Saída 4 3 3 2 2 3 4" xfId="38144"/>
    <cellStyle name="Saída 4 3 3 2 2 4" xfId="13121"/>
    <cellStyle name="Saída 4 3 3 2 2 4 2" xfId="26535"/>
    <cellStyle name="Saída 4 3 3 2 2 4 2 2" xfId="55714"/>
    <cellStyle name="Saída 4 3 3 2 2 4 3" xfId="42302"/>
    <cellStyle name="Saída 4 3 3 2 2 5" xfId="22107"/>
    <cellStyle name="Saída 4 3 3 2 2 5 2" xfId="51286"/>
    <cellStyle name="Saída 4 3 3 2 2 6" xfId="32934"/>
    <cellStyle name="Saída 4 3 3 2 3" xfId="5254"/>
    <cellStyle name="Saída 4 3 3 2 3 2" xfId="14267"/>
    <cellStyle name="Saída 4 3 3 2 3 2 2" xfId="27255"/>
    <cellStyle name="Saída 4 3 3 2 3 2 2 2" xfId="56434"/>
    <cellStyle name="Saída 4 3 3 2 3 2 3" xfId="43448"/>
    <cellStyle name="Saída 4 3 3 2 3 3" xfId="22827"/>
    <cellStyle name="Saída 4 3 3 2 3 3 2" xfId="52006"/>
    <cellStyle name="Saída 4 3 3 2 3 4" xfId="34437"/>
    <cellStyle name="Saída 4 3 3 2 4" xfId="8565"/>
    <cellStyle name="Saída 4 3 3 2 4 2" xfId="16724"/>
    <cellStyle name="Saída 4 3 3 2 4 2 2" xfId="28771"/>
    <cellStyle name="Saída 4 3 3 2 4 2 2 2" xfId="57950"/>
    <cellStyle name="Saída 4 3 3 2 4 2 3" xfId="45905"/>
    <cellStyle name="Saída 4 3 3 2 4 3" xfId="24343"/>
    <cellStyle name="Saída 4 3 3 2 4 3 2" xfId="53522"/>
    <cellStyle name="Saída 4 3 3 2 4 4" xfId="37748"/>
    <cellStyle name="Saída 4 3 3 2 5" xfId="11845"/>
    <cellStyle name="Saída 4 3 3 2 5 2" xfId="25815"/>
    <cellStyle name="Saída 4 3 3 2 5 2 2" xfId="54994"/>
    <cellStyle name="Saída 4 3 3 2 5 3" xfId="41026"/>
    <cellStyle name="Saída 4 3 3 2 6" xfId="21387"/>
    <cellStyle name="Saída 4 3 3 2 6 2" xfId="50566"/>
    <cellStyle name="Saída 4 3 3 2 7" xfId="31134"/>
    <cellStyle name="Saída 4 3 3 3" xfId="2851"/>
    <cellStyle name="Saída 4 3 3 3 2" xfId="5974"/>
    <cellStyle name="Saída 4 3 3 3 2 2" xfId="14831"/>
    <cellStyle name="Saída 4 3 3 3 2 2 2" xfId="27615"/>
    <cellStyle name="Saída 4 3 3 3 2 2 2 2" xfId="56794"/>
    <cellStyle name="Saída 4 3 3 3 2 2 3" xfId="44012"/>
    <cellStyle name="Saída 4 3 3 3 2 3" xfId="23187"/>
    <cellStyle name="Saída 4 3 3 3 2 3 2" xfId="52366"/>
    <cellStyle name="Saída 4 3 3 3 2 4" xfId="35157"/>
    <cellStyle name="Saída 4 3 3 3 3" xfId="10091"/>
    <cellStyle name="Saída 4 3 3 3 3 2" xfId="17822"/>
    <cellStyle name="Saída 4 3 3 3 3 2 2" xfId="29383"/>
    <cellStyle name="Saída 4 3 3 3 3 2 2 2" xfId="58562"/>
    <cellStyle name="Saída 4 3 3 3 3 2 3" xfId="47003"/>
    <cellStyle name="Saída 4 3 3 3 3 3" xfId="24955"/>
    <cellStyle name="Saída 4 3 3 3 3 3 2" xfId="54134"/>
    <cellStyle name="Saída 4 3 3 3 3 4" xfId="39274"/>
    <cellStyle name="Saída 4 3 3 3 4" xfId="12484"/>
    <cellStyle name="Saída 4 3 3 3 4 2" xfId="26175"/>
    <cellStyle name="Saída 4 3 3 3 4 2 2" xfId="55354"/>
    <cellStyle name="Saída 4 3 3 3 4 3" xfId="41665"/>
    <cellStyle name="Saída 4 3 3 3 5" xfId="21747"/>
    <cellStyle name="Saída 4 3 3 3 5 2" xfId="50926"/>
    <cellStyle name="Saída 4 3 3 3 6" xfId="32034"/>
    <cellStyle name="Saída 4 3 3 4" xfId="4534"/>
    <cellStyle name="Saída 4 3 3 4 2" xfId="13710"/>
    <cellStyle name="Saída 4 3 3 4 2 2" xfId="26895"/>
    <cellStyle name="Saída 4 3 3 4 2 2 2" xfId="56074"/>
    <cellStyle name="Saída 4 3 3 4 2 3" xfId="42891"/>
    <cellStyle name="Saída 4 3 3 4 3" xfId="22467"/>
    <cellStyle name="Saída 4 3 3 4 3 2" xfId="51646"/>
    <cellStyle name="Saída 4 3 3 4 4" xfId="33717"/>
    <cellStyle name="Saída 4 3 3 5" xfId="7648"/>
    <cellStyle name="Saída 4 3 3 5 2" xfId="16080"/>
    <cellStyle name="Saída 4 3 3 5 2 2" xfId="28420"/>
    <cellStyle name="Saída 4 3 3 5 2 2 2" xfId="57599"/>
    <cellStyle name="Saída 4 3 3 5 2 3" xfId="45261"/>
    <cellStyle name="Saída 4 3 3 5 3" xfId="23992"/>
    <cellStyle name="Saída 4 3 3 5 3 2" xfId="53171"/>
    <cellStyle name="Saída 4 3 3 5 4" xfId="36831"/>
    <cellStyle name="Saída 4 3 3 6" xfId="11208"/>
    <cellStyle name="Saída 4 3 3 6 2" xfId="25452"/>
    <cellStyle name="Saída 4 3 3 6 2 2" xfId="54631"/>
    <cellStyle name="Saída 4 3 3 6 3" xfId="40389"/>
    <cellStyle name="Saída 4 3 3 7" xfId="21024"/>
    <cellStyle name="Saída 4 3 3 7 2" xfId="50203"/>
    <cellStyle name="Saída 4 3 3 8" xfId="30231"/>
    <cellStyle name="Saída 4 3 4" xfId="1191"/>
    <cellStyle name="Saída 4 3 4 2" xfId="2095"/>
    <cellStyle name="Saída 4 3 4 2 2" xfId="3895"/>
    <cellStyle name="Saída 4 3 4 2 2 2" xfId="6811"/>
    <cellStyle name="Saída 4 3 4 2 2 2 2" xfId="15481"/>
    <cellStyle name="Saída 4 3 4 2 2 2 2 2" xfId="28038"/>
    <cellStyle name="Saída 4 3 4 2 2 2 2 2 2" xfId="57217"/>
    <cellStyle name="Saída 4 3 4 2 2 2 2 3" xfId="44662"/>
    <cellStyle name="Saída 4 3 4 2 2 2 3" xfId="23610"/>
    <cellStyle name="Saída 4 3 4 2 2 2 3 2" xfId="52789"/>
    <cellStyle name="Saída 4 3 4 2 2 2 4" xfId="35994"/>
    <cellStyle name="Saída 4 3 4 2 2 3" xfId="10298"/>
    <cellStyle name="Saída 4 3 4 2 2 3 2" xfId="17968"/>
    <cellStyle name="Saída 4 3 4 2 2 3 2 2" xfId="29469"/>
    <cellStyle name="Saída 4 3 4 2 2 3 2 2 2" xfId="58648"/>
    <cellStyle name="Saída 4 3 4 2 2 3 2 3" xfId="47149"/>
    <cellStyle name="Saída 4 3 4 2 2 3 3" xfId="25041"/>
    <cellStyle name="Saída 4 3 4 2 2 3 3 2" xfId="54220"/>
    <cellStyle name="Saída 4 3 4 2 2 3 4" xfId="39481"/>
    <cellStyle name="Saída 4 3 4 2 2 4" xfId="13223"/>
    <cellStyle name="Saída 4 3 4 2 2 4 2" xfId="26598"/>
    <cellStyle name="Saída 4 3 4 2 2 4 2 2" xfId="55777"/>
    <cellStyle name="Saída 4 3 4 2 2 4 3" xfId="42404"/>
    <cellStyle name="Saída 4 3 4 2 2 5" xfId="22170"/>
    <cellStyle name="Saída 4 3 4 2 2 5 2" xfId="51349"/>
    <cellStyle name="Saída 4 3 4 2 2 6" xfId="33078"/>
    <cellStyle name="Saída 4 3 4 2 3" xfId="5371"/>
    <cellStyle name="Saída 4 3 4 2 3 2" xfId="14359"/>
    <cellStyle name="Saída 4 3 4 2 3 2 2" xfId="27318"/>
    <cellStyle name="Saída 4 3 4 2 3 2 2 2" xfId="56497"/>
    <cellStyle name="Saída 4 3 4 2 3 2 3" xfId="43540"/>
    <cellStyle name="Saída 4 3 4 2 3 3" xfId="22890"/>
    <cellStyle name="Saída 4 3 4 2 3 3 2" xfId="52069"/>
    <cellStyle name="Saída 4 3 4 2 3 4" xfId="34554"/>
    <cellStyle name="Saída 4 3 4 2 4" xfId="9859"/>
    <cellStyle name="Saída 4 3 4 2 4 2" xfId="17663"/>
    <cellStyle name="Saída 4 3 4 2 4 2 2" xfId="29293"/>
    <cellStyle name="Saída 4 3 4 2 4 2 2 2" xfId="58472"/>
    <cellStyle name="Saída 4 3 4 2 4 2 3" xfId="46844"/>
    <cellStyle name="Saída 4 3 4 2 4 3" xfId="24865"/>
    <cellStyle name="Saída 4 3 4 2 4 3 2" xfId="54044"/>
    <cellStyle name="Saída 4 3 4 2 4 4" xfId="39042"/>
    <cellStyle name="Saída 4 3 4 2 5" xfId="11949"/>
    <cellStyle name="Saída 4 3 4 2 5 2" xfId="25878"/>
    <cellStyle name="Saída 4 3 4 2 5 2 2" xfId="55057"/>
    <cellStyle name="Saída 4 3 4 2 5 3" xfId="41130"/>
    <cellStyle name="Saída 4 3 4 2 6" xfId="21450"/>
    <cellStyle name="Saída 4 3 4 2 6 2" xfId="50629"/>
    <cellStyle name="Saída 4 3 4 2 7" xfId="31278"/>
    <cellStyle name="Saída 4 3 4 3" xfId="2995"/>
    <cellStyle name="Saída 4 3 4 3 2" xfId="6091"/>
    <cellStyle name="Saída 4 3 4 3 2 2" xfId="14920"/>
    <cellStyle name="Saída 4 3 4 3 2 2 2" xfId="27678"/>
    <cellStyle name="Saída 4 3 4 3 2 2 2 2" xfId="56857"/>
    <cellStyle name="Saída 4 3 4 3 2 2 3" xfId="44101"/>
    <cellStyle name="Saída 4 3 4 3 2 3" xfId="23250"/>
    <cellStyle name="Saída 4 3 4 3 2 3 2" xfId="52429"/>
    <cellStyle name="Saída 4 3 4 3 2 4" xfId="35274"/>
    <cellStyle name="Saída 4 3 4 3 3" xfId="9084"/>
    <cellStyle name="Saída 4 3 4 3 3 2" xfId="17110"/>
    <cellStyle name="Saída 4 3 4 3 3 2 2" xfId="28986"/>
    <cellStyle name="Saída 4 3 4 3 3 2 2 2" xfId="58165"/>
    <cellStyle name="Saída 4 3 4 3 3 2 3" xfId="46291"/>
    <cellStyle name="Saída 4 3 4 3 3 3" xfId="24558"/>
    <cellStyle name="Saída 4 3 4 3 3 3 2" xfId="53737"/>
    <cellStyle name="Saída 4 3 4 3 3 4" xfId="38267"/>
    <cellStyle name="Saída 4 3 4 3 4" xfId="12584"/>
    <cellStyle name="Saída 4 3 4 3 4 2" xfId="26238"/>
    <cellStyle name="Saída 4 3 4 3 4 2 2" xfId="55417"/>
    <cellStyle name="Saída 4 3 4 3 4 3" xfId="41765"/>
    <cellStyle name="Saída 4 3 4 3 5" xfId="21810"/>
    <cellStyle name="Saída 4 3 4 3 5 2" xfId="50989"/>
    <cellStyle name="Saída 4 3 4 3 6" xfId="32178"/>
    <cellStyle name="Saída 4 3 4 4" xfId="4651"/>
    <cellStyle name="Saída 4 3 4 4 2" xfId="13800"/>
    <cellStyle name="Saída 4 3 4 4 2 2" xfId="26958"/>
    <cellStyle name="Saída 4 3 4 4 2 2 2" xfId="56137"/>
    <cellStyle name="Saída 4 3 4 4 2 3" xfId="42981"/>
    <cellStyle name="Saída 4 3 4 4 3" xfId="22530"/>
    <cellStyle name="Saída 4 3 4 4 3 2" xfId="51709"/>
    <cellStyle name="Saída 4 3 4 4 4" xfId="33834"/>
    <cellStyle name="Saída 4 3 4 5" xfId="10033"/>
    <cellStyle name="Saída 4 3 4 5 2" xfId="17785"/>
    <cellStyle name="Saída 4 3 4 5 2 2" xfId="29361"/>
    <cellStyle name="Saída 4 3 4 5 2 2 2" xfId="58540"/>
    <cellStyle name="Saída 4 3 4 5 2 3" xfId="46966"/>
    <cellStyle name="Saída 4 3 4 5 3" xfId="24933"/>
    <cellStyle name="Saída 4 3 4 5 3 2" xfId="54112"/>
    <cellStyle name="Saída 4 3 4 5 4" xfId="39216"/>
    <cellStyle name="Saída 4 3 4 6" xfId="11318"/>
    <cellStyle name="Saída 4 3 4 6 2" xfId="25518"/>
    <cellStyle name="Saída 4 3 4 6 2 2" xfId="54697"/>
    <cellStyle name="Saída 4 3 4 6 3" xfId="40499"/>
    <cellStyle name="Saída 4 3 4 7" xfId="21090"/>
    <cellStyle name="Saída 4 3 4 7 2" xfId="50269"/>
    <cellStyle name="Saída 4 3 4 8" xfId="30378"/>
    <cellStyle name="Saída 4 3 5" xfId="1337"/>
    <cellStyle name="Saída 4 3 5 2" xfId="2239"/>
    <cellStyle name="Saída 4 3 5 2 2" xfId="4039"/>
    <cellStyle name="Saída 4 3 5 2 2 2" xfId="6928"/>
    <cellStyle name="Saída 4 3 5 2 2 2 2" xfId="15571"/>
    <cellStyle name="Saída 4 3 5 2 2 2 2 2" xfId="28101"/>
    <cellStyle name="Saída 4 3 5 2 2 2 2 2 2" xfId="57280"/>
    <cellStyle name="Saída 4 3 5 2 2 2 2 3" xfId="44752"/>
    <cellStyle name="Saída 4 3 5 2 2 2 3" xfId="23673"/>
    <cellStyle name="Saída 4 3 5 2 2 2 3 2" xfId="52852"/>
    <cellStyle name="Saída 4 3 5 2 2 2 4" xfId="36111"/>
    <cellStyle name="Saída 4 3 5 2 2 3" xfId="7041"/>
    <cellStyle name="Saída 4 3 5 2 2 3 2" xfId="15658"/>
    <cellStyle name="Saída 4 3 5 2 2 3 2 2" xfId="28167"/>
    <cellStyle name="Saída 4 3 5 2 2 3 2 2 2" xfId="57346"/>
    <cellStyle name="Saída 4 3 5 2 2 3 2 3" xfId="44839"/>
    <cellStyle name="Saída 4 3 5 2 2 3 3" xfId="23739"/>
    <cellStyle name="Saída 4 3 5 2 2 3 3 2" xfId="52918"/>
    <cellStyle name="Saída 4 3 5 2 2 3 4" xfId="36224"/>
    <cellStyle name="Saída 4 3 5 2 2 4" xfId="13325"/>
    <cellStyle name="Saída 4 3 5 2 2 4 2" xfId="26661"/>
    <cellStyle name="Saída 4 3 5 2 2 4 2 2" xfId="55840"/>
    <cellStyle name="Saída 4 3 5 2 2 4 3" xfId="42506"/>
    <cellStyle name="Saída 4 3 5 2 2 5" xfId="22233"/>
    <cellStyle name="Saída 4 3 5 2 2 5 2" xfId="51412"/>
    <cellStyle name="Saída 4 3 5 2 2 6" xfId="33222"/>
    <cellStyle name="Saída 4 3 5 2 3" xfId="5488"/>
    <cellStyle name="Saída 4 3 5 2 3 2" xfId="14451"/>
    <cellStyle name="Saída 4 3 5 2 3 2 2" xfId="27381"/>
    <cellStyle name="Saída 4 3 5 2 3 2 2 2" xfId="56560"/>
    <cellStyle name="Saída 4 3 5 2 3 2 3" xfId="43632"/>
    <cellStyle name="Saída 4 3 5 2 3 3" xfId="22953"/>
    <cellStyle name="Saída 4 3 5 2 3 3 2" xfId="52132"/>
    <cellStyle name="Saída 4 3 5 2 3 4" xfId="34671"/>
    <cellStyle name="Saída 4 3 5 2 4" xfId="7671"/>
    <cellStyle name="Saída 4 3 5 2 4 2" xfId="16097"/>
    <cellStyle name="Saída 4 3 5 2 4 2 2" xfId="28429"/>
    <cellStyle name="Saída 4 3 5 2 4 2 2 2" xfId="57608"/>
    <cellStyle name="Saída 4 3 5 2 4 2 3" xfId="45278"/>
    <cellStyle name="Saída 4 3 5 2 4 3" xfId="24001"/>
    <cellStyle name="Saída 4 3 5 2 4 3 2" xfId="53180"/>
    <cellStyle name="Saída 4 3 5 2 4 4" xfId="36854"/>
    <cellStyle name="Saída 4 3 5 2 5" xfId="12048"/>
    <cellStyle name="Saída 4 3 5 2 5 2" xfId="25941"/>
    <cellStyle name="Saída 4 3 5 2 5 2 2" xfId="55120"/>
    <cellStyle name="Saída 4 3 5 2 5 3" xfId="41229"/>
    <cellStyle name="Saída 4 3 5 2 6" xfId="21513"/>
    <cellStyle name="Saída 4 3 5 2 6 2" xfId="50692"/>
    <cellStyle name="Saída 4 3 5 2 7" xfId="31422"/>
    <cellStyle name="Saída 4 3 5 3" xfId="3139"/>
    <cellStyle name="Saída 4 3 5 3 2" xfId="6208"/>
    <cellStyle name="Saída 4 3 5 3 2 2" xfId="15011"/>
    <cellStyle name="Saída 4 3 5 3 2 2 2" xfId="27741"/>
    <cellStyle name="Saída 4 3 5 3 2 2 2 2" xfId="56920"/>
    <cellStyle name="Saída 4 3 5 3 2 2 3" xfId="44192"/>
    <cellStyle name="Saída 4 3 5 3 2 3" xfId="23313"/>
    <cellStyle name="Saída 4 3 5 3 2 3 2" xfId="52492"/>
    <cellStyle name="Saída 4 3 5 3 2 4" xfId="35391"/>
    <cellStyle name="Saída 4 3 5 3 3" xfId="7230"/>
    <cellStyle name="Saída 4 3 5 3 3 2" xfId="15792"/>
    <cellStyle name="Saída 4 3 5 3 3 2 2" xfId="28251"/>
    <cellStyle name="Saída 4 3 5 3 3 2 2 2" xfId="57430"/>
    <cellStyle name="Saída 4 3 5 3 3 2 3" xfId="44973"/>
    <cellStyle name="Saída 4 3 5 3 3 3" xfId="23823"/>
    <cellStyle name="Saída 4 3 5 3 3 3 2" xfId="53002"/>
    <cellStyle name="Saída 4 3 5 3 3 4" xfId="36413"/>
    <cellStyle name="Saída 4 3 5 3 4" xfId="12686"/>
    <cellStyle name="Saída 4 3 5 3 4 2" xfId="26301"/>
    <cellStyle name="Saída 4 3 5 3 4 2 2" xfId="55480"/>
    <cellStyle name="Saída 4 3 5 3 4 3" xfId="41867"/>
    <cellStyle name="Saída 4 3 5 3 5" xfId="21873"/>
    <cellStyle name="Saída 4 3 5 3 5 2" xfId="51052"/>
    <cellStyle name="Saída 4 3 5 3 6" xfId="32322"/>
    <cellStyle name="Saída 4 3 5 4" xfId="4768"/>
    <cellStyle name="Saída 4 3 5 4 2" xfId="13888"/>
    <cellStyle name="Saída 4 3 5 4 2 2" xfId="27021"/>
    <cellStyle name="Saída 4 3 5 4 2 2 2" xfId="56200"/>
    <cellStyle name="Saída 4 3 5 4 2 3" xfId="43069"/>
    <cellStyle name="Saída 4 3 5 4 3" xfId="22593"/>
    <cellStyle name="Saída 4 3 5 4 3 2" xfId="51772"/>
    <cellStyle name="Saída 4 3 5 4 4" xfId="33951"/>
    <cellStyle name="Saída 4 3 5 5" xfId="10146"/>
    <cellStyle name="Saída 4 3 5 5 2" xfId="17857"/>
    <cellStyle name="Saída 4 3 5 5 2 2" xfId="29405"/>
    <cellStyle name="Saída 4 3 5 5 2 2 2" xfId="58584"/>
    <cellStyle name="Saída 4 3 5 5 2 3" xfId="47038"/>
    <cellStyle name="Saída 4 3 5 5 3" xfId="24977"/>
    <cellStyle name="Saída 4 3 5 5 3 2" xfId="54156"/>
    <cellStyle name="Saída 4 3 5 5 4" xfId="39329"/>
    <cellStyle name="Saída 4 3 5 6" xfId="11417"/>
    <cellStyle name="Saída 4 3 5 6 2" xfId="25581"/>
    <cellStyle name="Saída 4 3 5 6 2 2" xfId="54760"/>
    <cellStyle name="Saída 4 3 5 6 3" xfId="40598"/>
    <cellStyle name="Saída 4 3 5 7" xfId="21153"/>
    <cellStyle name="Saída 4 3 5 7 2" xfId="50332"/>
    <cellStyle name="Saída 4 3 5 8" xfId="30522"/>
    <cellStyle name="Saída 4 3 6" xfId="1519"/>
    <cellStyle name="Saída 4 3 6 2" xfId="3319"/>
    <cellStyle name="Saída 4 3 6 2 2" xfId="6352"/>
    <cellStyle name="Saída 4 3 6 2 2 2" xfId="15114"/>
    <cellStyle name="Saída 4 3 6 2 2 2 2" xfId="27813"/>
    <cellStyle name="Saída 4 3 6 2 2 2 2 2" xfId="56992"/>
    <cellStyle name="Saída 4 3 6 2 2 2 3" xfId="44295"/>
    <cellStyle name="Saída 4 3 6 2 2 3" xfId="23385"/>
    <cellStyle name="Saída 4 3 6 2 2 3 2" xfId="52564"/>
    <cellStyle name="Saída 4 3 6 2 2 4" xfId="35535"/>
    <cellStyle name="Saída 4 3 6 2 3" xfId="10226"/>
    <cellStyle name="Saída 4 3 6 2 3 2" xfId="17919"/>
    <cellStyle name="Saída 4 3 6 2 3 2 2" xfId="29441"/>
    <cellStyle name="Saída 4 3 6 2 3 2 2 2" xfId="58620"/>
    <cellStyle name="Saída 4 3 6 2 3 2 3" xfId="47100"/>
    <cellStyle name="Saída 4 3 6 2 3 3" xfId="25013"/>
    <cellStyle name="Saída 4 3 6 2 3 3 2" xfId="54192"/>
    <cellStyle name="Saída 4 3 6 2 3 4" xfId="39409"/>
    <cellStyle name="Saída 4 3 6 2 4" xfId="12810"/>
    <cellStyle name="Saída 4 3 6 2 4 2" xfId="26373"/>
    <cellStyle name="Saída 4 3 6 2 4 2 2" xfId="55552"/>
    <cellStyle name="Saída 4 3 6 2 4 3" xfId="41991"/>
    <cellStyle name="Saída 4 3 6 2 5" xfId="21945"/>
    <cellStyle name="Saída 4 3 6 2 5 2" xfId="51124"/>
    <cellStyle name="Saída 4 3 6 2 6" xfId="32502"/>
    <cellStyle name="Saída 4 3 6 3" xfId="4912"/>
    <cellStyle name="Saída 4 3 6 3 2" xfId="13993"/>
    <cellStyle name="Saída 4 3 6 3 2 2" xfId="27093"/>
    <cellStyle name="Saída 4 3 6 3 2 2 2" xfId="56272"/>
    <cellStyle name="Saída 4 3 6 3 2 3" xfId="43174"/>
    <cellStyle name="Saída 4 3 6 3 3" xfId="22665"/>
    <cellStyle name="Saída 4 3 6 3 3 2" xfId="51844"/>
    <cellStyle name="Saída 4 3 6 3 4" xfId="34095"/>
    <cellStyle name="Saída 4 3 6 4" xfId="10167"/>
    <cellStyle name="Saída 4 3 6 4 2" xfId="17877"/>
    <cellStyle name="Saída 4 3 6 4 2 2" xfId="29416"/>
    <cellStyle name="Saída 4 3 6 4 2 2 2" xfId="58595"/>
    <cellStyle name="Saída 4 3 6 4 2 3" xfId="47058"/>
    <cellStyle name="Saída 4 3 6 4 3" xfId="24988"/>
    <cellStyle name="Saída 4 3 6 4 3 2" xfId="54167"/>
    <cellStyle name="Saída 4 3 6 4 4" xfId="39350"/>
    <cellStyle name="Saída 4 3 6 5" xfId="11538"/>
    <cellStyle name="Saída 4 3 6 5 2" xfId="25653"/>
    <cellStyle name="Saída 4 3 6 5 2 2" xfId="54832"/>
    <cellStyle name="Saída 4 3 6 5 3" xfId="40719"/>
    <cellStyle name="Saída 4 3 6 6" xfId="21225"/>
    <cellStyle name="Saída 4 3 6 6 2" xfId="50404"/>
    <cellStyle name="Saída 4 3 6 7" xfId="30702"/>
    <cellStyle name="Saída 4 3 7" xfId="2419"/>
    <cellStyle name="Saída 4 3 7 2" xfId="5632"/>
    <cellStyle name="Saída 4 3 7 2 2" xfId="14560"/>
    <cellStyle name="Saída 4 3 7 2 2 2" xfId="27453"/>
    <cellStyle name="Saída 4 3 7 2 2 2 2" xfId="56632"/>
    <cellStyle name="Saída 4 3 7 2 2 3" xfId="43741"/>
    <cellStyle name="Saída 4 3 7 2 3" xfId="23025"/>
    <cellStyle name="Saída 4 3 7 2 3 2" xfId="52204"/>
    <cellStyle name="Saída 4 3 7 2 4" xfId="34815"/>
    <cellStyle name="Saída 4 3 7 3" xfId="9165"/>
    <cellStyle name="Saída 4 3 7 3 2" xfId="17165"/>
    <cellStyle name="Saída 4 3 7 3 2 2" xfId="29017"/>
    <cellStyle name="Saída 4 3 7 3 2 2 2" xfId="58196"/>
    <cellStyle name="Saída 4 3 7 3 2 3" xfId="46346"/>
    <cellStyle name="Saída 4 3 7 3 3" xfId="24589"/>
    <cellStyle name="Saída 4 3 7 3 3 2" xfId="53768"/>
    <cellStyle name="Saída 4 3 7 3 4" xfId="38348"/>
    <cellStyle name="Saída 4 3 7 4" xfId="12172"/>
    <cellStyle name="Saída 4 3 7 4 2" xfId="26013"/>
    <cellStyle name="Saída 4 3 7 4 2 2" xfId="55192"/>
    <cellStyle name="Saída 4 3 7 4 3" xfId="41353"/>
    <cellStyle name="Saída 4 3 7 5" xfId="21585"/>
    <cellStyle name="Saída 4 3 7 5 2" xfId="50764"/>
    <cellStyle name="Saída 4 3 7 6" xfId="31602"/>
    <cellStyle name="Saída 4 3 8" xfId="4192"/>
    <cellStyle name="Saída 4 3 8 2" xfId="13441"/>
    <cellStyle name="Saída 4 3 8 2 2" xfId="26733"/>
    <cellStyle name="Saída 4 3 8 2 2 2" xfId="55912"/>
    <cellStyle name="Saída 4 3 8 2 3" xfId="42622"/>
    <cellStyle name="Saída 4 3 8 3" xfId="22305"/>
    <cellStyle name="Saída 4 3 8 3 2" xfId="51484"/>
    <cellStyle name="Saída 4 3 8 4" xfId="33375"/>
    <cellStyle name="Saída 4 3 9" xfId="10041"/>
    <cellStyle name="Saída 4 3 9 2" xfId="17790"/>
    <cellStyle name="Saída 4 3 9 2 2" xfId="29364"/>
    <cellStyle name="Saída 4 3 9 2 2 2" xfId="58543"/>
    <cellStyle name="Saída 4 3 9 2 3" xfId="46971"/>
    <cellStyle name="Saída 4 3 9 3" xfId="24936"/>
    <cellStyle name="Saída 4 3 9 3 2" xfId="54115"/>
    <cellStyle name="Saída 4 3 9 4" xfId="39224"/>
    <cellStyle name="Saída 4 4" xfId="717"/>
    <cellStyle name="Saída 4 4 2" xfId="1679"/>
    <cellStyle name="Saída 4 4 2 2" xfId="3479"/>
    <cellStyle name="Saída 4 4 2 2 2" xfId="6485"/>
    <cellStyle name="Saída 4 4 2 2 2 2" xfId="15219"/>
    <cellStyle name="Saída 4 4 2 2 2 2 2" xfId="27856"/>
    <cellStyle name="Saída 4 4 2 2 2 2 2 2" xfId="57035"/>
    <cellStyle name="Saída 4 4 2 2 2 2 3" xfId="44400"/>
    <cellStyle name="Saída 4 4 2 2 2 3" xfId="23428"/>
    <cellStyle name="Saída 4 4 2 2 2 3 2" xfId="52607"/>
    <cellStyle name="Saída 4 4 2 2 2 4" xfId="35668"/>
    <cellStyle name="Saída 4 4 2 2 3" xfId="10224"/>
    <cellStyle name="Saída 4 4 2 2 3 2" xfId="17917"/>
    <cellStyle name="Saída 4 4 2 2 3 2 2" xfId="29440"/>
    <cellStyle name="Saída 4 4 2 2 3 2 2 2" xfId="58619"/>
    <cellStyle name="Saída 4 4 2 2 3 2 3" xfId="47098"/>
    <cellStyle name="Saída 4 4 2 2 3 3" xfId="25012"/>
    <cellStyle name="Saída 4 4 2 2 3 3 2" xfId="54191"/>
    <cellStyle name="Saída 4 4 2 2 3 4" xfId="39407"/>
    <cellStyle name="Saída 4 4 2 2 4" xfId="12923"/>
    <cellStyle name="Saída 4 4 2 2 4 2" xfId="26416"/>
    <cellStyle name="Saída 4 4 2 2 4 2 2" xfId="55595"/>
    <cellStyle name="Saída 4 4 2 2 4 3" xfId="42104"/>
    <cellStyle name="Saída 4 4 2 2 5" xfId="21988"/>
    <cellStyle name="Saída 4 4 2 2 5 2" xfId="51167"/>
    <cellStyle name="Saída 4 4 2 2 6" xfId="32662"/>
    <cellStyle name="Saída 4 4 2 3" xfId="5045"/>
    <cellStyle name="Saída 4 4 2 3 2" xfId="14095"/>
    <cellStyle name="Saída 4 4 2 3 2 2" xfId="27136"/>
    <cellStyle name="Saída 4 4 2 3 2 2 2" xfId="56315"/>
    <cellStyle name="Saída 4 4 2 3 2 3" xfId="43276"/>
    <cellStyle name="Saída 4 4 2 3 3" xfId="22708"/>
    <cellStyle name="Saída 4 4 2 3 3 2" xfId="51887"/>
    <cellStyle name="Saída 4 4 2 3 4" xfId="34228"/>
    <cellStyle name="Saída 4 4 2 4" xfId="10165"/>
    <cellStyle name="Saída 4 4 2 4 2" xfId="17875"/>
    <cellStyle name="Saída 4 4 2 4 2 2" xfId="29415"/>
    <cellStyle name="Saída 4 4 2 4 2 2 2" xfId="58594"/>
    <cellStyle name="Saída 4 4 2 4 2 3" xfId="47056"/>
    <cellStyle name="Saída 4 4 2 4 3" xfId="24987"/>
    <cellStyle name="Saída 4 4 2 4 3 2" xfId="54166"/>
    <cellStyle name="Saída 4 4 2 4 4" xfId="39348"/>
    <cellStyle name="Saída 4 4 2 5" xfId="11650"/>
    <cellStyle name="Saída 4 4 2 5 2" xfId="25696"/>
    <cellStyle name="Saída 4 4 2 5 2 2" xfId="54875"/>
    <cellStyle name="Saída 4 4 2 5 3" xfId="40831"/>
    <cellStyle name="Saída 4 4 2 6" xfId="21268"/>
    <cellStyle name="Saída 4 4 2 6 2" xfId="50447"/>
    <cellStyle name="Saída 4 4 2 7" xfId="30862"/>
    <cellStyle name="Saída 4 4 3" xfId="2579"/>
    <cellStyle name="Saída 4 4 3 2" xfId="5765"/>
    <cellStyle name="Saída 4 4 3 2 2" xfId="14660"/>
    <cellStyle name="Saída 4 4 3 2 2 2" xfId="27496"/>
    <cellStyle name="Saída 4 4 3 2 2 2 2" xfId="56675"/>
    <cellStyle name="Saída 4 4 3 2 2 3" xfId="43841"/>
    <cellStyle name="Saída 4 4 3 2 3" xfId="23068"/>
    <cellStyle name="Saída 4 4 3 2 3 2" xfId="52247"/>
    <cellStyle name="Saída 4 4 3 2 4" xfId="34948"/>
    <cellStyle name="Saída 4 4 3 3" xfId="9167"/>
    <cellStyle name="Saída 4 4 3 3 2" xfId="17167"/>
    <cellStyle name="Saída 4 4 3 3 2 2" xfId="29018"/>
    <cellStyle name="Saída 4 4 3 3 2 2 2" xfId="58197"/>
    <cellStyle name="Saída 4 4 3 3 2 3" xfId="46348"/>
    <cellStyle name="Saída 4 4 3 3 3" xfId="24590"/>
    <cellStyle name="Saída 4 4 3 3 3 2" xfId="53769"/>
    <cellStyle name="Saída 4 4 3 3 4" xfId="38350"/>
    <cellStyle name="Saída 4 4 3 4" xfId="12285"/>
    <cellStyle name="Saída 4 4 3 4 2" xfId="26056"/>
    <cellStyle name="Saída 4 4 3 4 2 2" xfId="55235"/>
    <cellStyle name="Saída 4 4 3 4 3" xfId="41466"/>
    <cellStyle name="Saída 4 4 3 5" xfId="21628"/>
    <cellStyle name="Saída 4 4 3 5 2" xfId="50807"/>
    <cellStyle name="Saída 4 4 3 6" xfId="31762"/>
    <cellStyle name="Saída 4 4 4" xfId="4325"/>
    <cellStyle name="Saída 4 4 4 2" xfId="13539"/>
    <cellStyle name="Saída 4 4 4 2 2" xfId="26776"/>
    <cellStyle name="Saída 4 4 4 2 2 2" xfId="55955"/>
    <cellStyle name="Saída 4 4 4 2 3" xfId="42720"/>
    <cellStyle name="Saída 4 4 4 3" xfId="22348"/>
    <cellStyle name="Saída 4 4 4 3 2" xfId="51527"/>
    <cellStyle name="Saída 4 4 4 4" xfId="33508"/>
    <cellStyle name="Saída 4 4 5" xfId="7482"/>
    <cellStyle name="Saída 4 4 5 2" xfId="15964"/>
    <cellStyle name="Saída 4 4 5 2 2" xfId="28359"/>
    <cellStyle name="Saída 4 4 5 2 2 2" xfId="57538"/>
    <cellStyle name="Saída 4 4 5 2 3" xfId="45145"/>
    <cellStyle name="Saída 4 4 5 3" xfId="23931"/>
    <cellStyle name="Saída 4 4 5 3 2" xfId="53110"/>
    <cellStyle name="Saída 4 4 5 4" xfId="36665"/>
    <cellStyle name="Saída 4 4 6" xfId="10967"/>
    <cellStyle name="Saída 4 4 6 2" xfId="25291"/>
    <cellStyle name="Saída 4 4 6 2 2" xfId="54470"/>
    <cellStyle name="Saída 4 4 6 3" xfId="40148"/>
    <cellStyle name="Saída 4 4 7" xfId="20863"/>
    <cellStyle name="Saída 4 4 7 2" xfId="50042"/>
    <cellStyle name="Saída 4 4 8" xfId="29917"/>
    <cellStyle name="Saída 4 5" xfId="562"/>
    <cellStyle name="Saída 4 5 2" xfId="1582"/>
    <cellStyle name="Saída 4 5 2 2" xfId="3382"/>
    <cellStyle name="Saída 4 5 2 2 2" xfId="6406"/>
    <cellStyle name="Saída 4 5 2 2 2 2" xfId="15161"/>
    <cellStyle name="Saída 4 5 2 2 2 2 2" xfId="27849"/>
    <cellStyle name="Saída 4 5 2 2 2 2 2 2" xfId="57028"/>
    <cellStyle name="Saída 4 5 2 2 2 2 3" xfId="44342"/>
    <cellStyle name="Saída 4 5 2 2 2 3" xfId="23421"/>
    <cellStyle name="Saída 4 5 2 2 2 3 2" xfId="52600"/>
    <cellStyle name="Saída 4 5 2 2 2 4" xfId="35589"/>
    <cellStyle name="Saída 4 5 2 2 3" xfId="7561"/>
    <cellStyle name="Saída 4 5 2 2 3 2" xfId="16020"/>
    <cellStyle name="Saída 4 5 2 2 3 2 2" xfId="28387"/>
    <cellStyle name="Saída 4 5 2 2 3 2 2 2" xfId="57566"/>
    <cellStyle name="Saída 4 5 2 2 3 2 3" xfId="45201"/>
    <cellStyle name="Saída 4 5 2 2 3 3" xfId="23959"/>
    <cellStyle name="Saída 4 5 2 2 3 3 2" xfId="53138"/>
    <cellStyle name="Saída 4 5 2 2 3 4" xfId="36744"/>
    <cellStyle name="Saída 4 5 2 2 4" xfId="12858"/>
    <cellStyle name="Saída 4 5 2 2 4 2" xfId="26409"/>
    <cellStyle name="Saída 4 5 2 2 4 2 2" xfId="55588"/>
    <cellStyle name="Saída 4 5 2 2 4 3" xfId="42039"/>
    <cellStyle name="Saída 4 5 2 2 5" xfId="21981"/>
    <cellStyle name="Saída 4 5 2 2 5 2" xfId="51160"/>
    <cellStyle name="Saída 4 5 2 2 6" xfId="32565"/>
    <cellStyle name="Saída 4 5 2 3" xfId="4966"/>
    <cellStyle name="Saída 4 5 2 3 2" xfId="14040"/>
    <cellStyle name="Saída 4 5 2 3 2 2" xfId="27129"/>
    <cellStyle name="Saída 4 5 2 3 2 2 2" xfId="56308"/>
    <cellStyle name="Saída 4 5 2 3 2 3" xfId="43221"/>
    <cellStyle name="Saída 4 5 2 3 3" xfId="22701"/>
    <cellStyle name="Saída 4 5 2 3 3 2" xfId="51880"/>
    <cellStyle name="Saída 4 5 2 3 4" xfId="34149"/>
    <cellStyle name="Saída 4 5 2 4" xfId="8865"/>
    <cellStyle name="Saída 4 5 2 4 2" xfId="16953"/>
    <cellStyle name="Saída 4 5 2 4 2 2" xfId="28899"/>
    <cellStyle name="Saída 4 5 2 4 2 2 2" xfId="58078"/>
    <cellStyle name="Saída 4 5 2 4 2 3" xfId="46134"/>
    <cellStyle name="Saída 4 5 2 4 3" xfId="24471"/>
    <cellStyle name="Saída 4 5 2 4 3 2" xfId="53650"/>
    <cellStyle name="Saída 4 5 2 4 4" xfId="38048"/>
    <cellStyle name="Saída 4 5 2 5" xfId="11587"/>
    <cellStyle name="Saída 4 5 2 5 2" xfId="25689"/>
    <cellStyle name="Saída 4 5 2 5 2 2" xfId="54868"/>
    <cellStyle name="Saída 4 5 2 5 3" xfId="40768"/>
    <cellStyle name="Saída 4 5 2 6" xfId="21261"/>
    <cellStyle name="Saída 4 5 2 6 2" xfId="50440"/>
    <cellStyle name="Saída 4 5 2 7" xfId="30765"/>
    <cellStyle name="Saída 4 5 3" xfId="2482"/>
    <cellStyle name="Saída 4 5 3 2" xfId="5686"/>
    <cellStyle name="Saída 4 5 3 2 2" xfId="14608"/>
    <cellStyle name="Saída 4 5 3 2 2 2" xfId="27489"/>
    <cellStyle name="Saída 4 5 3 2 2 2 2" xfId="56668"/>
    <cellStyle name="Saída 4 5 3 2 2 3" xfId="43789"/>
    <cellStyle name="Saída 4 5 3 2 3" xfId="23061"/>
    <cellStyle name="Saída 4 5 3 2 3 2" xfId="52240"/>
    <cellStyle name="Saída 4 5 3 2 4" xfId="34869"/>
    <cellStyle name="Saída 4 5 3 3" xfId="10392"/>
    <cellStyle name="Saída 4 5 3 3 2" xfId="18031"/>
    <cellStyle name="Saída 4 5 3 3 2 2" xfId="29502"/>
    <cellStyle name="Saída 4 5 3 3 2 2 2" xfId="58681"/>
    <cellStyle name="Saída 4 5 3 3 2 3" xfId="47212"/>
    <cellStyle name="Saída 4 5 3 3 3" xfId="25074"/>
    <cellStyle name="Saída 4 5 3 3 3 2" xfId="54253"/>
    <cellStyle name="Saída 4 5 3 3 4" xfId="39575"/>
    <cellStyle name="Saída 4 5 3 4" xfId="12224"/>
    <cellStyle name="Saída 4 5 3 4 2" xfId="26049"/>
    <cellStyle name="Saída 4 5 3 4 2 2" xfId="55228"/>
    <cellStyle name="Saída 4 5 3 4 3" xfId="41405"/>
    <cellStyle name="Saída 4 5 3 5" xfId="21621"/>
    <cellStyle name="Saída 4 5 3 5 2" xfId="50800"/>
    <cellStyle name="Saída 4 5 3 6" xfId="31665"/>
    <cellStyle name="Saída 4 5 4" xfId="4246"/>
    <cellStyle name="Saída 4 5 4 2" xfId="13489"/>
    <cellStyle name="Saída 4 5 4 2 2" xfId="26769"/>
    <cellStyle name="Saída 4 5 4 2 2 2" xfId="55948"/>
    <cellStyle name="Saída 4 5 4 2 3" xfId="42670"/>
    <cellStyle name="Saída 4 5 4 3" xfId="22341"/>
    <cellStyle name="Saída 4 5 4 3 2" xfId="51520"/>
    <cellStyle name="Saída 4 5 4 4" xfId="33429"/>
    <cellStyle name="Saída 4 5 5" xfId="8262"/>
    <cellStyle name="Saída 4 5 5 2" xfId="16514"/>
    <cellStyle name="Saída 4 5 5 2 2" xfId="28662"/>
    <cellStyle name="Saída 4 5 5 2 2 2" xfId="57841"/>
    <cellStyle name="Saída 4 5 5 2 3" xfId="45695"/>
    <cellStyle name="Saída 4 5 5 3" xfId="24234"/>
    <cellStyle name="Saída 4 5 5 3 2" xfId="53413"/>
    <cellStyle name="Saída 4 5 5 4" xfId="37445"/>
    <cellStyle name="Saída 4 5 6" xfId="10848"/>
    <cellStyle name="Saída 4 5 6 2" xfId="25231"/>
    <cellStyle name="Saída 4 5 6 2 2" xfId="54410"/>
    <cellStyle name="Saída 4 5 6 3" xfId="40029"/>
    <cellStyle name="Saída 4 5 7" xfId="20803"/>
    <cellStyle name="Saída 4 5 7 2" xfId="49982"/>
    <cellStyle name="Saída 4 5 8" xfId="29767"/>
    <cellStyle name="Saída 4 6" xfId="756"/>
    <cellStyle name="Saída 4 6 2" xfId="1697"/>
    <cellStyle name="Saída 4 6 2 2" xfId="3497"/>
    <cellStyle name="Saída 4 6 2 2 2" xfId="6494"/>
    <cellStyle name="Saída 4 6 2 2 2 2" xfId="15228"/>
    <cellStyle name="Saída 4 6 2 2 2 2 2" xfId="27865"/>
    <cellStyle name="Saída 4 6 2 2 2 2 2 2" xfId="57044"/>
    <cellStyle name="Saída 4 6 2 2 2 2 3" xfId="44409"/>
    <cellStyle name="Saída 4 6 2 2 2 3" xfId="23437"/>
    <cellStyle name="Saída 4 6 2 2 2 3 2" xfId="52616"/>
    <cellStyle name="Saída 4 6 2 2 2 4" xfId="35677"/>
    <cellStyle name="Saída 4 6 2 2 3" xfId="7993"/>
    <cellStyle name="Saída 4 6 2 2 3 2" xfId="16321"/>
    <cellStyle name="Saída 4 6 2 2 3 2 2" xfId="28554"/>
    <cellStyle name="Saída 4 6 2 2 3 2 2 2" xfId="57733"/>
    <cellStyle name="Saída 4 6 2 2 3 2 3" xfId="45502"/>
    <cellStyle name="Saída 4 6 2 2 3 3" xfId="24126"/>
    <cellStyle name="Saída 4 6 2 2 3 3 2" xfId="53305"/>
    <cellStyle name="Saída 4 6 2 2 3 4" xfId="37176"/>
    <cellStyle name="Saída 4 6 2 2 4" xfId="12934"/>
    <cellStyle name="Saída 4 6 2 2 4 2" xfId="26425"/>
    <cellStyle name="Saída 4 6 2 2 4 2 2" xfId="55604"/>
    <cellStyle name="Saída 4 6 2 2 4 3" xfId="42115"/>
    <cellStyle name="Saída 4 6 2 2 5" xfId="21997"/>
    <cellStyle name="Saída 4 6 2 2 5 2" xfId="51176"/>
    <cellStyle name="Saída 4 6 2 2 6" xfId="32680"/>
    <cellStyle name="Saída 4 6 2 3" xfId="5054"/>
    <cellStyle name="Saída 4 6 2 3 2" xfId="14104"/>
    <cellStyle name="Saída 4 6 2 3 2 2" xfId="27145"/>
    <cellStyle name="Saída 4 6 2 3 2 2 2" xfId="56324"/>
    <cellStyle name="Saída 4 6 2 3 2 3" xfId="43285"/>
    <cellStyle name="Saída 4 6 2 3 3" xfId="22717"/>
    <cellStyle name="Saída 4 6 2 3 3 2" xfId="51896"/>
    <cellStyle name="Saída 4 6 2 3 4" xfId="34237"/>
    <cellStyle name="Saída 4 6 2 4" xfId="9711"/>
    <cellStyle name="Saída 4 6 2 4 2" xfId="17551"/>
    <cellStyle name="Saída 4 6 2 4 2 2" xfId="29234"/>
    <cellStyle name="Saída 4 6 2 4 2 2 2" xfId="58413"/>
    <cellStyle name="Saída 4 6 2 4 2 3" xfId="46732"/>
    <cellStyle name="Saída 4 6 2 4 3" xfId="24806"/>
    <cellStyle name="Saída 4 6 2 4 3 2" xfId="53985"/>
    <cellStyle name="Saída 4 6 2 4 4" xfId="38894"/>
    <cellStyle name="Saída 4 6 2 5" xfId="11661"/>
    <cellStyle name="Saída 4 6 2 5 2" xfId="25705"/>
    <cellStyle name="Saída 4 6 2 5 2 2" xfId="54884"/>
    <cellStyle name="Saída 4 6 2 5 3" xfId="40842"/>
    <cellStyle name="Saída 4 6 2 6" xfId="21277"/>
    <cellStyle name="Saída 4 6 2 6 2" xfId="50456"/>
    <cellStyle name="Saída 4 6 2 7" xfId="30880"/>
    <cellStyle name="Saída 4 6 3" xfId="2597"/>
    <cellStyle name="Saída 4 6 3 2" xfId="5774"/>
    <cellStyle name="Saída 4 6 3 2 2" xfId="14669"/>
    <cellStyle name="Saída 4 6 3 2 2 2" xfId="27505"/>
    <cellStyle name="Saída 4 6 3 2 2 2 2" xfId="56684"/>
    <cellStyle name="Saída 4 6 3 2 2 3" xfId="43850"/>
    <cellStyle name="Saída 4 6 3 2 3" xfId="23077"/>
    <cellStyle name="Saída 4 6 3 2 3 2" xfId="52256"/>
    <cellStyle name="Saída 4 6 3 2 4" xfId="34957"/>
    <cellStyle name="Saída 4 6 3 3" xfId="8317"/>
    <cellStyle name="Saída 4 6 3 3 2" xfId="16552"/>
    <cellStyle name="Saída 4 6 3 3 2 2" xfId="28681"/>
    <cellStyle name="Saída 4 6 3 3 2 2 2" xfId="57860"/>
    <cellStyle name="Saída 4 6 3 3 2 3" xfId="45733"/>
    <cellStyle name="Saída 4 6 3 3 3" xfId="24253"/>
    <cellStyle name="Saída 4 6 3 3 3 2" xfId="53432"/>
    <cellStyle name="Saída 4 6 3 3 4" xfId="37500"/>
    <cellStyle name="Saída 4 6 3 4" xfId="12296"/>
    <cellStyle name="Saída 4 6 3 4 2" xfId="26065"/>
    <cellStyle name="Saída 4 6 3 4 2 2" xfId="55244"/>
    <cellStyle name="Saída 4 6 3 4 3" xfId="41477"/>
    <cellStyle name="Saída 4 6 3 5" xfId="21637"/>
    <cellStyle name="Saída 4 6 3 5 2" xfId="50816"/>
    <cellStyle name="Saída 4 6 3 6" xfId="31780"/>
    <cellStyle name="Saída 4 6 4" xfId="4334"/>
    <cellStyle name="Saída 4 6 4 2" xfId="13548"/>
    <cellStyle name="Saída 4 6 4 2 2" xfId="26785"/>
    <cellStyle name="Saída 4 6 4 2 2 2" xfId="55964"/>
    <cellStyle name="Saída 4 6 4 2 3" xfId="42729"/>
    <cellStyle name="Saída 4 6 4 3" xfId="22357"/>
    <cellStyle name="Saída 4 6 4 3 2" xfId="51536"/>
    <cellStyle name="Saída 4 6 4 4" xfId="33517"/>
    <cellStyle name="Saída 4 6 5" xfId="7350"/>
    <cellStyle name="Saída 4 6 5 2" xfId="15877"/>
    <cellStyle name="Saída 4 6 5 2 2" xfId="28304"/>
    <cellStyle name="Saída 4 6 5 2 2 2" xfId="57483"/>
    <cellStyle name="Saída 4 6 5 2 3" xfId="45058"/>
    <cellStyle name="Saída 4 6 5 3" xfId="23876"/>
    <cellStyle name="Saída 4 6 5 3 2" xfId="53055"/>
    <cellStyle name="Saída 4 6 5 4" xfId="36533"/>
    <cellStyle name="Saída 4 6 6" xfId="10998"/>
    <cellStyle name="Saída 4 6 6 2" xfId="25319"/>
    <cellStyle name="Saída 4 6 6 2 2" xfId="54498"/>
    <cellStyle name="Saída 4 6 6 3" xfId="40179"/>
    <cellStyle name="Saída 4 6 7" xfId="20891"/>
    <cellStyle name="Saída 4 6 7 2" xfId="50070"/>
    <cellStyle name="Saída 4 6 8" xfId="29954"/>
    <cellStyle name="Saída 4 7" xfId="948"/>
    <cellStyle name="Saída 4 7 2" xfId="1861"/>
    <cellStyle name="Saída 4 7 2 2" xfId="3661"/>
    <cellStyle name="Saída 4 7 2 2 2" xfId="6622"/>
    <cellStyle name="Saída 4 7 2 2 2 2" xfId="15334"/>
    <cellStyle name="Saída 4 7 2 2 2 2 2" xfId="27939"/>
    <cellStyle name="Saída 4 7 2 2 2 2 2 2" xfId="57118"/>
    <cellStyle name="Saída 4 7 2 2 2 2 3" xfId="44515"/>
    <cellStyle name="Saída 4 7 2 2 2 3" xfId="23511"/>
    <cellStyle name="Saída 4 7 2 2 2 3 2" xfId="52690"/>
    <cellStyle name="Saída 4 7 2 2 2 4" xfId="35805"/>
    <cellStyle name="Saída 4 7 2 2 3" xfId="7866"/>
    <cellStyle name="Saída 4 7 2 2 3 2" xfId="16228"/>
    <cellStyle name="Saída 4 7 2 2 3 2 2" xfId="28504"/>
    <cellStyle name="Saída 4 7 2 2 3 2 2 2" xfId="57683"/>
    <cellStyle name="Saída 4 7 2 2 3 2 3" xfId="45409"/>
    <cellStyle name="Saída 4 7 2 2 3 3" xfId="24076"/>
    <cellStyle name="Saída 4 7 2 2 3 3 2" xfId="53255"/>
    <cellStyle name="Saída 4 7 2 2 3 4" xfId="37049"/>
    <cellStyle name="Saída 4 7 2 2 4" xfId="13055"/>
    <cellStyle name="Saída 4 7 2 2 4 2" xfId="26499"/>
    <cellStyle name="Saída 4 7 2 2 4 2 2" xfId="55678"/>
    <cellStyle name="Saída 4 7 2 2 4 3" xfId="42236"/>
    <cellStyle name="Saída 4 7 2 2 5" xfId="22071"/>
    <cellStyle name="Saída 4 7 2 2 5 2" xfId="51250"/>
    <cellStyle name="Saída 4 7 2 2 6" xfId="32844"/>
    <cellStyle name="Saída 4 7 2 3" xfId="5182"/>
    <cellStyle name="Saída 4 7 2 3 2" xfId="14212"/>
    <cellStyle name="Saída 4 7 2 3 2 2" xfId="27219"/>
    <cellStyle name="Saída 4 7 2 3 2 2 2" xfId="56398"/>
    <cellStyle name="Saída 4 7 2 3 2 3" xfId="43393"/>
    <cellStyle name="Saída 4 7 2 3 3" xfId="22791"/>
    <cellStyle name="Saída 4 7 2 3 3 2" xfId="51970"/>
    <cellStyle name="Saída 4 7 2 3 4" xfId="34365"/>
    <cellStyle name="Saída 4 7 2 4" xfId="9590"/>
    <cellStyle name="Saída 4 7 2 4 2" xfId="17464"/>
    <cellStyle name="Saída 4 7 2 4 2 2" xfId="29186"/>
    <cellStyle name="Saída 4 7 2 4 2 2 2" xfId="58365"/>
    <cellStyle name="Saída 4 7 2 4 2 3" xfId="46645"/>
    <cellStyle name="Saída 4 7 2 4 3" xfId="24758"/>
    <cellStyle name="Saída 4 7 2 4 3 2" xfId="53937"/>
    <cellStyle name="Saída 4 7 2 4 4" xfId="38773"/>
    <cellStyle name="Saída 4 7 2 5" xfId="11780"/>
    <cellStyle name="Saída 4 7 2 5 2" xfId="25779"/>
    <cellStyle name="Saída 4 7 2 5 2 2" xfId="54958"/>
    <cellStyle name="Saída 4 7 2 5 3" xfId="40961"/>
    <cellStyle name="Saída 4 7 2 6" xfId="21351"/>
    <cellStyle name="Saída 4 7 2 6 2" xfId="50530"/>
    <cellStyle name="Saída 4 7 2 7" xfId="31044"/>
    <cellStyle name="Saída 4 7 3" xfId="2761"/>
    <cellStyle name="Saída 4 7 3 2" xfId="5902"/>
    <cellStyle name="Saída 4 7 3 2 2" xfId="14777"/>
    <cellStyle name="Saída 4 7 3 2 2 2" xfId="27579"/>
    <cellStyle name="Saída 4 7 3 2 2 2 2" xfId="56758"/>
    <cellStyle name="Saída 4 7 3 2 2 3" xfId="43958"/>
    <cellStyle name="Saída 4 7 3 2 3" xfId="23151"/>
    <cellStyle name="Saída 4 7 3 2 3 2" xfId="52330"/>
    <cellStyle name="Saída 4 7 3 2 4" xfId="35085"/>
    <cellStyle name="Saída 4 7 3 3" xfId="8159"/>
    <cellStyle name="Saída 4 7 3 3 2" xfId="16436"/>
    <cellStyle name="Saída 4 7 3 3 2 2" xfId="28619"/>
    <cellStyle name="Saída 4 7 3 3 2 2 2" xfId="57798"/>
    <cellStyle name="Saída 4 7 3 3 2 3" xfId="45617"/>
    <cellStyle name="Saída 4 7 3 3 3" xfId="24191"/>
    <cellStyle name="Saída 4 7 3 3 3 2" xfId="53370"/>
    <cellStyle name="Saída 4 7 3 3 4" xfId="37342"/>
    <cellStyle name="Saída 4 7 3 4" xfId="12420"/>
    <cellStyle name="Saída 4 7 3 4 2" xfId="26139"/>
    <cellStyle name="Saída 4 7 3 4 2 2" xfId="55318"/>
    <cellStyle name="Saída 4 7 3 4 3" xfId="41601"/>
    <cellStyle name="Saída 4 7 3 5" xfId="21711"/>
    <cellStyle name="Saída 4 7 3 5 2" xfId="50890"/>
    <cellStyle name="Saída 4 7 3 6" xfId="31944"/>
    <cellStyle name="Saída 4 7 4" xfId="4462"/>
    <cellStyle name="Saída 4 7 4 2" xfId="13655"/>
    <cellStyle name="Saída 4 7 4 2 2" xfId="26859"/>
    <cellStyle name="Saída 4 7 4 2 2 2" xfId="56038"/>
    <cellStyle name="Saída 4 7 4 2 3" xfId="42836"/>
    <cellStyle name="Saída 4 7 4 3" xfId="22431"/>
    <cellStyle name="Saída 4 7 4 3 2" xfId="51610"/>
    <cellStyle name="Saída 4 7 4 4" xfId="33645"/>
    <cellStyle name="Saída 4 7 5" xfId="8639"/>
    <cellStyle name="Saída 4 7 5 2" xfId="16782"/>
    <cellStyle name="Saída 4 7 5 2 2" xfId="28805"/>
    <cellStyle name="Saída 4 7 5 2 2 2" xfId="57984"/>
    <cellStyle name="Saída 4 7 5 2 3" xfId="45963"/>
    <cellStyle name="Saída 4 7 5 3" xfId="24377"/>
    <cellStyle name="Saída 4 7 5 3 2" xfId="53556"/>
    <cellStyle name="Saída 4 7 5 4" xfId="37822"/>
    <cellStyle name="Saída 4 7 6" xfId="11143"/>
    <cellStyle name="Saída 4 7 6 2" xfId="25414"/>
    <cellStyle name="Saída 4 7 6 2 2" xfId="54593"/>
    <cellStyle name="Saída 4 7 6 3" xfId="40324"/>
    <cellStyle name="Saída 4 7 7" xfId="20986"/>
    <cellStyle name="Saída 4 7 7 2" xfId="50165"/>
    <cellStyle name="Saída 4 7 8" xfId="30139"/>
    <cellStyle name="Saída 4 8" xfId="1429"/>
    <cellStyle name="Saída 4 8 2" xfId="3229"/>
    <cellStyle name="Saída 4 8 2 2" xfId="6280"/>
    <cellStyle name="Saída 4 8 2 2 2" xfId="15063"/>
    <cellStyle name="Saída 4 8 2 2 2 2" xfId="27777"/>
    <cellStyle name="Saída 4 8 2 2 2 2 2" xfId="56956"/>
    <cellStyle name="Saída 4 8 2 2 2 3" xfId="44244"/>
    <cellStyle name="Saída 4 8 2 2 3" xfId="23349"/>
    <cellStyle name="Saída 4 8 2 2 3 2" xfId="52528"/>
    <cellStyle name="Saída 4 8 2 2 4" xfId="35463"/>
    <cellStyle name="Saída 4 8 2 3" xfId="8310"/>
    <cellStyle name="Saída 4 8 2 3 2" xfId="16548"/>
    <cellStyle name="Saída 4 8 2 3 2 2" xfId="28678"/>
    <cellStyle name="Saída 4 8 2 3 2 2 2" xfId="57857"/>
    <cellStyle name="Saída 4 8 2 3 2 3" xfId="45729"/>
    <cellStyle name="Saída 4 8 2 3 3" xfId="24250"/>
    <cellStyle name="Saída 4 8 2 3 3 2" xfId="53429"/>
    <cellStyle name="Saída 4 8 2 3 4" xfId="37493"/>
    <cellStyle name="Saída 4 8 2 4" xfId="12748"/>
    <cellStyle name="Saída 4 8 2 4 2" xfId="26337"/>
    <cellStyle name="Saída 4 8 2 4 2 2" xfId="55516"/>
    <cellStyle name="Saída 4 8 2 4 3" xfId="41929"/>
    <cellStyle name="Saída 4 8 2 5" xfId="21909"/>
    <cellStyle name="Saída 4 8 2 5 2" xfId="51088"/>
    <cellStyle name="Saída 4 8 2 6" xfId="32412"/>
    <cellStyle name="Saída 4 8 3" xfId="4840"/>
    <cellStyle name="Saída 4 8 3 2" xfId="13939"/>
    <cellStyle name="Saída 4 8 3 2 2" xfId="27057"/>
    <cellStyle name="Saída 4 8 3 2 2 2" xfId="56236"/>
    <cellStyle name="Saída 4 8 3 2 3" xfId="43120"/>
    <cellStyle name="Saída 4 8 3 3" xfId="22629"/>
    <cellStyle name="Saída 4 8 3 3 2" xfId="51808"/>
    <cellStyle name="Saída 4 8 3 4" xfId="34023"/>
    <cellStyle name="Saída 4 8 4" xfId="7848"/>
    <cellStyle name="Saída 4 8 4 2" xfId="16216"/>
    <cellStyle name="Saída 4 8 4 2 2" xfId="28495"/>
    <cellStyle name="Saída 4 8 4 2 2 2" xfId="57674"/>
    <cellStyle name="Saída 4 8 4 2 3" xfId="45397"/>
    <cellStyle name="Saída 4 8 4 3" xfId="24067"/>
    <cellStyle name="Saída 4 8 4 3 2" xfId="53246"/>
    <cellStyle name="Saída 4 8 4 4" xfId="37031"/>
    <cellStyle name="Saída 4 8 5" xfId="11477"/>
    <cellStyle name="Saída 4 8 5 2" xfId="25617"/>
    <cellStyle name="Saída 4 8 5 2 2" xfId="54796"/>
    <cellStyle name="Saída 4 8 5 3" xfId="40658"/>
    <cellStyle name="Saída 4 8 6" xfId="21189"/>
    <cellStyle name="Saída 4 8 6 2" xfId="50368"/>
    <cellStyle name="Saída 4 8 7" xfId="30612"/>
    <cellStyle name="Saída 4 9" xfId="2329"/>
    <cellStyle name="Saída 4 9 2" xfId="5560"/>
    <cellStyle name="Saída 4 9 2 2" xfId="14505"/>
    <cellStyle name="Saída 4 9 2 2 2" xfId="27417"/>
    <cellStyle name="Saída 4 9 2 2 2 2" xfId="56596"/>
    <cellStyle name="Saída 4 9 2 2 3" xfId="43686"/>
    <cellStyle name="Saída 4 9 2 3" xfId="22989"/>
    <cellStyle name="Saída 4 9 2 3 2" xfId="52168"/>
    <cellStyle name="Saída 4 9 2 4" xfId="34743"/>
    <cellStyle name="Saída 4 9 3" xfId="7822"/>
    <cellStyle name="Saída 4 9 3 2" xfId="16197"/>
    <cellStyle name="Saída 4 9 3 2 2" xfId="28483"/>
    <cellStyle name="Saída 4 9 3 2 2 2" xfId="57662"/>
    <cellStyle name="Saída 4 9 3 2 3" xfId="45378"/>
    <cellStyle name="Saída 4 9 3 3" xfId="24055"/>
    <cellStyle name="Saída 4 9 3 3 2" xfId="53234"/>
    <cellStyle name="Saída 4 9 3 4" xfId="37005"/>
    <cellStyle name="Saída 4 9 4" xfId="12109"/>
    <cellStyle name="Saída 4 9 4 2" xfId="25977"/>
    <cellStyle name="Saída 4 9 4 2 2" xfId="55156"/>
    <cellStyle name="Saída 4 9 4 3" xfId="41290"/>
    <cellStyle name="Saída 4 9 5" xfId="21549"/>
    <cellStyle name="Saída 4 9 5 2" xfId="50728"/>
    <cellStyle name="Saída 4 9 6" xfId="31512"/>
    <cellStyle name="Saída 5" xfId="344"/>
    <cellStyle name="Saída 5 10" xfId="4121"/>
    <cellStyle name="Saída 5 10 2" xfId="13385"/>
    <cellStyle name="Saída 5 10 2 2" xfId="26698"/>
    <cellStyle name="Saída 5 10 2 2 2" xfId="55877"/>
    <cellStyle name="Saída 5 10 2 3" xfId="42566"/>
    <cellStyle name="Saída 5 10 3" xfId="22270"/>
    <cellStyle name="Saída 5 10 3 2" xfId="51449"/>
    <cellStyle name="Saída 5 10 4" xfId="33304"/>
    <cellStyle name="Saída 5 11" xfId="10732"/>
    <cellStyle name="Saída 5 11 2" xfId="25158"/>
    <cellStyle name="Saída 5 11 2 2" xfId="54337"/>
    <cellStyle name="Saída 5 11 3" xfId="39913"/>
    <cellStyle name="Saída 5 12" xfId="20730"/>
    <cellStyle name="Saída 5 12 2" xfId="49909"/>
    <cellStyle name="Saída 5 13" xfId="58750"/>
    <cellStyle name="Saída 5 14" xfId="29613"/>
    <cellStyle name="Saída 5 2" xfId="452"/>
    <cellStyle name="Saída 5 2 10" xfId="8682"/>
    <cellStyle name="Saída 5 2 10 2" xfId="16812"/>
    <cellStyle name="Saída 5 2 10 2 2" xfId="28821"/>
    <cellStyle name="Saída 5 2 10 2 2 2" xfId="58000"/>
    <cellStyle name="Saída 5 2 10 2 3" xfId="45993"/>
    <cellStyle name="Saída 5 2 10 3" xfId="24393"/>
    <cellStyle name="Saída 5 2 10 3 2" xfId="53572"/>
    <cellStyle name="Saída 5 2 10 4" xfId="37865"/>
    <cellStyle name="Saída 5 2 11" xfId="10766"/>
    <cellStyle name="Saída 5 2 11 2" xfId="25176"/>
    <cellStyle name="Saída 5 2 11 2 2" xfId="54355"/>
    <cellStyle name="Saída 5 2 11 3" xfId="39947"/>
    <cellStyle name="Saída 5 2 12" xfId="20748"/>
    <cellStyle name="Saída 5 2 12 2" xfId="49927"/>
    <cellStyle name="Saída 5 2 13" xfId="58795"/>
    <cellStyle name="Saída 5 2 14" xfId="29658"/>
    <cellStyle name="Saída 5 2 2" xfId="542"/>
    <cellStyle name="Saída 5 2 2 10" xfId="10829"/>
    <cellStyle name="Saída 5 2 2 10 2" xfId="25212"/>
    <cellStyle name="Saída 5 2 2 10 2 2" xfId="54391"/>
    <cellStyle name="Saída 5 2 2 10 3" xfId="40010"/>
    <cellStyle name="Saída 5 2 2 11" xfId="20784"/>
    <cellStyle name="Saída 5 2 2 11 2" xfId="49963"/>
    <cellStyle name="Saída 5 2 2 12" xfId="29748"/>
    <cellStyle name="Saída 5 2 2 2" xfId="895"/>
    <cellStyle name="Saída 5 2 2 2 2" xfId="1833"/>
    <cellStyle name="Saída 5 2 2 2 2 2" xfId="3633"/>
    <cellStyle name="Saída 5 2 2 2 2 2 2" xfId="6603"/>
    <cellStyle name="Saída 5 2 2 2 2 2 2 2" xfId="15315"/>
    <cellStyle name="Saída 5 2 2 2 2 2 2 2 2" xfId="27920"/>
    <cellStyle name="Saída 5 2 2 2 2 2 2 2 2 2" xfId="57099"/>
    <cellStyle name="Saída 5 2 2 2 2 2 2 2 3" xfId="44496"/>
    <cellStyle name="Saída 5 2 2 2 2 2 2 3" xfId="23492"/>
    <cellStyle name="Saída 5 2 2 2 2 2 2 3 2" xfId="52671"/>
    <cellStyle name="Saída 5 2 2 2 2 2 2 4" xfId="35786"/>
    <cellStyle name="Saída 5 2 2 2 2 2 3" xfId="8149"/>
    <cellStyle name="Saída 5 2 2 2 2 2 3 2" xfId="16429"/>
    <cellStyle name="Saída 5 2 2 2 2 2 3 2 2" xfId="28615"/>
    <cellStyle name="Saída 5 2 2 2 2 2 3 2 2 2" xfId="57794"/>
    <cellStyle name="Saída 5 2 2 2 2 2 3 2 3" xfId="45610"/>
    <cellStyle name="Saída 5 2 2 2 2 2 3 3" xfId="24187"/>
    <cellStyle name="Saída 5 2 2 2 2 2 3 3 2" xfId="53366"/>
    <cellStyle name="Saída 5 2 2 2 2 2 3 4" xfId="37332"/>
    <cellStyle name="Saída 5 2 2 2 2 2 4" xfId="13034"/>
    <cellStyle name="Saída 5 2 2 2 2 2 4 2" xfId="26480"/>
    <cellStyle name="Saída 5 2 2 2 2 2 4 2 2" xfId="55659"/>
    <cellStyle name="Saída 5 2 2 2 2 2 4 3" xfId="42215"/>
    <cellStyle name="Saída 5 2 2 2 2 2 5" xfId="22052"/>
    <cellStyle name="Saída 5 2 2 2 2 2 5 2" xfId="51231"/>
    <cellStyle name="Saída 5 2 2 2 2 2 6" xfId="32816"/>
    <cellStyle name="Saída 5 2 2 2 2 3" xfId="5163"/>
    <cellStyle name="Saída 5 2 2 2 2 3 2" xfId="14193"/>
    <cellStyle name="Saída 5 2 2 2 2 3 2 2" xfId="27200"/>
    <cellStyle name="Saída 5 2 2 2 2 3 2 2 2" xfId="56379"/>
    <cellStyle name="Saída 5 2 2 2 2 3 2 3" xfId="43374"/>
    <cellStyle name="Saída 5 2 2 2 2 3 3" xfId="22772"/>
    <cellStyle name="Saída 5 2 2 2 2 3 3 2" xfId="51951"/>
    <cellStyle name="Saída 5 2 2 2 2 3 4" xfId="34346"/>
    <cellStyle name="Saída 5 2 2 2 2 4" xfId="7392"/>
    <cellStyle name="Saída 5 2 2 2 2 4 2" xfId="15906"/>
    <cellStyle name="Saída 5 2 2 2 2 4 2 2" xfId="28322"/>
    <cellStyle name="Saída 5 2 2 2 2 4 2 2 2" xfId="57501"/>
    <cellStyle name="Saída 5 2 2 2 2 4 2 3" xfId="45087"/>
    <cellStyle name="Saída 5 2 2 2 2 4 3" xfId="23894"/>
    <cellStyle name="Saída 5 2 2 2 2 4 3 2" xfId="53073"/>
    <cellStyle name="Saída 5 2 2 2 2 4 4" xfId="36575"/>
    <cellStyle name="Saída 5 2 2 2 2 5" xfId="11758"/>
    <cellStyle name="Saída 5 2 2 2 2 5 2" xfId="25760"/>
    <cellStyle name="Saída 5 2 2 2 2 5 2 2" xfId="54939"/>
    <cellStyle name="Saída 5 2 2 2 2 5 3" xfId="40939"/>
    <cellStyle name="Saída 5 2 2 2 2 6" xfId="21332"/>
    <cellStyle name="Saída 5 2 2 2 2 6 2" xfId="50511"/>
    <cellStyle name="Saída 5 2 2 2 2 7" xfId="31016"/>
    <cellStyle name="Saída 5 2 2 2 3" xfId="2733"/>
    <cellStyle name="Saída 5 2 2 2 3 2" xfId="5883"/>
    <cellStyle name="Saída 5 2 2 2 3 2 2" xfId="14758"/>
    <cellStyle name="Saída 5 2 2 2 3 2 2 2" xfId="27560"/>
    <cellStyle name="Saída 5 2 2 2 3 2 2 2 2" xfId="56739"/>
    <cellStyle name="Saída 5 2 2 2 3 2 2 3" xfId="43939"/>
    <cellStyle name="Saída 5 2 2 2 3 2 3" xfId="23132"/>
    <cellStyle name="Saída 5 2 2 2 3 2 3 2" xfId="52311"/>
    <cellStyle name="Saída 5 2 2 2 3 2 4" xfId="35066"/>
    <cellStyle name="Saída 5 2 2 2 3 3" xfId="7460"/>
    <cellStyle name="Saída 5 2 2 2 3 3 2" xfId="15950"/>
    <cellStyle name="Saída 5 2 2 2 3 3 2 2" xfId="28349"/>
    <cellStyle name="Saída 5 2 2 2 3 3 2 2 2" xfId="57528"/>
    <cellStyle name="Saída 5 2 2 2 3 3 2 3" xfId="45131"/>
    <cellStyle name="Saída 5 2 2 2 3 3 3" xfId="23921"/>
    <cellStyle name="Saída 5 2 2 2 3 3 3 2" xfId="53100"/>
    <cellStyle name="Saída 5 2 2 2 3 3 4" xfId="36643"/>
    <cellStyle name="Saída 5 2 2 2 3 4" xfId="12399"/>
    <cellStyle name="Saída 5 2 2 2 3 4 2" xfId="26120"/>
    <cellStyle name="Saída 5 2 2 2 3 4 2 2" xfId="55299"/>
    <cellStyle name="Saída 5 2 2 2 3 4 3" xfId="41580"/>
    <cellStyle name="Saída 5 2 2 2 3 5" xfId="21692"/>
    <cellStyle name="Saída 5 2 2 2 3 5 2" xfId="50871"/>
    <cellStyle name="Saída 5 2 2 2 3 6" xfId="31916"/>
    <cellStyle name="Saída 5 2 2 2 4" xfId="4443"/>
    <cellStyle name="Saída 5 2 2 2 4 2" xfId="13636"/>
    <cellStyle name="Saída 5 2 2 2 4 2 2" xfId="26840"/>
    <cellStyle name="Saída 5 2 2 2 4 2 2 2" xfId="56019"/>
    <cellStyle name="Saída 5 2 2 2 4 2 3" xfId="42817"/>
    <cellStyle name="Saída 5 2 2 2 4 3" xfId="22412"/>
    <cellStyle name="Saída 5 2 2 2 4 3 2" xfId="51591"/>
    <cellStyle name="Saída 5 2 2 2 4 4" xfId="33626"/>
    <cellStyle name="Saída 5 2 2 2 5" xfId="8717"/>
    <cellStyle name="Saída 5 2 2 2 5 2" xfId="16840"/>
    <cellStyle name="Saída 5 2 2 2 5 2 2" xfId="28839"/>
    <cellStyle name="Saída 5 2 2 2 5 2 2 2" xfId="58018"/>
    <cellStyle name="Saída 5 2 2 2 5 2 3" xfId="46021"/>
    <cellStyle name="Saída 5 2 2 2 5 3" xfId="24411"/>
    <cellStyle name="Saída 5 2 2 2 5 3 2" xfId="53590"/>
    <cellStyle name="Saída 5 2 2 2 5 4" xfId="37900"/>
    <cellStyle name="Saída 5 2 2 2 6" xfId="11099"/>
    <cellStyle name="Saída 5 2 2 2 6 2" xfId="25376"/>
    <cellStyle name="Saída 5 2 2 2 6 2 2" xfId="54555"/>
    <cellStyle name="Saída 5 2 2 2 6 3" xfId="40280"/>
    <cellStyle name="Saída 5 2 2 2 7" xfId="20948"/>
    <cellStyle name="Saída 5 2 2 2 7 2" xfId="50127"/>
    <cellStyle name="Saída 5 2 2 2 8" xfId="30092"/>
    <cellStyle name="Saída 5 2 2 3" xfId="1087"/>
    <cellStyle name="Saída 5 2 2 3 2" xfId="1997"/>
    <cellStyle name="Saída 5 2 2 3 2 2" xfId="3797"/>
    <cellStyle name="Saída 5 2 2 3 2 2 2" xfId="6731"/>
    <cellStyle name="Saída 5 2 2 3 2 2 2 2" xfId="15417"/>
    <cellStyle name="Saída 5 2 2 3 2 2 2 2 2" xfId="27994"/>
    <cellStyle name="Saída 5 2 2 3 2 2 2 2 2 2" xfId="57173"/>
    <cellStyle name="Saída 5 2 2 3 2 2 2 2 3" xfId="44598"/>
    <cellStyle name="Saída 5 2 2 3 2 2 2 3" xfId="23566"/>
    <cellStyle name="Saída 5 2 2 3 2 2 2 3 2" xfId="52745"/>
    <cellStyle name="Saída 5 2 2 3 2 2 2 4" xfId="35914"/>
    <cellStyle name="Saída 5 2 2 3 2 2 3" xfId="8027"/>
    <cellStyle name="Saída 5 2 2 3 2 2 3 2" xfId="16344"/>
    <cellStyle name="Saída 5 2 2 3 2 2 3 2 2" xfId="28565"/>
    <cellStyle name="Saída 5 2 2 3 2 2 3 2 2 2" xfId="57744"/>
    <cellStyle name="Saída 5 2 2 3 2 2 3 2 3" xfId="45525"/>
    <cellStyle name="Saída 5 2 2 3 2 2 3 3" xfId="24137"/>
    <cellStyle name="Saída 5 2 2 3 2 2 3 3 2" xfId="53316"/>
    <cellStyle name="Saída 5 2 2 3 2 2 3 4" xfId="37210"/>
    <cellStyle name="Saída 5 2 2 3 2 2 4" xfId="13154"/>
    <cellStyle name="Saída 5 2 2 3 2 2 4 2" xfId="26554"/>
    <cellStyle name="Saída 5 2 2 3 2 2 4 2 2" xfId="55733"/>
    <cellStyle name="Saída 5 2 2 3 2 2 4 3" xfId="42335"/>
    <cellStyle name="Saída 5 2 2 3 2 2 5" xfId="22126"/>
    <cellStyle name="Saída 5 2 2 3 2 2 5 2" xfId="51305"/>
    <cellStyle name="Saída 5 2 2 3 2 2 6" xfId="32980"/>
    <cellStyle name="Saída 5 2 2 3 2 3" xfId="5291"/>
    <cellStyle name="Saída 5 2 2 3 2 3 2" xfId="14296"/>
    <cellStyle name="Saída 5 2 2 3 2 3 2 2" xfId="27274"/>
    <cellStyle name="Saída 5 2 2 3 2 3 2 2 2" xfId="56453"/>
    <cellStyle name="Saída 5 2 2 3 2 3 2 3" xfId="43477"/>
    <cellStyle name="Saída 5 2 2 3 2 3 3" xfId="22846"/>
    <cellStyle name="Saída 5 2 2 3 2 3 3 2" xfId="52025"/>
    <cellStyle name="Saída 5 2 2 3 2 3 4" xfId="34474"/>
    <cellStyle name="Saída 5 2 2 3 2 4" xfId="8246"/>
    <cellStyle name="Saída 5 2 2 3 2 4 2" xfId="16502"/>
    <cellStyle name="Saída 5 2 2 3 2 4 2 2" xfId="28655"/>
    <cellStyle name="Saída 5 2 2 3 2 4 2 2 2" xfId="57834"/>
    <cellStyle name="Saída 5 2 2 3 2 4 2 3" xfId="45683"/>
    <cellStyle name="Saída 5 2 2 3 2 4 3" xfId="24227"/>
    <cellStyle name="Saída 5 2 2 3 2 4 3 2" xfId="53406"/>
    <cellStyle name="Saída 5 2 2 3 2 4 4" xfId="37429"/>
    <cellStyle name="Saída 5 2 2 3 2 5" xfId="11878"/>
    <cellStyle name="Saída 5 2 2 3 2 5 2" xfId="25834"/>
    <cellStyle name="Saída 5 2 2 3 2 5 2 2" xfId="55013"/>
    <cellStyle name="Saída 5 2 2 3 2 5 3" xfId="41059"/>
    <cellStyle name="Saída 5 2 2 3 2 6" xfId="21406"/>
    <cellStyle name="Saída 5 2 2 3 2 6 2" xfId="50585"/>
    <cellStyle name="Saída 5 2 2 3 2 7" xfId="31180"/>
    <cellStyle name="Saída 5 2 2 3 3" xfId="2897"/>
    <cellStyle name="Saída 5 2 2 3 3 2" xfId="6011"/>
    <cellStyle name="Saída 5 2 2 3 3 2 2" xfId="14857"/>
    <cellStyle name="Saída 5 2 2 3 3 2 2 2" xfId="27634"/>
    <cellStyle name="Saída 5 2 2 3 3 2 2 2 2" xfId="56813"/>
    <cellStyle name="Saída 5 2 2 3 3 2 2 3" xfId="44038"/>
    <cellStyle name="Saída 5 2 2 3 3 2 3" xfId="23206"/>
    <cellStyle name="Saída 5 2 2 3 3 2 3 2" xfId="52385"/>
    <cellStyle name="Saída 5 2 2 3 3 2 4" xfId="35194"/>
    <cellStyle name="Saída 5 2 2 3 3 3" xfId="9776"/>
    <cellStyle name="Saída 5 2 2 3 3 3 2" xfId="17604"/>
    <cellStyle name="Saída 5 2 2 3 3 3 2 2" xfId="29259"/>
    <cellStyle name="Saída 5 2 2 3 3 3 2 2 2" xfId="58438"/>
    <cellStyle name="Saída 5 2 2 3 3 3 2 3" xfId="46785"/>
    <cellStyle name="Saída 5 2 2 3 3 3 3" xfId="24831"/>
    <cellStyle name="Saída 5 2 2 3 3 3 3 2" xfId="54010"/>
    <cellStyle name="Saída 5 2 2 3 3 3 4" xfId="38959"/>
    <cellStyle name="Saída 5 2 2 3 3 4" xfId="12514"/>
    <cellStyle name="Saída 5 2 2 3 3 4 2" xfId="26194"/>
    <cellStyle name="Saída 5 2 2 3 3 4 2 2" xfId="55373"/>
    <cellStyle name="Saída 5 2 2 3 3 4 3" xfId="41695"/>
    <cellStyle name="Saída 5 2 2 3 3 5" xfId="21766"/>
    <cellStyle name="Saída 5 2 2 3 3 5 2" xfId="50945"/>
    <cellStyle name="Saída 5 2 2 3 3 6" xfId="32080"/>
    <cellStyle name="Saída 5 2 2 3 4" xfId="4571"/>
    <cellStyle name="Saída 5 2 2 3 4 2" xfId="13737"/>
    <cellStyle name="Saída 5 2 2 3 4 2 2" xfId="26914"/>
    <cellStyle name="Saída 5 2 2 3 4 2 2 2" xfId="56093"/>
    <cellStyle name="Saída 5 2 2 3 4 2 3" xfId="42918"/>
    <cellStyle name="Saída 5 2 2 3 4 3" xfId="22486"/>
    <cellStyle name="Saída 5 2 2 3 4 3 2" xfId="51665"/>
    <cellStyle name="Saída 5 2 2 3 4 4" xfId="33754"/>
    <cellStyle name="Saída 5 2 2 3 5" xfId="8217"/>
    <cellStyle name="Saída 5 2 2 3 5 2" xfId="16481"/>
    <cellStyle name="Saída 5 2 2 3 5 2 2" xfId="28641"/>
    <cellStyle name="Saída 5 2 2 3 5 2 2 2" xfId="57820"/>
    <cellStyle name="Saída 5 2 2 3 5 2 3" xfId="45662"/>
    <cellStyle name="Saída 5 2 2 3 5 3" xfId="24213"/>
    <cellStyle name="Saída 5 2 2 3 5 3 2" xfId="53392"/>
    <cellStyle name="Saída 5 2 2 3 5 4" xfId="37400"/>
    <cellStyle name="Saída 5 2 2 3 6" xfId="11242"/>
    <cellStyle name="Saída 5 2 2 3 6 2" xfId="25471"/>
    <cellStyle name="Saída 5 2 2 3 6 2 2" xfId="54650"/>
    <cellStyle name="Saída 5 2 2 3 6 3" xfId="40423"/>
    <cellStyle name="Saída 5 2 2 3 7" xfId="21043"/>
    <cellStyle name="Saída 5 2 2 3 7 2" xfId="50222"/>
    <cellStyle name="Saída 5 2 2 3 8" xfId="30277"/>
    <cellStyle name="Saída 5 2 2 4" xfId="1237"/>
    <cellStyle name="Saída 5 2 2 4 2" xfId="2141"/>
    <cellStyle name="Saída 5 2 2 4 2 2" xfId="3941"/>
    <cellStyle name="Saída 5 2 2 4 2 2 2" xfId="6848"/>
    <cellStyle name="Saída 5 2 2 4 2 2 2 2" xfId="15507"/>
    <cellStyle name="Saída 5 2 2 4 2 2 2 2 2" xfId="28057"/>
    <cellStyle name="Saída 5 2 2 4 2 2 2 2 2 2" xfId="57236"/>
    <cellStyle name="Saída 5 2 2 4 2 2 2 2 3" xfId="44688"/>
    <cellStyle name="Saída 5 2 2 4 2 2 2 3" xfId="23629"/>
    <cellStyle name="Saída 5 2 2 4 2 2 2 3 2" xfId="52808"/>
    <cellStyle name="Saída 5 2 2 4 2 2 2 4" xfId="36031"/>
    <cellStyle name="Saída 5 2 2 4 2 2 3" xfId="7139"/>
    <cellStyle name="Saída 5 2 2 4 2 2 3 2" xfId="15729"/>
    <cellStyle name="Saída 5 2 2 4 2 2 3 2 2" xfId="28211"/>
    <cellStyle name="Saída 5 2 2 4 2 2 3 2 2 2" xfId="57390"/>
    <cellStyle name="Saída 5 2 2 4 2 2 3 2 3" xfId="44910"/>
    <cellStyle name="Saída 5 2 2 4 2 2 3 3" xfId="23783"/>
    <cellStyle name="Saída 5 2 2 4 2 2 3 3 2" xfId="52962"/>
    <cellStyle name="Saída 5 2 2 4 2 2 3 4" xfId="36322"/>
    <cellStyle name="Saída 5 2 2 4 2 2 4" xfId="13252"/>
    <cellStyle name="Saída 5 2 2 4 2 2 4 2" xfId="26617"/>
    <cellStyle name="Saída 5 2 2 4 2 2 4 2 2" xfId="55796"/>
    <cellStyle name="Saída 5 2 2 4 2 2 4 3" xfId="42433"/>
    <cellStyle name="Saída 5 2 2 4 2 2 5" xfId="22189"/>
    <cellStyle name="Saída 5 2 2 4 2 2 5 2" xfId="51368"/>
    <cellStyle name="Saída 5 2 2 4 2 2 6" xfId="33124"/>
    <cellStyle name="Saída 5 2 2 4 2 3" xfId="5408"/>
    <cellStyle name="Saída 5 2 2 4 2 3 2" xfId="14385"/>
    <cellStyle name="Saída 5 2 2 4 2 3 2 2" xfId="27337"/>
    <cellStyle name="Saída 5 2 2 4 2 3 2 2 2" xfId="56516"/>
    <cellStyle name="Saída 5 2 2 4 2 3 2 3" xfId="43566"/>
    <cellStyle name="Saída 5 2 2 4 2 3 3" xfId="22909"/>
    <cellStyle name="Saída 5 2 2 4 2 3 3 2" xfId="52088"/>
    <cellStyle name="Saída 5 2 2 4 2 3 4" xfId="34591"/>
    <cellStyle name="Saída 5 2 2 4 2 4" xfId="10394"/>
    <cellStyle name="Saída 5 2 2 4 2 4 2" xfId="18033"/>
    <cellStyle name="Saída 5 2 2 4 2 4 2 2" xfId="29503"/>
    <cellStyle name="Saída 5 2 2 4 2 4 2 2 2" xfId="58682"/>
    <cellStyle name="Saída 5 2 2 4 2 4 2 3" xfId="47214"/>
    <cellStyle name="Saída 5 2 2 4 2 4 3" xfId="25075"/>
    <cellStyle name="Saída 5 2 2 4 2 4 3 2" xfId="54254"/>
    <cellStyle name="Saída 5 2 2 4 2 4 4" xfId="39577"/>
    <cellStyle name="Saída 5 2 2 4 2 5" xfId="11977"/>
    <cellStyle name="Saída 5 2 2 4 2 5 2" xfId="25897"/>
    <cellStyle name="Saída 5 2 2 4 2 5 2 2" xfId="55076"/>
    <cellStyle name="Saída 5 2 2 4 2 5 3" xfId="41158"/>
    <cellStyle name="Saída 5 2 2 4 2 6" xfId="21469"/>
    <cellStyle name="Saída 5 2 2 4 2 6 2" xfId="50648"/>
    <cellStyle name="Saída 5 2 2 4 2 7" xfId="31324"/>
    <cellStyle name="Saída 5 2 2 4 3" xfId="3041"/>
    <cellStyle name="Saída 5 2 2 4 3 2" xfId="6128"/>
    <cellStyle name="Saída 5 2 2 4 3 2 2" xfId="14946"/>
    <cellStyle name="Saída 5 2 2 4 3 2 2 2" xfId="27697"/>
    <cellStyle name="Saída 5 2 2 4 3 2 2 2 2" xfId="56876"/>
    <cellStyle name="Saída 5 2 2 4 3 2 2 3" xfId="44127"/>
    <cellStyle name="Saída 5 2 2 4 3 2 3" xfId="23269"/>
    <cellStyle name="Saída 5 2 2 4 3 2 3 2" xfId="52448"/>
    <cellStyle name="Saída 5 2 2 4 3 2 4" xfId="35311"/>
    <cellStyle name="Saída 5 2 2 4 3 3" xfId="9617"/>
    <cellStyle name="Saída 5 2 2 4 3 3 2" xfId="17479"/>
    <cellStyle name="Saída 5 2 2 4 3 3 2 2" xfId="29196"/>
    <cellStyle name="Saída 5 2 2 4 3 3 2 2 2" xfId="58375"/>
    <cellStyle name="Saída 5 2 2 4 3 3 2 3" xfId="46660"/>
    <cellStyle name="Saída 5 2 2 4 3 3 3" xfId="24768"/>
    <cellStyle name="Saída 5 2 2 4 3 3 3 2" xfId="53947"/>
    <cellStyle name="Saída 5 2 2 4 3 3 4" xfId="38800"/>
    <cellStyle name="Saída 5 2 2 4 3 4" xfId="12613"/>
    <cellStyle name="Saída 5 2 2 4 3 4 2" xfId="26257"/>
    <cellStyle name="Saída 5 2 2 4 3 4 2 2" xfId="55436"/>
    <cellStyle name="Saída 5 2 2 4 3 4 3" xfId="41794"/>
    <cellStyle name="Saída 5 2 2 4 3 5" xfId="21829"/>
    <cellStyle name="Saída 5 2 2 4 3 5 2" xfId="51008"/>
    <cellStyle name="Saída 5 2 2 4 3 6" xfId="32224"/>
    <cellStyle name="Saída 5 2 2 4 4" xfId="4688"/>
    <cellStyle name="Saída 5 2 2 4 4 2" xfId="13826"/>
    <cellStyle name="Saída 5 2 2 4 4 2 2" xfId="26977"/>
    <cellStyle name="Saída 5 2 2 4 4 2 2 2" xfId="56156"/>
    <cellStyle name="Saída 5 2 2 4 4 2 3" xfId="43007"/>
    <cellStyle name="Saída 5 2 2 4 4 3" xfId="22549"/>
    <cellStyle name="Saída 5 2 2 4 4 3 2" xfId="51728"/>
    <cellStyle name="Saída 5 2 2 4 4 4" xfId="33871"/>
    <cellStyle name="Saída 5 2 2 4 5" xfId="9305"/>
    <cellStyle name="Saída 5 2 2 4 5 2" xfId="17267"/>
    <cellStyle name="Saída 5 2 2 4 5 2 2" xfId="29069"/>
    <cellStyle name="Saída 5 2 2 4 5 2 2 2" xfId="58248"/>
    <cellStyle name="Saída 5 2 2 4 5 2 3" xfId="46448"/>
    <cellStyle name="Saída 5 2 2 4 5 3" xfId="24641"/>
    <cellStyle name="Saída 5 2 2 4 5 3 2" xfId="53820"/>
    <cellStyle name="Saída 5 2 2 4 5 4" xfId="38488"/>
    <cellStyle name="Saída 5 2 2 4 6" xfId="11347"/>
    <cellStyle name="Saída 5 2 2 4 6 2" xfId="25537"/>
    <cellStyle name="Saída 5 2 2 4 6 2 2" xfId="54716"/>
    <cellStyle name="Saída 5 2 2 4 6 3" xfId="40528"/>
    <cellStyle name="Saída 5 2 2 4 7" xfId="21109"/>
    <cellStyle name="Saída 5 2 2 4 7 2" xfId="50288"/>
    <cellStyle name="Saída 5 2 2 4 8" xfId="30424"/>
    <cellStyle name="Saída 5 2 2 5" xfId="1383"/>
    <cellStyle name="Saída 5 2 2 5 2" xfId="2285"/>
    <cellStyle name="Saída 5 2 2 5 2 2" xfId="4085"/>
    <cellStyle name="Saída 5 2 2 5 2 2 2" xfId="6965"/>
    <cellStyle name="Saída 5 2 2 5 2 2 2 2" xfId="15597"/>
    <cellStyle name="Saída 5 2 2 5 2 2 2 2 2" xfId="28120"/>
    <cellStyle name="Saída 5 2 2 5 2 2 2 2 2 2" xfId="57299"/>
    <cellStyle name="Saída 5 2 2 5 2 2 2 2 3" xfId="44778"/>
    <cellStyle name="Saída 5 2 2 5 2 2 2 3" xfId="23692"/>
    <cellStyle name="Saída 5 2 2 5 2 2 2 3 2" xfId="52871"/>
    <cellStyle name="Saída 5 2 2 5 2 2 2 4" xfId="36148"/>
    <cellStyle name="Saída 5 2 2 5 2 2 3" xfId="6995"/>
    <cellStyle name="Saída 5 2 2 5 2 2 3 2" xfId="15625"/>
    <cellStyle name="Saída 5 2 2 5 2 2 3 2 2" xfId="28148"/>
    <cellStyle name="Saída 5 2 2 5 2 2 3 2 2 2" xfId="57327"/>
    <cellStyle name="Saída 5 2 2 5 2 2 3 2 3" xfId="44806"/>
    <cellStyle name="Saída 5 2 2 5 2 2 3 3" xfId="23720"/>
    <cellStyle name="Saída 5 2 2 5 2 2 3 3 2" xfId="52899"/>
    <cellStyle name="Saída 5 2 2 5 2 2 3 4" xfId="36178"/>
    <cellStyle name="Saída 5 2 2 5 2 2 4" xfId="13357"/>
    <cellStyle name="Saída 5 2 2 5 2 2 4 2" xfId="26680"/>
    <cellStyle name="Saída 5 2 2 5 2 2 4 2 2" xfId="55859"/>
    <cellStyle name="Saída 5 2 2 5 2 2 4 3" xfId="42538"/>
    <cellStyle name="Saída 5 2 2 5 2 2 5" xfId="22252"/>
    <cellStyle name="Saída 5 2 2 5 2 2 5 2" xfId="51431"/>
    <cellStyle name="Saída 5 2 2 5 2 2 6" xfId="33268"/>
    <cellStyle name="Saída 5 2 2 5 2 3" xfId="5525"/>
    <cellStyle name="Saída 5 2 2 5 2 3 2" xfId="14478"/>
    <cellStyle name="Saída 5 2 2 5 2 3 2 2" xfId="27400"/>
    <cellStyle name="Saída 5 2 2 5 2 3 2 2 2" xfId="56579"/>
    <cellStyle name="Saída 5 2 2 5 2 3 2 3" xfId="43659"/>
    <cellStyle name="Saída 5 2 2 5 2 3 3" xfId="22972"/>
    <cellStyle name="Saída 5 2 2 5 2 3 3 2" xfId="52151"/>
    <cellStyle name="Saída 5 2 2 5 2 3 4" xfId="34708"/>
    <cellStyle name="Saída 5 2 2 5 2 4" xfId="7830"/>
    <cellStyle name="Saída 5 2 2 5 2 4 2" xfId="16204"/>
    <cellStyle name="Saída 5 2 2 5 2 4 2 2" xfId="28487"/>
    <cellStyle name="Saída 5 2 2 5 2 4 2 2 2" xfId="57666"/>
    <cellStyle name="Saída 5 2 2 5 2 4 2 3" xfId="45385"/>
    <cellStyle name="Saída 5 2 2 5 2 4 3" xfId="24059"/>
    <cellStyle name="Saída 5 2 2 5 2 4 3 2" xfId="53238"/>
    <cellStyle name="Saída 5 2 2 5 2 4 4" xfId="37013"/>
    <cellStyle name="Saída 5 2 2 5 2 5" xfId="12078"/>
    <cellStyle name="Saída 5 2 2 5 2 5 2" xfId="25960"/>
    <cellStyle name="Saída 5 2 2 5 2 5 2 2" xfId="55139"/>
    <cellStyle name="Saída 5 2 2 5 2 5 3" xfId="41259"/>
    <cellStyle name="Saída 5 2 2 5 2 6" xfId="21532"/>
    <cellStyle name="Saída 5 2 2 5 2 6 2" xfId="50711"/>
    <cellStyle name="Saída 5 2 2 5 2 7" xfId="31468"/>
    <cellStyle name="Saída 5 2 2 5 3" xfId="3185"/>
    <cellStyle name="Saída 5 2 2 5 3 2" xfId="6245"/>
    <cellStyle name="Saída 5 2 2 5 3 2 2" xfId="15038"/>
    <cellStyle name="Saída 5 2 2 5 3 2 2 2" xfId="27760"/>
    <cellStyle name="Saída 5 2 2 5 3 2 2 2 2" xfId="56939"/>
    <cellStyle name="Saída 5 2 2 5 3 2 2 3" xfId="44219"/>
    <cellStyle name="Saída 5 2 2 5 3 2 3" xfId="23332"/>
    <cellStyle name="Saída 5 2 2 5 3 2 3 2" xfId="52511"/>
    <cellStyle name="Saída 5 2 2 5 3 2 4" xfId="35428"/>
    <cellStyle name="Saída 5 2 2 5 3 3" xfId="7184"/>
    <cellStyle name="Saída 5 2 2 5 3 3 2" xfId="15760"/>
    <cellStyle name="Saída 5 2 2 5 3 3 2 2" xfId="28232"/>
    <cellStyle name="Saída 5 2 2 5 3 3 2 2 2" xfId="57411"/>
    <cellStyle name="Saída 5 2 2 5 3 3 2 3" xfId="44941"/>
    <cellStyle name="Saída 5 2 2 5 3 3 3" xfId="23804"/>
    <cellStyle name="Saída 5 2 2 5 3 3 3 2" xfId="52983"/>
    <cellStyle name="Saída 5 2 2 5 3 3 4" xfId="36367"/>
    <cellStyle name="Saída 5 2 2 5 3 4" xfId="12719"/>
    <cellStyle name="Saída 5 2 2 5 3 4 2" xfId="26320"/>
    <cellStyle name="Saída 5 2 2 5 3 4 2 2" xfId="55499"/>
    <cellStyle name="Saída 5 2 2 5 3 4 3" xfId="41900"/>
    <cellStyle name="Saída 5 2 2 5 3 5" xfId="21892"/>
    <cellStyle name="Saída 5 2 2 5 3 5 2" xfId="51071"/>
    <cellStyle name="Saída 5 2 2 5 3 6" xfId="32368"/>
    <cellStyle name="Saída 5 2 2 5 4" xfId="4805"/>
    <cellStyle name="Saída 5 2 2 5 4 2" xfId="13914"/>
    <cellStyle name="Saída 5 2 2 5 4 2 2" xfId="27040"/>
    <cellStyle name="Saída 5 2 2 5 4 2 2 2" xfId="56219"/>
    <cellStyle name="Saída 5 2 2 5 4 2 3" xfId="43095"/>
    <cellStyle name="Saída 5 2 2 5 4 3" xfId="22612"/>
    <cellStyle name="Saída 5 2 2 5 4 3 2" xfId="51791"/>
    <cellStyle name="Saída 5 2 2 5 4 4" xfId="33988"/>
    <cellStyle name="Saída 5 2 2 5 5" xfId="9830"/>
    <cellStyle name="Saída 5 2 2 5 5 2" xfId="17646"/>
    <cellStyle name="Saída 5 2 2 5 5 2 2" xfId="29283"/>
    <cellStyle name="Saída 5 2 2 5 5 2 2 2" xfId="58462"/>
    <cellStyle name="Saída 5 2 2 5 5 2 3" xfId="46827"/>
    <cellStyle name="Saída 5 2 2 5 5 3" xfId="24855"/>
    <cellStyle name="Saída 5 2 2 5 5 3 2" xfId="54034"/>
    <cellStyle name="Saída 5 2 2 5 5 4" xfId="39013"/>
    <cellStyle name="Saída 5 2 2 5 6" xfId="11447"/>
    <cellStyle name="Saída 5 2 2 5 6 2" xfId="25600"/>
    <cellStyle name="Saída 5 2 2 5 6 2 2" xfId="54779"/>
    <cellStyle name="Saída 5 2 2 5 6 3" xfId="40628"/>
    <cellStyle name="Saída 5 2 2 5 7" xfId="21172"/>
    <cellStyle name="Saída 5 2 2 5 7 2" xfId="50351"/>
    <cellStyle name="Saída 5 2 2 5 8" xfId="30568"/>
    <cellStyle name="Saída 5 2 2 6" xfId="1565"/>
    <cellStyle name="Saída 5 2 2 6 2" xfId="3365"/>
    <cellStyle name="Saída 5 2 2 6 2 2" xfId="6389"/>
    <cellStyle name="Saída 5 2 2 6 2 2 2" xfId="15144"/>
    <cellStyle name="Saída 5 2 2 6 2 2 2 2" xfId="27832"/>
    <cellStyle name="Saída 5 2 2 6 2 2 2 2 2" xfId="57011"/>
    <cellStyle name="Saída 5 2 2 6 2 2 2 3" xfId="44325"/>
    <cellStyle name="Saída 5 2 2 6 2 2 3" xfId="23404"/>
    <cellStyle name="Saída 5 2 2 6 2 2 3 2" xfId="52583"/>
    <cellStyle name="Saída 5 2 2 6 2 2 4" xfId="35572"/>
    <cellStyle name="Saída 5 2 2 6 2 3" xfId="7453"/>
    <cellStyle name="Saída 5 2 2 6 2 3 2" xfId="15943"/>
    <cellStyle name="Saída 5 2 2 6 2 3 2 2" xfId="28344"/>
    <cellStyle name="Saída 5 2 2 6 2 3 2 2 2" xfId="57523"/>
    <cellStyle name="Saída 5 2 2 6 2 3 2 3" xfId="45124"/>
    <cellStyle name="Saída 5 2 2 6 2 3 3" xfId="23916"/>
    <cellStyle name="Saída 5 2 2 6 2 3 3 2" xfId="53095"/>
    <cellStyle name="Saída 5 2 2 6 2 3 4" xfId="36636"/>
    <cellStyle name="Saída 5 2 2 6 2 4" xfId="12841"/>
    <cellStyle name="Saída 5 2 2 6 2 4 2" xfId="26392"/>
    <cellStyle name="Saída 5 2 2 6 2 4 2 2" xfId="55571"/>
    <cellStyle name="Saída 5 2 2 6 2 4 3" xfId="42022"/>
    <cellStyle name="Saída 5 2 2 6 2 5" xfId="21964"/>
    <cellStyle name="Saída 5 2 2 6 2 5 2" xfId="51143"/>
    <cellStyle name="Saída 5 2 2 6 2 6" xfId="32548"/>
    <cellStyle name="Saída 5 2 2 6 3" xfId="4949"/>
    <cellStyle name="Saída 5 2 2 6 3 2" xfId="14023"/>
    <cellStyle name="Saída 5 2 2 6 3 2 2" xfId="27112"/>
    <cellStyle name="Saída 5 2 2 6 3 2 2 2" xfId="56291"/>
    <cellStyle name="Saída 5 2 2 6 3 2 3" xfId="43204"/>
    <cellStyle name="Saída 5 2 2 6 3 3" xfId="22684"/>
    <cellStyle name="Saída 5 2 2 6 3 3 2" xfId="51863"/>
    <cellStyle name="Saída 5 2 2 6 3 4" xfId="34132"/>
    <cellStyle name="Saída 5 2 2 6 4" xfId="9439"/>
    <cellStyle name="Saída 5 2 2 6 4 2" xfId="17359"/>
    <cellStyle name="Saída 5 2 2 6 4 2 2" xfId="29123"/>
    <cellStyle name="Saída 5 2 2 6 4 2 2 2" xfId="58302"/>
    <cellStyle name="Saída 5 2 2 6 4 2 3" xfId="46540"/>
    <cellStyle name="Saída 5 2 2 6 4 3" xfId="24695"/>
    <cellStyle name="Saída 5 2 2 6 4 3 2" xfId="53874"/>
    <cellStyle name="Saída 5 2 2 6 4 4" xfId="38622"/>
    <cellStyle name="Saída 5 2 2 6 5" xfId="11570"/>
    <cellStyle name="Saída 5 2 2 6 5 2" xfId="25672"/>
    <cellStyle name="Saída 5 2 2 6 5 2 2" xfId="54851"/>
    <cellStyle name="Saída 5 2 2 6 5 3" xfId="40751"/>
    <cellStyle name="Saída 5 2 2 6 6" xfId="21244"/>
    <cellStyle name="Saída 5 2 2 6 6 2" xfId="50423"/>
    <cellStyle name="Saída 5 2 2 6 7" xfId="30748"/>
    <cellStyle name="Saída 5 2 2 7" xfId="2465"/>
    <cellStyle name="Saída 5 2 2 7 2" xfId="5669"/>
    <cellStyle name="Saída 5 2 2 7 2 2" xfId="14591"/>
    <cellStyle name="Saída 5 2 2 7 2 2 2" xfId="27472"/>
    <cellStyle name="Saída 5 2 2 7 2 2 2 2" xfId="56651"/>
    <cellStyle name="Saída 5 2 2 7 2 2 3" xfId="43772"/>
    <cellStyle name="Saída 5 2 2 7 2 3" xfId="23044"/>
    <cellStyle name="Saída 5 2 2 7 2 3 2" xfId="52223"/>
    <cellStyle name="Saída 5 2 2 7 2 4" xfId="34852"/>
    <cellStyle name="Saída 5 2 2 7 3" xfId="8005"/>
    <cellStyle name="Saída 5 2 2 7 3 2" xfId="16329"/>
    <cellStyle name="Saída 5 2 2 7 3 2 2" xfId="28557"/>
    <cellStyle name="Saída 5 2 2 7 3 2 2 2" xfId="57736"/>
    <cellStyle name="Saída 5 2 2 7 3 2 3" xfId="45510"/>
    <cellStyle name="Saída 5 2 2 7 3 3" xfId="24129"/>
    <cellStyle name="Saída 5 2 2 7 3 3 2" xfId="53308"/>
    <cellStyle name="Saída 5 2 2 7 3 4" xfId="37188"/>
    <cellStyle name="Saída 5 2 2 7 4" xfId="12207"/>
    <cellStyle name="Saída 5 2 2 7 4 2" xfId="26032"/>
    <cellStyle name="Saída 5 2 2 7 4 2 2" xfId="55211"/>
    <cellStyle name="Saída 5 2 2 7 4 3" xfId="41388"/>
    <cellStyle name="Saída 5 2 2 7 5" xfId="21604"/>
    <cellStyle name="Saída 5 2 2 7 5 2" xfId="50783"/>
    <cellStyle name="Saída 5 2 2 7 6" xfId="31648"/>
    <cellStyle name="Saída 5 2 2 8" xfId="4229"/>
    <cellStyle name="Saída 5 2 2 8 2" xfId="13472"/>
    <cellStyle name="Saída 5 2 2 8 2 2" xfId="26752"/>
    <cellStyle name="Saída 5 2 2 8 2 2 2" xfId="55931"/>
    <cellStyle name="Saída 5 2 2 8 2 3" xfId="42653"/>
    <cellStyle name="Saída 5 2 2 8 3" xfId="22324"/>
    <cellStyle name="Saída 5 2 2 8 3 2" xfId="51503"/>
    <cellStyle name="Saída 5 2 2 8 4" xfId="33412"/>
    <cellStyle name="Saída 5 2 2 9" xfId="10532"/>
    <cellStyle name="Saída 5 2 2 9 2" xfId="18130"/>
    <cellStyle name="Saída 5 2 2 9 2 2" xfId="29554"/>
    <cellStyle name="Saída 5 2 2 9 2 2 2" xfId="58733"/>
    <cellStyle name="Saída 5 2 2 9 2 3" xfId="47311"/>
    <cellStyle name="Saída 5 2 2 9 3" xfId="25126"/>
    <cellStyle name="Saída 5 2 2 9 3 2" xfId="54305"/>
    <cellStyle name="Saída 5 2 2 9 4" xfId="39715"/>
    <cellStyle name="Saída 5 2 3" xfId="805"/>
    <cellStyle name="Saída 5 2 3 2" xfId="1743"/>
    <cellStyle name="Saída 5 2 3 2 2" xfId="3543"/>
    <cellStyle name="Saída 5 2 3 2 2 2" xfId="6531"/>
    <cellStyle name="Saída 5 2 3 2 2 2 2" xfId="15260"/>
    <cellStyle name="Saída 5 2 3 2 2 2 2 2" xfId="27884"/>
    <cellStyle name="Saída 5 2 3 2 2 2 2 2 2" xfId="57063"/>
    <cellStyle name="Saída 5 2 3 2 2 2 2 3" xfId="44441"/>
    <cellStyle name="Saída 5 2 3 2 2 2 3" xfId="23456"/>
    <cellStyle name="Saída 5 2 3 2 2 2 3 2" xfId="52635"/>
    <cellStyle name="Saída 5 2 3 2 2 2 4" xfId="35714"/>
    <cellStyle name="Saída 5 2 3 2 2 3" xfId="9203"/>
    <cellStyle name="Saída 5 2 3 2 2 3 2" xfId="17198"/>
    <cellStyle name="Saída 5 2 3 2 2 3 2 2" xfId="29032"/>
    <cellStyle name="Saída 5 2 3 2 2 3 2 2 2" xfId="58211"/>
    <cellStyle name="Saída 5 2 3 2 2 3 2 3" xfId="46379"/>
    <cellStyle name="Saída 5 2 3 2 2 3 3" xfId="24604"/>
    <cellStyle name="Saída 5 2 3 2 2 3 3 2" xfId="53783"/>
    <cellStyle name="Saída 5 2 3 2 2 3 4" xfId="38386"/>
    <cellStyle name="Saída 5 2 3 2 2 4" xfId="12971"/>
    <cellStyle name="Saída 5 2 3 2 2 4 2" xfId="26444"/>
    <cellStyle name="Saída 5 2 3 2 2 4 2 2" xfId="55623"/>
    <cellStyle name="Saída 5 2 3 2 2 4 3" xfId="42152"/>
    <cellStyle name="Saída 5 2 3 2 2 5" xfId="22016"/>
    <cellStyle name="Saída 5 2 3 2 2 5 2" xfId="51195"/>
    <cellStyle name="Saída 5 2 3 2 2 6" xfId="32726"/>
    <cellStyle name="Saída 5 2 3 2 3" xfId="5091"/>
    <cellStyle name="Saída 5 2 3 2 3 2" xfId="14136"/>
    <cellStyle name="Saída 5 2 3 2 3 2 2" xfId="27164"/>
    <cellStyle name="Saída 5 2 3 2 3 2 2 2" xfId="56343"/>
    <cellStyle name="Saída 5 2 3 2 3 2 3" xfId="43317"/>
    <cellStyle name="Saída 5 2 3 2 3 3" xfId="22736"/>
    <cellStyle name="Saída 5 2 3 2 3 3 2" xfId="51915"/>
    <cellStyle name="Saída 5 2 3 2 3 4" xfId="34274"/>
    <cellStyle name="Saída 5 2 3 2 4" xfId="8089"/>
    <cellStyle name="Saída 5 2 3 2 4 2" xfId="16389"/>
    <cellStyle name="Saída 5 2 3 2 4 2 2" xfId="28595"/>
    <cellStyle name="Saída 5 2 3 2 4 2 2 2" xfId="57774"/>
    <cellStyle name="Saída 5 2 3 2 4 2 3" xfId="45570"/>
    <cellStyle name="Saída 5 2 3 2 4 3" xfId="24167"/>
    <cellStyle name="Saída 5 2 3 2 4 3 2" xfId="53346"/>
    <cellStyle name="Saída 5 2 3 2 4 4" xfId="37272"/>
    <cellStyle name="Saída 5 2 3 2 5" xfId="11697"/>
    <cellStyle name="Saída 5 2 3 2 5 2" xfId="25724"/>
    <cellStyle name="Saída 5 2 3 2 5 2 2" xfId="54903"/>
    <cellStyle name="Saída 5 2 3 2 5 3" xfId="40878"/>
    <cellStyle name="Saída 5 2 3 2 6" xfId="21296"/>
    <cellStyle name="Saída 5 2 3 2 6 2" xfId="50475"/>
    <cellStyle name="Saída 5 2 3 2 7" xfId="30926"/>
    <cellStyle name="Saída 5 2 3 3" xfId="2643"/>
    <cellStyle name="Saída 5 2 3 3 2" xfId="5811"/>
    <cellStyle name="Saída 5 2 3 3 2 2" xfId="14701"/>
    <cellStyle name="Saída 5 2 3 3 2 2 2" xfId="27524"/>
    <cellStyle name="Saída 5 2 3 3 2 2 2 2" xfId="56703"/>
    <cellStyle name="Saída 5 2 3 3 2 2 3" xfId="43882"/>
    <cellStyle name="Saída 5 2 3 3 2 3" xfId="23096"/>
    <cellStyle name="Saída 5 2 3 3 2 3 2" xfId="52275"/>
    <cellStyle name="Saída 5 2 3 3 2 4" xfId="34994"/>
    <cellStyle name="Saída 5 2 3 3 3" xfId="8854"/>
    <cellStyle name="Saída 5 2 3 3 3 2" xfId="16944"/>
    <cellStyle name="Saída 5 2 3 3 3 2 2" xfId="28894"/>
    <cellStyle name="Saída 5 2 3 3 3 2 2 2" xfId="58073"/>
    <cellStyle name="Saída 5 2 3 3 3 2 3" xfId="46125"/>
    <cellStyle name="Saída 5 2 3 3 3 3" xfId="24466"/>
    <cellStyle name="Saída 5 2 3 3 3 3 2" xfId="53645"/>
    <cellStyle name="Saída 5 2 3 3 3 4" xfId="38037"/>
    <cellStyle name="Saída 5 2 3 3 4" xfId="12333"/>
    <cellStyle name="Saída 5 2 3 3 4 2" xfId="26084"/>
    <cellStyle name="Saída 5 2 3 3 4 2 2" xfId="55263"/>
    <cellStyle name="Saída 5 2 3 3 4 3" xfId="41514"/>
    <cellStyle name="Saída 5 2 3 3 5" xfId="21656"/>
    <cellStyle name="Saída 5 2 3 3 5 2" xfId="50835"/>
    <cellStyle name="Saída 5 2 3 3 6" xfId="31826"/>
    <cellStyle name="Saída 5 2 3 4" xfId="4371"/>
    <cellStyle name="Saída 5 2 3 4 2" xfId="13577"/>
    <cellStyle name="Saída 5 2 3 4 2 2" xfId="26804"/>
    <cellStyle name="Saída 5 2 3 4 2 2 2" xfId="55983"/>
    <cellStyle name="Saída 5 2 3 4 2 3" xfId="42758"/>
    <cellStyle name="Saída 5 2 3 4 3" xfId="22376"/>
    <cellStyle name="Saída 5 2 3 4 3 2" xfId="51555"/>
    <cellStyle name="Saída 5 2 3 4 4" xfId="33554"/>
    <cellStyle name="Saída 5 2 3 5" xfId="9722"/>
    <cellStyle name="Saída 5 2 3 5 2" xfId="17562"/>
    <cellStyle name="Saída 5 2 3 5 2 2" xfId="29238"/>
    <cellStyle name="Saída 5 2 3 5 2 2 2" xfId="58417"/>
    <cellStyle name="Saída 5 2 3 5 2 3" xfId="46743"/>
    <cellStyle name="Saída 5 2 3 5 3" xfId="24810"/>
    <cellStyle name="Saída 5 2 3 5 3 2" xfId="53989"/>
    <cellStyle name="Saída 5 2 3 5 4" xfId="38905"/>
    <cellStyle name="Saída 5 2 3 6" xfId="11036"/>
    <cellStyle name="Saída 5 2 3 6 2" xfId="25340"/>
    <cellStyle name="Saída 5 2 3 6 2 2" xfId="54519"/>
    <cellStyle name="Saída 5 2 3 6 3" xfId="40217"/>
    <cellStyle name="Saída 5 2 3 7" xfId="20912"/>
    <cellStyle name="Saída 5 2 3 7 2" xfId="50091"/>
    <cellStyle name="Saída 5 2 3 8" xfId="30002"/>
    <cellStyle name="Saída 5 2 4" xfId="997"/>
    <cellStyle name="Saída 5 2 4 2" xfId="1907"/>
    <cellStyle name="Saída 5 2 4 2 2" xfId="3707"/>
    <cellStyle name="Saída 5 2 4 2 2 2" xfId="6659"/>
    <cellStyle name="Saída 5 2 4 2 2 2 2" xfId="15360"/>
    <cellStyle name="Saída 5 2 4 2 2 2 2 2" xfId="27958"/>
    <cellStyle name="Saída 5 2 4 2 2 2 2 2 2" xfId="57137"/>
    <cellStyle name="Saída 5 2 4 2 2 2 2 3" xfId="44541"/>
    <cellStyle name="Saída 5 2 4 2 2 2 3" xfId="23530"/>
    <cellStyle name="Saída 5 2 4 2 2 2 3 2" xfId="52709"/>
    <cellStyle name="Saída 5 2 4 2 2 2 4" xfId="35842"/>
    <cellStyle name="Saída 5 2 4 2 2 3" xfId="9076"/>
    <cellStyle name="Saída 5 2 4 2 2 3 2" xfId="17105"/>
    <cellStyle name="Saída 5 2 4 2 2 3 2 2" xfId="28983"/>
    <cellStyle name="Saída 5 2 4 2 2 3 2 2 2" xfId="58162"/>
    <cellStyle name="Saída 5 2 4 2 2 3 2 3" xfId="46286"/>
    <cellStyle name="Saída 5 2 4 2 2 3 3" xfId="24555"/>
    <cellStyle name="Saída 5 2 4 2 2 3 3 2" xfId="53734"/>
    <cellStyle name="Saída 5 2 4 2 2 3 4" xfId="38259"/>
    <cellStyle name="Saída 5 2 4 2 2 4" xfId="13091"/>
    <cellStyle name="Saída 5 2 4 2 2 4 2" xfId="26518"/>
    <cellStyle name="Saída 5 2 4 2 2 4 2 2" xfId="55697"/>
    <cellStyle name="Saída 5 2 4 2 2 4 3" xfId="42272"/>
    <cellStyle name="Saída 5 2 4 2 2 5" xfId="22090"/>
    <cellStyle name="Saída 5 2 4 2 2 5 2" xfId="51269"/>
    <cellStyle name="Saída 5 2 4 2 2 6" xfId="32890"/>
    <cellStyle name="Saída 5 2 4 2 3" xfId="5219"/>
    <cellStyle name="Saída 5 2 4 2 3 2" xfId="14238"/>
    <cellStyle name="Saída 5 2 4 2 3 2 2" xfId="27238"/>
    <cellStyle name="Saída 5 2 4 2 3 2 2 2" xfId="56417"/>
    <cellStyle name="Saída 5 2 4 2 3 2 3" xfId="43419"/>
    <cellStyle name="Saída 5 2 4 2 3 3" xfId="22810"/>
    <cellStyle name="Saída 5 2 4 2 3 3 2" xfId="51989"/>
    <cellStyle name="Saída 5 2 4 2 3 4" xfId="34402"/>
    <cellStyle name="Saída 5 2 4 2 4" xfId="7962"/>
    <cellStyle name="Saída 5 2 4 2 4 2" xfId="16298"/>
    <cellStyle name="Saída 5 2 4 2 4 2 2" xfId="28542"/>
    <cellStyle name="Saída 5 2 4 2 4 2 2 2" xfId="57721"/>
    <cellStyle name="Saída 5 2 4 2 4 2 3" xfId="45479"/>
    <cellStyle name="Saída 5 2 4 2 4 3" xfId="24114"/>
    <cellStyle name="Saída 5 2 4 2 4 3 2" xfId="53293"/>
    <cellStyle name="Saída 5 2 4 2 4 4" xfId="37145"/>
    <cellStyle name="Saída 5 2 4 2 5" xfId="11815"/>
    <cellStyle name="Saída 5 2 4 2 5 2" xfId="25798"/>
    <cellStyle name="Saída 5 2 4 2 5 2 2" xfId="54977"/>
    <cellStyle name="Saída 5 2 4 2 5 3" xfId="40996"/>
    <cellStyle name="Saída 5 2 4 2 6" xfId="21370"/>
    <cellStyle name="Saída 5 2 4 2 6 2" xfId="50549"/>
    <cellStyle name="Saída 5 2 4 2 7" xfId="31090"/>
    <cellStyle name="Saída 5 2 4 3" xfId="2807"/>
    <cellStyle name="Saída 5 2 4 3 2" xfId="5939"/>
    <cellStyle name="Saída 5 2 4 3 2 2" xfId="14802"/>
    <cellStyle name="Saída 5 2 4 3 2 2 2" xfId="27598"/>
    <cellStyle name="Saída 5 2 4 3 2 2 2 2" xfId="56777"/>
    <cellStyle name="Saída 5 2 4 3 2 2 3" xfId="43983"/>
    <cellStyle name="Saída 5 2 4 3 2 3" xfId="23170"/>
    <cellStyle name="Saída 5 2 4 3 2 3 2" xfId="52349"/>
    <cellStyle name="Saída 5 2 4 3 2 4" xfId="35122"/>
    <cellStyle name="Saída 5 2 4 3 3" xfId="8735"/>
    <cellStyle name="Saída 5 2 4 3 3 2" xfId="16849"/>
    <cellStyle name="Saída 5 2 4 3 3 2 2" xfId="28845"/>
    <cellStyle name="Saída 5 2 4 3 3 2 2 2" xfId="58024"/>
    <cellStyle name="Saída 5 2 4 3 3 2 3" xfId="46030"/>
    <cellStyle name="Saída 5 2 4 3 3 3" xfId="24417"/>
    <cellStyle name="Saída 5 2 4 3 3 3 2" xfId="53596"/>
    <cellStyle name="Saída 5 2 4 3 3 4" xfId="37918"/>
    <cellStyle name="Saída 5 2 4 3 4" xfId="12452"/>
    <cellStyle name="Saída 5 2 4 3 4 2" xfId="26158"/>
    <cellStyle name="Saída 5 2 4 3 4 2 2" xfId="55337"/>
    <cellStyle name="Saída 5 2 4 3 4 3" xfId="41633"/>
    <cellStyle name="Saída 5 2 4 3 5" xfId="21730"/>
    <cellStyle name="Saída 5 2 4 3 5 2" xfId="50909"/>
    <cellStyle name="Saída 5 2 4 3 6" xfId="31990"/>
    <cellStyle name="Saída 5 2 4 4" xfId="4499"/>
    <cellStyle name="Saída 5 2 4 4 2" xfId="13681"/>
    <cellStyle name="Saída 5 2 4 4 2 2" xfId="26878"/>
    <cellStyle name="Saída 5 2 4 4 2 2 2" xfId="56057"/>
    <cellStyle name="Saída 5 2 4 4 2 3" xfId="42862"/>
    <cellStyle name="Saída 5 2 4 4 3" xfId="22450"/>
    <cellStyle name="Saída 5 2 4 4 3 2" xfId="51629"/>
    <cellStyle name="Saída 5 2 4 4 4" xfId="33682"/>
    <cellStyle name="Saída 5 2 4 5" xfId="9308"/>
    <cellStyle name="Saída 5 2 4 5 2" xfId="17269"/>
    <cellStyle name="Saída 5 2 4 5 2 2" xfId="29071"/>
    <cellStyle name="Saída 5 2 4 5 2 2 2" xfId="58250"/>
    <cellStyle name="Saída 5 2 4 5 2 3" xfId="46450"/>
    <cellStyle name="Saída 5 2 4 5 3" xfId="24643"/>
    <cellStyle name="Saída 5 2 4 5 3 2" xfId="53822"/>
    <cellStyle name="Saída 5 2 4 5 4" xfId="38491"/>
    <cellStyle name="Saída 5 2 4 6" xfId="11178"/>
    <cellStyle name="Saída 5 2 4 6 2" xfId="25435"/>
    <cellStyle name="Saída 5 2 4 6 2 2" xfId="54614"/>
    <cellStyle name="Saída 5 2 4 6 3" xfId="40359"/>
    <cellStyle name="Saída 5 2 4 7" xfId="21007"/>
    <cellStyle name="Saída 5 2 4 7 2" xfId="50186"/>
    <cellStyle name="Saída 5 2 4 8" xfId="30187"/>
    <cellStyle name="Saída 5 2 5" xfId="1147"/>
    <cellStyle name="Saída 5 2 5 2" xfId="2051"/>
    <cellStyle name="Saída 5 2 5 2 2" xfId="3851"/>
    <cellStyle name="Saída 5 2 5 2 2 2" xfId="6776"/>
    <cellStyle name="Saída 5 2 5 2 2 2 2" xfId="15452"/>
    <cellStyle name="Saída 5 2 5 2 2 2 2 2" xfId="28021"/>
    <cellStyle name="Saída 5 2 5 2 2 2 2 2 2" xfId="57200"/>
    <cellStyle name="Saída 5 2 5 2 2 2 2 3" xfId="44633"/>
    <cellStyle name="Saída 5 2 5 2 2 2 3" xfId="23593"/>
    <cellStyle name="Saída 5 2 5 2 2 2 3 2" xfId="52772"/>
    <cellStyle name="Saída 5 2 5 2 2 2 4" xfId="35959"/>
    <cellStyle name="Saída 5 2 5 2 2 3" xfId="9218"/>
    <cellStyle name="Saída 5 2 5 2 2 3 2" xfId="17207"/>
    <cellStyle name="Saída 5 2 5 2 2 3 2 2" xfId="29036"/>
    <cellStyle name="Saída 5 2 5 2 2 3 2 2 2" xfId="58215"/>
    <cellStyle name="Saída 5 2 5 2 2 3 2 3" xfId="46388"/>
    <cellStyle name="Saída 5 2 5 2 2 3 3" xfId="24608"/>
    <cellStyle name="Saída 5 2 5 2 2 3 3 2" xfId="53787"/>
    <cellStyle name="Saída 5 2 5 2 2 3 4" xfId="38401"/>
    <cellStyle name="Saída 5 2 5 2 2 4" xfId="13191"/>
    <cellStyle name="Saída 5 2 5 2 2 4 2" xfId="26581"/>
    <cellStyle name="Saída 5 2 5 2 2 4 2 2" xfId="55760"/>
    <cellStyle name="Saída 5 2 5 2 2 4 3" xfId="42372"/>
    <cellStyle name="Saída 5 2 5 2 2 5" xfId="22153"/>
    <cellStyle name="Saída 5 2 5 2 2 5 2" xfId="51332"/>
    <cellStyle name="Saída 5 2 5 2 2 6" xfId="33034"/>
    <cellStyle name="Saída 5 2 5 2 3" xfId="5336"/>
    <cellStyle name="Saída 5 2 5 2 3 2" xfId="14331"/>
    <cellStyle name="Saída 5 2 5 2 3 2 2" xfId="27301"/>
    <cellStyle name="Saída 5 2 5 2 3 2 2 2" xfId="56480"/>
    <cellStyle name="Saída 5 2 5 2 3 2 3" xfId="43512"/>
    <cellStyle name="Saída 5 2 5 2 3 3" xfId="22873"/>
    <cellStyle name="Saída 5 2 5 2 3 3 2" xfId="52052"/>
    <cellStyle name="Saída 5 2 5 2 3 4" xfId="34519"/>
    <cellStyle name="Saída 5 2 5 2 4" xfId="8526"/>
    <cellStyle name="Saída 5 2 5 2 4 2" xfId="16698"/>
    <cellStyle name="Saída 5 2 5 2 4 2 2" xfId="28755"/>
    <cellStyle name="Saída 5 2 5 2 4 2 2 2" xfId="57934"/>
    <cellStyle name="Saída 5 2 5 2 4 2 3" xfId="45879"/>
    <cellStyle name="Saída 5 2 5 2 4 3" xfId="24327"/>
    <cellStyle name="Saída 5 2 5 2 4 3 2" xfId="53506"/>
    <cellStyle name="Saída 5 2 5 2 4 4" xfId="37709"/>
    <cellStyle name="Saída 5 2 5 2 5" xfId="11916"/>
    <cellStyle name="Saída 5 2 5 2 5 2" xfId="25861"/>
    <cellStyle name="Saída 5 2 5 2 5 2 2" xfId="55040"/>
    <cellStyle name="Saída 5 2 5 2 5 3" xfId="41097"/>
    <cellStyle name="Saída 5 2 5 2 6" xfId="21433"/>
    <cellStyle name="Saída 5 2 5 2 6 2" xfId="50612"/>
    <cellStyle name="Saída 5 2 5 2 7" xfId="31234"/>
    <cellStyle name="Saída 5 2 5 3" xfId="2951"/>
    <cellStyle name="Saída 5 2 5 3 2" xfId="6056"/>
    <cellStyle name="Saída 5 2 5 3 2 2" xfId="14893"/>
    <cellStyle name="Saída 5 2 5 3 2 2 2" xfId="27661"/>
    <cellStyle name="Saída 5 2 5 3 2 2 2 2" xfId="56840"/>
    <cellStyle name="Saída 5 2 5 3 2 2 3" xfId="44074"/>
    <cellStyle name="Saída 5 2 5 3 2 3" xfId="23233"/>
    <cellStyle name="Saída 5 2 5 3 2 3 2" xfId="52412"/>
    <cellStyle name="Saída 5 2 5 3 2 4" xfId="35239"/>
    <cellStyle name="Saída 5 2 5 3 3" xfId="10053"/>
    <cellStyle name="Saída 5 2 5 3 3 2" xfId="17797"/>
    <cellStyle name="Saída 5 2 5 3 3 2 2" xfId="29368"/>
    <cellStyle name="Saída 5 2 5 3 3 2 2 2" xfId="58547"/>
    <cellStyle name="Saída 5 2 5 3 3 2 3" xfId="46978"/>
    <cellStyle name="Saída 5 2 5 3 3 3" xfId="24940"/>
    <cellStyle name="Saída 5 2 5 3 3 3 2" xfId="54119"/>
    <cellStyle name="Saída 5 2 5 3 3 4" xfId="39236"/>
    <cellStyle name="Saída 5 2 5 3 4" xfId="12555"/>
    <cellStyle name="Saída 5 2 5 3 4 2" xfId="26221"/>
    <cellStyle name="Saída 5 2 5 3 4 2 2" xfId="55400"/>
    <cellStyle name="Saída 5 2 5 3 4 3" xfId="41736"/>
    <cellStyle name="Saída 5 2 5 3 5" xfId="21793"/>
    <cellStyle name="Saída 5 2 5 3 5 2" xfId="50972"/>
    <cellStyle name="Saída 5 2 5 3 6" xfId="32134"/>
    <cellStyle name="Saída 5 2 5 4" xfId="4616"/>
    <cellStyle name="Saída 5 2 5 4 2" xfId="13774"/>
    <cellStyle name="Saída 5 2 5 4 2 2" xfId="26941"/>
    <cellStyle name="Saída 5 2 5 4 2 2 2" xfId="56120"/>
    <cellStyle name="Saída 5 2 5 4 2 3" xfId="42955"/>
    <cellStyle name="Saída 5 2 5 4 3" xfId="22513"/>
    <cellStyle name="Saída 5 2 5 4 3 2" xfId="51692"/>
    <cellStyle name="Saída 5 2 5 4 4" xfId="33799"/>
    <cellStyle name="Saída 5 2 5 5" xfId="8912"/>
    <cellStyle name="Saída 5 2 5 5 2" xfId="16985"/>
    <cellStyle name="Saída 5 2 5 5 2 2" xfId="28916"/>
    <cellStyle name="Saída 5 2 5 5 2 2 2" xfId="58095"/>
    <cellStyle name="Saída 5 2 5 5 2 3" xfId="46166"/>
    <cellStyle name="Saída 5 2 5 5 3" xfId="24488"/>
    <cellStyle name="Saída 5 2 5 5 3 2" xfId="53667"/>
    <cellStyle name="Saída 5 2 5 5 4" xfId="38095"/>
    <cellStyle name="Saída 5 2 5 6" xfId="11284"/>
    <cellStyle name="Saída 5 2 5 6 2" xfId="25501"/>
    <cellStyle name="Saída 5 2 5 6 2 2" xfId="54680"/>
    <cellStyle name="Saída 5 2 5 6 3" xfId="40465"/>
    <cellStyle name="Saída 5 2 5 7" xfId="21073"/>
    <cellStyle name="Saída 5 2 5 7 2" xfId="50252"/>
    <cellStyle name="Saída 5 2 5 8" xfId="30334"/>
    <cellStyle name="Saída 5 2 6" xfId="1293"/>
    <cellStyle name="Saída 5 2 6 2" xfId="2195"/>
    <cellStyle name="Saída 5 2 6 2 2" xfId="3995"/>
    <cellStyle name="Saída 5 2 6 2 2 2" xfId="6893"/>
    <cellStyle name="Saída 5 2 6 2 2 2 2" xfId="15547"/>
    <cellStyle name="Saída 5 2 6 2 2 2 2 2" xfId="28084"/>
    <cellStyle name="Saída 5 2 6 2 2 2 2 2 2" xfId="57263"/>
    <cellStyle name="Saída 5 2 6 2 2 2 2 3" xfId="44728"/>
    <cellStyle name="Saída 5 2 6 2 2 2 3" xfId="23656"/>
    <cellStyle name="Saída 5 2 6 2 2 2 3 2" xfId="52835"/>
    <cellStyle name="Saída 5 2 6 2 2 2 4" xfId="36076"/>
    <cellStyle name="Saída 5 2 6 2 2 3" xfId="7085"/>
    <cellStyle name="Saída 5 2 6 2 2 3 2" xfId="15685"/>
    <cellStyle name="Saída 5 2 6 2 2 3 2 2" xfId="28184"/>
    <cellStyle name="Saída 5 2 6 2 2 3 2 2 2" xfId="57363"/>
    <cellStyle name="Saída 5 2 6 2 2 3 2 3" xfId="44866"/>
    <cellStyle name="Saída 5 2 6 2 2 3 3" xfId="23756"/>
    <cellStyle name="Saída 5 2 6 2 2 3 3 2" xfId="52935"/>
    <cellStyle name="Saída 5 2 6 2 2 3 4" xfId="36268"/>
    <cellStyle name="Saída 5 2 6 2 2 4" xfId="13296"/>
    <cellStyle name="Saída 5 2 6 2 2 4 2" xfId="26644"/>
    <cellStyle name="Saída 5 2 6 2 2 4 2 2" xfId="55823"/>
    <cellStyle name="Saída 5 2 6 2 2 4 3" xfId="42477"/>
    <cellStyle name="Saída 5 2 6 2 2 5" xfId="22216"/>
    <cellStyle name="Saída 5 2 6 2 2 5 2" xfId="51395"/>
    <cellStyle name="Saída 5 2 6 2 2 6" xfId="33178"/>
    <cellStyle name="Saída 5 2 6 2 3" xfId="5453"/>
    <cellStyle name="Saída 5 2 6 2 3 2" xfId="14427"/>
    <cellStyle name="Saída 5 2 6 2 3 2 2" xfId="27364"/>
    <cellStyle name="Saída 5 2 6 2 3 2 2 2" xfId="56543"/>
    <cellStyle name="Saída 5 2 6 2 3 2 3" xfId="43608"/>
    <cellStyle name="Saída 5 2 6 2 3 3" xfId="22936"/>
    <cellStyle name="Saída 5 2 6 2 3 3 2" xfId="52115"/>
    <cellStyle name="Saída 5 2 6 2 3 4" xfId="34636"/>
    <cellStyle name="Saída 5 2 6 2 4" xfId="9820"/>
    <cellStyle name="Saída 5 2 6 2 4 2" xfId="17637"/>
    <cellStyle name="Saída 5 2 6 2 4 2 2" xfId="29279"/>
    <cellStyle name="Saída 5 2 6 2 4 2 2 2" xfId="58458"/>
    <cellStyle name="Saída 5 2 6 2 4 2 3" xfId="46818"/>
    <cellStyle name="Saída 5 2 6 2 4 3" xfId="24851"/>
    <cellStyle name="Saída 5 2 6 2 4 3 2" xfId="54030"/>
    <cellStyle name="Saída 5 2 6 2 4 4" xfId="39003"/>
    <cellStyle name="Saída 5 2 6 2 5" xfId="12020"/>
    <cellStyle name="Saída 5 2 6 2 5 2" xfId="25924"/>
    <cellStyle name="Saída 5 2 6 2 5 2 2" xfId="55103"/>
    <cellStyle name="Saída 5 2 6 2 5 3" xfId="41201"/>
    <cellStyle name="Saída 5 2 6 2 6" xfId="21496"/>
    <cellStyle name="Saída 5 2 6 2 6 2" xfId="50675"/>
    <cellStyle name="Saída 5 2 6 2 7" xfId="31378"/>
    <cellStyle name="Saída 5 2 6 3" xfId="3095"/>
    <cellStyle name="Saída 5 2 6 3 2" xfId="6173"/>
    <cellStyle name="Saída 5 2 6 3 2 2" xfId="14988"/>
    <cellStyle name="Saída 5 2 6 3 2 2 2" xfId="27724"/>
    <cellStyle name="Saída 5 2 6 3 2 2 2 2" xfId="56903"/>
    <cellStyle name="Saída 5 2 6 3 2 2 3" xfId="44169"/>
    <cellStyle name="Saída 5 2 6 3 2 3" xfId="23296"/>
    <cellStyle name="Saída 5 2 6 3 2 3 2" xfId="52475"/>
    <cellStyle name="Saída 5 2 6 3 2 4" xfId="35356"/>
    <cellStyle name="Saída 5 2 6 3 3" xfId="9045"/>
    <cellStyle name="Saída 5 2 6 3 3 2" xfId="17084"/>
    <cellStyle name="Saída 5 2 6 3 3 2 2" xfId="28972"/>
    <cellStyle name="Saída 5 2 6 3 3 2 2 2" xfId="58151"/>
    <cellStyle name="Saída 5 2 6 3 3 2 3" xfId="46265"/>
    <cellStyle name="Saída 5 2 6 3 3 3" xfId="24544"/>
    <cellStyle name="Saída 5 2 6 3 3 3 2" xfId="53723"/>
    <cellStyle name="Saída 5 2 6 3 3 4" xfId="38228"/>
    <cellStyle name="Saída 5 2 6 3 4" xfId="12658"/>
    <cellStyle name="Saída 5 2 6 3 4 2" xfId="26284"/>
    <cellStyle name="Saída 5 2 6 3 4 2 2" xfId="55463"/>
    <cellStyle name="Saída 5 2 6 3 4 3" xfId="41839"/>
    <cellStyle name="Saída 5 2 6 3 5" xfId="21856"/>
    <cellStyle name="Saída 5 2 6 3 5 2" xfId="51035"/>
    <cellStyle name="Saída 5 2 6 3 6" xfId="32278"/>
    <cellStyle name="Saída 5 2 6 4" xfId="4733"/>
    <cellStyle name="Saída 5 2 6 4 2" xfId="13865"/>
    <cellStyle name="Saída 5 2 6 4 2 2" xfId="27004"/>
    <cellStyle name="Saída 5 2 6 4 2 2 2" xfId="56183"/>
    <cellStyle name="Saída 5 2 6 4 2 3" xfId="43046"/>
    <cellStyle name="Saída 5 2 6 4 3" xfId="22576"/>
    <cellStyle name="Saída 5 2 6 4 3 2" xfId="51755"/>
    <cellStyle name="Saída 5 2 6 4 4" xfId="33916"/>
    <cellStyle name="Saída 5 2 6 5" xfId="9481"/>
    <cellStyle name="Saída 5 2 6 5 2" xfId="17388"/>
    <cellStyle name="Saída 5 2 6 5 2 2" xfId="29145"/>
    <cellStyle name="Saída 5 2 6 5 2 2 2" xfId="58324"/>
    <cellStyle name="Saída 5 2 6 5 2 3" xfId="46569"/>
    <cellStyle name="Saída 5 2 6 5 3" xfId="24717"/>
    <cellStyle name="Saída 5 2 6 5 3 2" xfId="53896"/>
    <cellStyle name="Saída 5 2 6 5 4" xfId="38664"/>
    <cellStyle name="Saída 5 2 6 6" xfId="11390"/>
    <cellStyle name="Saída 5 2 6 6 2" xfId="25564"/>
    <cellStyle name="Saída 5 2 6 6 2 2" xfId="54743"/>
    <cellStyle name="Saída 5 2 6 6 3" xfId="40571"/>
    <cellStyle name="Saída 5 2 6 7" xfId="21136"/>
    <cellStyle name="Saída 5 2 6 7 2" xfId="50315"/>
    <cellStyle name="Saída 5 2 6 8" xfId="30478"/>
    <cellStyle name="Saída 5 2 7" xfId="1475"/>
    <cellStyle name="Saída 5 2 7 2" xfId="3275"/>
    <cellStyle name="Saída 5 2 7 2 2" xfId="6317"/>
    <cellStyle name="Saída 5 2 7 2 2 2" xfId="15091"/>
    <cellStyle name="Saída 5 2 7 2 2 2 2" xfId="27796"/>
    <cellStyle name="Saída 5 2 7 2 2 2 2 2" xfId="56975"/>
    <cellStyle name="Saída 5 2 7 2 2 2 3" xfId="44272"/>
    <cellStyle name="Saída 5 2 7 2 2 3" xfId="23368"/>
    <cellStyle name="Saída 5 2 7 2 2 3 2" xfId="52547"/>
    <cellStyle name="Saída 5 2 7 2 2 4" xfId="35500"/>
    <cellStyle name="Saída 5 2 7 2 3" xfId="8847"/>
    <cellStyle name="Saída 5 2 7 2 3 2" xfId="16937"/>
    <cellStyle name="Saída 5 2 7 2 3 2 2" xfId="28890"/>
    <cellStyle name="Saída 5 2 7 2 3 2 2 2" xfId="58069"/>
    <cellStyle name="Saída 5 2 7 2 3 2 3" xfId="46118"/>
    <cellStyle name="Saída 5 2 7 2 3 3" xfId="24462"/>
    <cellStyle name="Saída 5 2 7 2 3 3 2" xfId="53641"/>
    <cellStyle name="Saída 5 2 7 2 3 4" xfId="38030"/>
    <cellStyle name="Saída 5 2 7 2 4" xfId="12782"/>
    <cellStyle name="Saída 5 2 7 2 4 2" xfId="26356"/>
    <cellStyle name="Saída 5 2 7 2 4 2 2" xfId="55535"/>
    <cellStyle name="Saída 5 2 7 2 4 3" xfId="41963"/>
    <cellStyle name="Saída 5 2 7 2 5" xfId="21928"/>
    <cellStyle name="Saída 5 2 7 2 5 2" xfId="51107"/>
    <cellStyle name="Saída 5 2 7 2 6" xfId="32458"/>
    <cellStyle name="Saída 5 2 7 3" xfId="4877"/>
    <cellStyle name="Saída 5 2 7 3 2" xfId="13967"/>
    <cellStyle name="Saída 5 2 7 3 2 2" xfId="27076"/>
    <cellStyle name="Saída 5 2 7 3 2 2 2" xfId="56255"/>
    <cellStyle name="Saída 5 2 7 3 2 3" xfId="43148"/>
    <cellStyle name="Saída 5 2 7 3 3" xfId="22648"/>
    <cellStyle name="Saída 5 2 7 3 3 2" xfId="51827"/>
    <cellStyle name="Saída 5 2 7 3 4" xfId="34060"/>
    <cellStyle name="Saída 5 2 7 4" xfId="8672"/>
    <cellStyle name="Saída 5 2 7 4 2" xfId="16804"/>
    <cellStyle name="Saída 5 2 7 4 2 2" xfId="28816"/>
    <cellStyle name="Saída 5 2 7 4 2 2 2" xfId="57995"/>
    <cellStyle name="Saída 5 2 7 4 2 3" xfId="45985"/>
    <cellStyle name="Saída 5 2 7 4 3" xfId="24388"/>
    <cellStyle name="Saída 5 2 7 4 3 2" xfId="53567"/>
    <cellStyle name="Saída 5 2 7 4 4" xfId="37855"/>
    <cellStyle name="Saída 5 2 7 5" xfId="11512"/>
    <cellStyle name="Saída 5 2 7 5 2" xfId="25636"/>
    <cellStyle name="Saída 5 2 7 5 2 2" xfId="54815"/>
    <cellStyle name="Saída 5 2 7 5 3" xfId="40693"/>
    <cellStyle name="Saída 5 2 7 6" xfId="21208"/>
    <cellStyle name="Saída 5 2 7 6 2" xfId="50387"/>
    <cellStyle name="Saída 5 2 7 7" xfId="30658"/>
    <cellStyle name="Saída 5 2 8" xfId="2375"/>
    <cellStyle name="Saída 5 2 8 2" xfId="5597"/>
    <cellStyle name="Saída 5 2 8 2 2" xfId="14532"/>
    <cellStyle name="Saída 5 2 8 2 2 2" xfId="27436"/>
    <cellStyle name="Saída 5 2 8 2 2 2 2" xfId="56615"/>
    <cellStyle name="Saída 5 2 8 2 2 3" xfId="43713"/>
    <cellStyle name="Saída 5 2 8 2 3" xfId="23008"/>
    <cellStyle name="Saída 5 2 8 2 3 2" xfId="52187"/>
    <cellStyle name="Saída 5 2 8 2 4" xfId="34780"/>
    <cellStyle name="Saída 5 2 8 3" xfId="7267"/>
    <cellStyle name="Saída 5 2 8 3 2" xfId="15816"/>
    <cellStyle name="Saída 5 2 8 3 2 2" xfId="28263"/>
    <cellStyle name="Saída 5 2 8 3 2 2 2" xfId="57442"/>
    <cellStyle name="Saída 5 2 8 3 2 3" xfId="44997"/>
    <cellStyle name="Saída 5 2 8 3 3" xfId="23835"/>
    <cellStyle name="Saída 5 2 8 3 3 2" xfId="53014"/>
    <cellStyle name="Saída 5 2 8 3 4" xfId="36450"/>
    <cellStyle name="Saída 5 2 8 4" xfId="12141"/>
    <cellStyle name="Saída 5 2 8 4 2" xfId="25996"/>
    <cellStyle name="Saída 5 2 8 4 2 2" xfId="55175"/>
    <cellStyle name="Saída 5 2 8 4 3" xfId="41322"/>
    <cellStyle name="Saída 5 2 8 5" xfId="21568"/>
    <cellStyle name="Saída 5 2 8 5 2" xfId="50747"/>
    <cellStyle name="Saída 5 2 8 6" xfId="31558"/>
    <cellStyle name="Saída 5 2 9" xfId="4157"/>
    <cellStyle name="Saída 5 2 9 2" xfId="13410"/>
    <cellStyle name="Saída 5 2 9 2 2" xfId="26716"/>
    <cellStyle name="Saída 5 2 9 2 2 2" xfId="55895"/>
    <cellStyle name="Saída 5 2 9 2 3" xfId="42591"/>
    <cellStyle name="Saída 5 2 9 3" xfId="22288"/>
    <cellStyle name="Saída 5 2 9 3 2" xfId="51467"/>
    <cellStyle name="Saída 5 2 9 4" xfId="33340"/>
    <cellStyle name="Saída 5 3" xfId="497"/>
    <cellStyle name="Saída 5 3 10" xfId="10795"/>
    <cellStyle name="Saída 5 3 10 2" xfId="25194"/>
    <cellStyle name="Saída 5 3 10 2 2" xfId="54373"/>
    <cellStyle name="Saída 5 3 10 3" xfId="39976"/>
    <cellStyle name="Saída 5 3 11" xfId="20766"/>
    <cellStyle name="Saída 5 3 11 2" xfId="49945"/>
    <cellStyle name="Saída 5 3 12" xfId="29703"/>
    <cellStyle name="Saída 5 3 2" xfId="850"/>
    <cellStyle name="Saída 5 3 2 2" xfId="1788"/>
    <cellStyle name="Saída 5 3 2 2 2" xfId="3588"/>
    <cellStyle name="Saída 5 3 2 2 2 2" xfId="6567"/>
    <cellStyle name="Saída 5 3 2 2 2 2 2" xfId="15284"/>
    <cellStyle name="Saída 5 3 2 2 2 2 2 2" xfId="27902"/>
    <cellStyle name="Saída 5 3 2 2 2 2 2 2 2" xfId="57081"/>
    <cellStyle name="Saída 5 3 2 2 2 2 2 3" xfId="44465"/>
    <cellStyle name="Saída 5 3 2 2 2 2 3" xfId="23474"/>
    <cellStyle name="Saída 5 3 2 2 2 2 3 2" xfId="52653"/>
    <cellStyle name="Saída 5 3 2 2 2 2 4" xfId="35750"/>
    <cellStyle name="Saída 5 3 2 2 2 3" xfId="8345"/>
    <cellStyle name="Saída 5 3 2 2 2 3 2" xfId="16577"/>
    <cellStyle name="Saída 5 3 2 2 2 3 2 2" xfId="28693"/>
    <cellStyle name="Saída 5 3 2 2 2 3 2 2 2" xfId="57872"/>
    <cellStyle name="Saída 5 3 2 2 2 3 2 3" xfId="45758"/>
    <cellStyle name="Saída 5 3 2 2 2 3 3" xfId="24265"/>
    <cellStyle name="Saída 5 3 2 2 2 3 3 2" xfId="53444"/>
    <cellStyle name="Saída 5 3 2 2 2 3 4" xfId="37528"/>
    <cellStyle name="Saída 5 3 2 2 2 4" xfId="13000"/>
    <cellStyle name="Saída 5 3 2 2 2 4 2" xfId="26462"/>
    <cellStyle name="Saída 5 3 2 2 2 4 2 2" xfId="55641"/>
    <cellStyle name="Saída 5 3 2 2 2 4 3" xfId="42181"/>
    <cellStyle name="Saída 5 3 2 2 2 5" xfId="22034"/>
    <cellStyle name="Saída 5 3 2 2 2 5 2" xfId="51213"/>
    <cellStyle name="Saída 5 3 2 2 2 6" xfId="32771"/>
    <cellStyle name="Saída 5 3 2 2 3" xfId="5127"/>
    <cellStyle name="Saída 5 3 2 2 3 2" xfId="14161"/>
    <cellStyle name="Saída 5 3 2 2 3 2 2" xfId="27182"/>
    <cellStyle name="Saída 5 3 2 2 3 2 2 2" xfId="56361"/>
    <cellStyle name="Saída 5 3 2 2 3 2 3" xfId="43342"/>
    <cellStyle name="Saída 5 3 2 2 3 3" xfId="22754"/>
    <cellStyle name="Saída 5 3 2 2 3 3 2" xfId="51933"/>
    <cellStyle name="Saída 5 3 2 2 3 4" xfId="34310"/>
    <cellStyle name="Saída 5 3 2 2 4" xfId="7924"/>
    <cellStyle name="Saída 5 3 2 2 4 2" xfId="16273"/>
    <cellStyle name="Saída 5 3 2 2 4 2 2" xfId="28530"/>
    <cellStyle name="Saída 5 3 2 2 4 2 2 2" xfId="57709"/>
    <cellStyle name="Saída 5 3 2 2 4 2 3" xfId="45454"/>
    <cellStyle name="Saída 5 3 2 2 4 3" xfId="24102"/>
    <cellStyle name="Saída 5 3 2 2 4 3 2" xfId="53281"/>
    <cellStyle name="Saída 5 3 2 2 4 4" xfId="37107"/>
    <cellStyle name="Saída 5 3 2 2 5" xfId="11726"/>
    <cellStyle name="Saída 5 3 2 2 5 2" xfId="25742"/>
    <cellStyle name="Saída 5 3 2 2 5 2 2" xfId="54921"/>
    <cellStyle name="Saída 5 3 2 2 5 3" xfId="40907"/>
    <cellStyle name="Saída 5 3 2 2 6" xfId="21314"/>
    <cellStyle name="Saída 5 3 2 2 6 2" xfId="50493"/>
    <cellStyle name="Saída 5 3 2 2 7" xfId="30971"/>
    <cellStyle name="Saída 5 3 2 3" xfId="2688"/>
    <cellStyle name="Saída 5 3 2 3 2" xfId="5847"/>
    <cellStyle name="Saída 5 3 2 3 2 2" xfId="14728"/>
    <cellStyle name="Saída 5 3 2 3 2 2 2" xfId="27542"/>
    <cellStyle name="Saída 5 3 2 3 2 2 2 2" xfId="56721"/>
    <cellStyle name="Saída 5 3 2 3 2 2 3" xfId="43909"/>
    <cellStyle name="Saída 5 3 2 3 2 3" xfId="23114"/>
    <cellStyle name="Saída 5 3 2 3 2 3 2" xfId="52293"/>
    <cellStyle name="Saída 5 3 2 3 2 4" xfId="35030"/>
    <cellStyle name="Saída 5 3 2 3 3" xfId="8697"/>
    <cellStyle name="Saída 5 3 2 3 3 2" xfId="16825"/>
    <cellStyle name="Saída 5 3 2 3 3 2 2" xfId="28831"/>
    <cellStyle name="Saída 5 3 2 3 3 2 2 2" xfId="58010"/>
    <cellStyle name="Saída 5 3 2 3 3 2 3" xfId="46006"/>
    <cellStyle name="Saída 5 3 2 3 3 3" xfId="24403"/>
    <cellStyle name="Saída 5 3 2 3 3 3 2" xfId="53582"/>
    <cellStyle name="Saída 5 3 2 3 3 4" xfId="37880"/>
    <cellStyle name="Saída 5 3 2 3 4" xfId="12363"/>
    <cellStyle name="Saída 5 3 2 3 4 2" xfId="26102"/>
    <cellStyle name="Saída 5 3 2 3 4 2 2" xfId="55281"/>
    <cellStyle name="Saída 5 3 2 3 4 3" xfId="41544"/>
    <cellStyle name="Saída 5 3 2 3 5" xfId="21674"/>
    <cellStyle name="Saída 5 3 2 3 5 2" xfId="50853"/>
    <cellStyle name="Saída 5 3 2 3 6" xfId="31871"/>
    <cellStyle name="Saída 5 3 2 4" xfId="4407"/>
    <cellStyle name="Saída 5 3 2 4 2" xfId="13605"/>
    <cellStyle name="Saída 5 3 2 4 2 2" xfId="26822"/>
    <cellStyle name="Saída 5 3 2 4 2 2 2" xfId="56001"/>
    <cellStyle name="Saída 5 3 2 4 2 3" xfId="42786"/>
    <cellStyle name="Saída 5 3 2 4 3" xfId="22394"/>
    <cellStyle name="Saída 5 3 2 4 3 2" xfId="51573"/>
    <cellStyle name="Saída 5 3 2 4 4" xfId="33590"/>
    <cellStyle name="Saída 5 3 2 5" xfId="8873"/>
    <cellStyle name="Saída 5 3 2 5 2" xfId="16958"/>
    <cellStyle name="Saída 5 3 2 5 2 2" xfId="28903"/>
    <cellStyle name="Saída 5 3 2 5 2 2 2" xfId="58082"/>
    <cellStyle name="Saída 5 3 2 5 2 3" xfId="46139"/>
    <cellStyle name="Saída 5 3 2 5 3" xfId="24475"/>
    <cellStyle name="Saída 5 3 2 5 3 2" xfId="53654"/>
    <cellStyle name="Saída 5 3 2 5 4" xfId="38056"/>
    <cellStyle name="Saída 5 3 2 6" xfId="11065"/>
    <cellStyle name="Saída 5 3 2 6 2" xfId="25358"/>
    <cellStyle name="Saída 5 3 2 6 2 2" xfId="54537"/>
    <cellStyle name="Saída 5 3 2 6 3" xfId="40246"/>
    <cellStyle name="Saída 5 3 2 7" xfId="20930"/>
    <cellStyle name="Saída 5 3 2 7 2" xfId="50109"/>
    <cellStyle name="Saída 5 3 2 8" xfId="30047"/>
    <cellStyle name="Saída 5 3 3" xfId="1042"/>
    <cellStyle name="Saída 5 3 3 2" xfId="1952"/>
    <cellStyle name="Saída 5 3 3 2 2" xfId="3752"/>
    <cellStyle name="Saída 5 3 3 2 2 2" xfId="6695"/>
    <cellStyle name="Saída 5 3 3 2 2 2 2" xfId="15389"/>
    <cellStyle name="Saída 5 3 3 2 2 2 2 2" xfId="27976"/>
    <cellStyle name="Saída 5 3 3 2 2 2 2 2 2" xfId="57155"/>
    <cellStyle name="Saída 5 3 3 2 2 2 2 3" xfId="44570"/>
    <cellStyle name="Saída 5 3 3 2 2 2 3" xfId="23548"/>
    <cellStyle name="Saída 5 3 3 2 2 2 3 2" xfId="52727"/>
    <cellStyle name="Saída 5 3 3 2 2 2 4" xfId="35878"/>
    <cellStyle name="Saída 5 3 3 2 2 3" xfId="8187"/>
    <cellStyle name="Saída 5 3 3 2 2 3 2" xfId="16454"/>
    <cellStyle name="Saída 5 3 3 2 2 3 2 2" xfId="28627"/>
    <cellStyle name="Saída 5 3 3 2 2 3 2 2 2" xfId="57806"/>
    <cellStyle name="Saída 5 3 3 2 2 3 2 3" xfId="45635"/>
    <cellStyle name="Saída 5 3 3 2 2 3 3" xfId="24199"/>
    <cellStyle name="Saída 5 3 3 2 2 3 3 2" xfId="53378"/>
    <cellStyle name="Saída 5 3 3 2 2 3 4" xfId="37370"/>
    <cellStyle name="Saída 5 3 3 2 2 4" xfId="13122"/>
    <cellStyle name="Saída 5 3 3 2 2 4 2" xfId="26536"/>
    <cellStyle name="Saída 5 3 3 2 2 4 2 2" xfId="55715"/>
    <cellStyle name="Saída 5 3 3 2 2 4 3" xfId="42303"/>
    <cellStyle name="Saída 5 3 3 2 2 5" xfId="22108"/>
    <cellStyle name="Saída 5 3 3 2 2 5 2" xfId="51287"/>
    <cellStyle name="Saída 5 3 3 2 2 6" xfId="32935"/>
    <cellStyle name="Saída 5 3 3 2 3" xfId="5255"/>
    <cellStyle name="Saída 5 3 3 2 3 2" xfId="14268"/>
    <cellStyle name="Saída 5 3 3 2 3 2 2" xfId="27256"/>
    <cellStyle name="Saída 5 3 3 2 3 2 2 2" xfId="56435"/>
    <cellStyle name="Saída 5 3 3 2 3 2 3" xfId="43449"/>
    <cellStyle name="Saída 5 3 3 2 3 3" xfId="22828"/>
    <cellStyle name="Saída 5 3 3 2 3 3 2" xfId="52007"/>
    <cellStyle name="Saída 5 3 3 2 3 4" xfId="34438"/>
    <cellStyle name="Saída 5 3 3 2 4" xfId="7756"/>
    <cellStyle name="Saída 5 3 3 2 4 2" xfId="16153"/>
    <cellStyle name="Saída 5 3 3 2 4 2 2" xfId="28461"/>
    <cellStyle name="Saída 5 3 3 2 4 2 2 2" xfId="57640"/>
    <cellStyle name="Saída 5 3 3 2 4 2 3" xfId="45334"/>
    <cellStyle name="Saída 5 3 3 2 4 3" xfId="24033"/>
    <cellStyle name="Saída 5 3 3 2 4 3 2" xfId="53212"/>
    <cellStyle name="Saída 5 3 3 2 4 4" xfId="36939"/>
    <cellStyle name="Saída 5 3 3 2 5" xfId="11846"/>
    <cellStyle name="Saída 5 3 3 2 5 2" xfId="25816"/>
    <cellStyle name="Saída 5 3 3 2 5 2 2" xfId="54995"/>
    <cellStyle name="Saída 5 3 3 2 5 3" xfId="41027"/>
    <cellStyle name="Saída 5 3 3 2 6" xfId="21388"/>
    <cellStyle name="Saída 5 3 3 2 6 2" xfId="50567"/>
    <cellStyle name="Saída 5 3 3 2 7" xfId="31135"/>
    <cellStyle name="Saída 5 3 3 3" xfId="2852"/>
    <cellStyle name="Saída 5 3 3 3 2" xfId="5975"/>
    <cellStyle name="Saída 5 3 3 3 2 2" xfId="14832"/>
    <cellStyle name="Saída 5 3 3 3 2 2 2" xfId="27616"/>
    <cellStyle name="Saída 5 3 3 3 2 2 2 2" xfId="56795"/>
    <cellStyle name="Saída 5 3 3 3 2 2 3" xfId="44013"/>
    <cellStyle name="Saída 5 3 3 3 2 3" xfId="23188"/>
    <cellStyle name="Saída 5 3 3 3 2 3 2" xfId="52367"/>
    <cellStyle name="Saída 5 3 3 3 2 4" xfId="35158"/>
    <cellStyle name="Saída 5 3 3 3 3" xfId="8556"/>
    <cellStyle name="Saída 5 3 3 3 3 2" xfId="16717"/>
    <cellStyle name="Saída 5 3 3 3 3 2 2" xfId="28767"/>
    <cellStyle name="Saída 5 3 3 3 3 2 2 2" xfId="57946"/>
    <cellStyle name="Saída 5 3 3 3 3 2 3" xfId="45898"/>
    <cellStyle name="Saída 5 3 3 3 3 3" xfId="24339"/>
    <cellStyle name="Saída 5 3 3 3 3 3 2" xfId="53518"/>
    <cellStyle name="Saída 5 3 3 3 3 4" xfId="37739"/>
    <cellStyle name="Saída 5 3 3 3 4" xfId="12485"/>
    <cellStyle name="Saída 5 3 3 3 4 2" xfId="26176"/>
    <cellStyle name="Saída 5 3 3 3 4 2 2" xfId="55355"/>
    <cellStyle name="Saída 5 3 3 3 4 3" xfId="41666"/>
    <cellStyle name="Saída 5 3 3 3 5" xfId="21748"/>
    <cellStyle name="Saída 5 3 3 3 5 2" xfId="50927"/>
    <cellStyle name="Saída 5 3 3 3 6" xfId="32035"/>
    <cellStyle name="Saída 5 3 3 4" xfId="4535"/>
    <cellStyle name="Saída 5 3 3 4 2" xfId="13711"/>
    <cellStyle name="Saída 5 3 3 4 2 2" xfId="26896"/>
    <cellStyle name="Saída 5 3 3 4 2 2 2" xfId="56075"/>
    <cellStyle name="Saída 5 3 3 4 2 3" xfId="42892"/>
    <cellStyle name="Saída 5 3 3 4 3" xfId="22468"/>
    <cellStyle name="Saída 5 3 3 4 3 2" xfId="51647"/>
    <cellStyle name="Saída 5 3 3 4 4" xfId="33718"/>
    <cellStyle name="Saída 5 3 3 5" xfId="9106"/>
    <cellStyle name="Saída 5 3 3 5 2" xfId="17125"/>
    <cellStyle name="Saída 5 3 3 5 2 2" xfId="28994"/>
    <cellStyle name="Saída 5 3 3 5 2 2 2" xfId="58173"/>
    <cellStyle name="Saída 5 3 3 5 2 3" xfId="46306"/>
    <cellStyle name="Saída 5 3 3 5 3" xfId="24566"/>
    <cellStyle name="Saída 5 3 3 5 3 2" xfId="53745"/>
    <cellStyle name="Saída 5 3 3 5 4" xfId="38289"/>
    <cellStyle name="Saída 5 3 3 6" xfId="11209"/>
    <cellStyle name="Saída 5 3 3 6 2" xfId="25453"/>
    <cellStyle name="Saída 5 3 3 6 2 2" xfId="54632"/>
    <cellStyle name="Saída 5 3 3 6 3" xfId="40390"/>
    <cellStyle name="Saída 5 3 3 7" xfId="21025"/>
    <cellStyle name="Saída 5 3 3 7 2" xfId="50204"/>
    <cellStyle name="Saída 5 3 3 8" xfId="30232"/>
    <cellStyle name="Saída 5 3 4" xfId="1192"/>
    <cellStyle name="Saída 5 3 4 2" xfId="2096"/>
    <cellStyle name="Saída 5 3 4 2 2" xfId="3896"/>
    <cellStyle name="Saída 5 3 4 2 2 2" xfId="6812"/>
    <cellStyle name="Saída 5 3 4 2 2 2 2" xfId="15482"/>
    <cellStyle name="Saída 5 3 4 2 2 2 2 2" xfId="28039"/>
    <cellStyle name="Saída 5 3 4 2 2 2 2 2 2" xfId="57218"/>
    <cellStyle name="Saída 5 3 4 2 2 2 2 3" xfId="44663"/>
    <cellStyle name="Saída 5 3 4 2 2 2 3" xfId="23611"/>
    <cellStyle name="Saída 5 3 4 2 2 2 3 2" xfId="52790"/>
    <cellStyle name="Saída 5 3 4 2 2 2 4" xfId="35995"/>
    <cellStyle name="Saída 5 3 4 2 2 3" xfId="8762"/>
    <cellStyle name="Saída 5 3 4 2 2 3 2" xfId="16871"/>
    <cellStyle name="Saída 5 3 4 2 2 3 2 2" xfId="28855"/>
    <cellStyle name="Saída 5 3 4 2 2 3 2 2 2" xfId="58034"/>
    <cellStyle name="Saída 5 3 4 2 2 3 2 3" xfId="46052"/>
    <cellStyle name="Saída 5 3 4 2 2 3 3" xfId="24427"/>
    <cellStyle name="Saída 5 3 4 2 2 3 3 2" xfId="53606"/>
    <cellStyle name="Saída 5 3 4 2 2 3 4" xfId="37945"/>
    <cellStyle name="Saída 5 3 4 2 2 4" xfId="13224"/>
    <cellStyle name="Saída 5 3 4 2 2 4 2" xfId="26599"/>
    <cellStyle name="Saída 5 3 4 2 2 4 2 2" xfId="55778"/>
    <cellStyle name="Saída 5 3 4 2 2 4 3" xfId="42405"/>
    <cellStyle name="Saída 5 3 4 2 2 5" xfId="22171"/>
    <cellStyle name="Saída 5 3 4 2 2 5 2" xfId="51350"/>
    <cellStyle name="Saída 5 3 4 2 2 6" xfId="33079"/>
    <cellStyle name="Saída 5 3 4 2 3" xfId="5372"/>
    <cellStyle name="Saída 5 3 4 2 3 2" xfId="14360"/>
    <cellStyle name="Saída 5 3 4 2 3 2 2" xfId="27319"/>
    <cellStyle name="Saída 5 3 4 2 3 2 2 2" xfId="56498"/>
    <cellStyle name="Saída 5 3 4 2 3 2 3" xfId="43541"/>
    <cellStyle name="Saída 5 3 4 2 3 3" xfId="22891"/>
    <cellStyle name="Saída 5 3 4 2 3 3 2" xfId="52070"/>
    <cellStyle name="Saída 5 3 4 2 3 4" xfId="34555"/>
    <cellStyle name="Saída 5 3 4 2 4" xfId="8321"/>
    <cellStyle name="Saída 5 3 4 2 4 2" xfId="16556"/>
    <cellStyle name="Saída 5 3 4 2 4 2 2" xfId="28682"/>
    <cellStyle name="Saída 5 3 4 2 4 2 2 2" xfId="57861"/>
    <cellStyle name="Saída 5 3 4 2 4 2 3" xfId="45737"/>
    <cellStyle name="Saída 5 3 4 2 4 3" xfId="24254"/>
    <cellStyle name="Saída 5 3 4 2 4 3 2" xfId="53433"/>
    <cellStyle name="Saída 5 3 4 2 4 4" xfId="37504"/>
    <cellStyle name="Saída 5 3 4 2 5" xfId="11950"/>
    <cellStyle name="Saída 5 3 4 2 5 2" xfId="25879"/>
    <cellStyle name="Saída 5 3 4 2 5 2 2" xfId="55058"/>
    <cellStyle name="Saída 5 3 4 2 5 3" xfId="41131"/>
    <cellStyle name="Saída 5 3 4 2 6" xfId="21451"/>
    <cellStyle name="Saída 5 3 4 2 6 2" xfId="50630"/>
    <cellStyle name="Saída 5 3 4 2 7" xfId="31279"/>
    <cellStyle name="Saída 5 3 4 3" xfId="2996"/>
    <cellStyle name="Saída 5 3 4 3 2" xfId="6092"/>
    <cellStyle name="Saída 5 3 4 3 2 2" xfId="14921"/>
    <cellStyle name="Saída 5 3 4 3 2 2 2" xfId="27679"/>
    <cellStyle name="Saída 5 3 4 3 2 2 2 2" xfId="56858"/>
    <cellStyle name="Saída 5 3 4 3 2 2 3" xfId="44102"/>
    <cellStyle name="Saída 5 3 4 3 2 3" xfId="23251"/>
    <cellStyle name="Saída 5 3 4 3 2 3 2" xfId="52430"/>
    <cellStyle name="Saída 5 3 4 3 2 4" xfId="35275"/>
    <cellStyle name="Saída 5 3 4 3 3" xfId="9850"/>
    <cellStyle name="Saída 5 3 4 3 3 2" xfId="17657"/>
    <cellStyle name="Saída 5 3 4 3 3 2 2" xfId="29290"/>
    <cellStyle name="Saída 5 3 4 3 3 2 2 2" xfId="58469"/>
    <cellStyle name="Saída 5 3 4 3 3 2 3" xfId="46838"/>
    <cellStyle name="Saída 5 3 4 3 3 3" xfId="24862"/>
    <cellStyle name="Saída 5 3 4 3 3 3 2" xfId="54041"/>
    <cellStyle name="Saída 5 3 4 3 3 4" xfId="39033"/>
    <cellStyle name="Saída 5 3 4 3 4" xfId="12585"/>
    <cellStyle name="Saída 5 3 4 3 4 2" xfId="26239"/>
    <cellStyle name="Saída 5 3 4 3 4 2 2" xfId="55418"/>
    <cellStyle name="Saída 5 3 4 3 4 3" xfId="41766"/>
    <cellStyle name="Saída 5 3 4 3 5" xfId="21811"/>
    <cellStyle name="Saída 5 3 4 3 5 2" xfId="50990"/>
    <cellStyle name="Saída 5 3 4 3 6" xfId="32179"/>
    <cellStyle name="Saída 5 3 4 4" xfId="4652"/>
    <cellStyle name="Saída 5 3 4 4 2" xfId="13801"/>
    <cellStyle name="Saída 5 3 4 4 2 2" xfId="26959"/>
    <cellStyle name="Saída 5 3 4 4 2 2 2" xfId="56138"/>
    <cellStyle name="Saída 5 3 4 4 2 3" xfId="42982"/>
    <cellStyle name="Saída 5 3 4 4 3" xfId="22531"/>
    <cellStyle name="Saída 5 3 4 4 3 2" xfId="51710"/>
    <cellStyle name="Saída 5 3 4 4 4" xfId="33835"/>
    <cellStyle name="Saída 5 3 4 5" xfId="8497"/>
    <cellStyle name="Saída 5 3 4 5 2" xfId="16679"/>
    <cellStyle name="Saída 5 3 4 5 2 2" xfId="28745"/>
    <cellStyle name="Saída 5 3 4 5 2 2 2" xfId="57924"/>
    <cellStyle name="Saída 5 3 4 5 2 3" xfId="45860"/>
    <cellStyle name="Saída 5 3 4 5 3" xfId="24317"/>
    <cellStyle name="Saída 5 3 4 5 3 2" xfId="53496"/>
    <cellStyle name="Saída 5 3 4 5 4" xfId="37680"/>
    <cellStyle name="Saída 5 3 4 6" xfId="11319"/>
    <cellStyle name="Saída 5 3 4 6 2" xfId="25519"/>
    <cellStyle name="Saída 5 3 4 6 2 2" xfId="54698"/>
    <cellStyle name="Saída 5 3 4 6 3" xfId="40500"/>
    <cellStyle name="Saída 5 3 4 7" xfId="21091"/>
    <cellStyle name="Saída 5 3 4 7 2" xfId="50270"/>
    <cellStyle name="Saída 5 3 4 8" xfId="30379"/>
    <cellStyle name="Saída 5 3 5" xfId="1338"/>
    <cellStyle name="Saída 5 3 5 2" xfId="2240"/>
    <cellStyle name="Saída 5 3 5 2 2" xfId="4040"/>
    <cellStyle name="Saída 5 3 5 2 2 2" xfId="6929"/>
    <cellStyle name="Saída 5 3 5 2 2 2 2" xfId="15572"/>
    <cellStyle name="Saída 5 3 5 2 2 2 2 2" xfId="28102"/>
    <cellStyle name="Saída 5 3 5 2 2 2 2 2 2" xfId="57281"/>
    <cellStyle name="Saída 5 3 5 2 2 2 2 3" xfId="44753"/>
    <cellStyle name="Saída 5 3 5 2 2 2 3" xfId="23674"/>
    <cellStyle name="Saída 5 3 5 2 2 2 3 2" xfId="52853"/>
    <cellStyle name="Saída 5 3 5 2 2 2 4" xfId="36112"/>
    <cellStyle name="Saída 5 3 5 2 2 3" xfId="7040"/>
    <cellStyle name="Saída 5 3 5 2 2 3 2" xfId="15657"/>
    <cellStyle name="Saída 5 3 5 2 2 3 2 2" xfId="28166"/>
    <cellStyle name="Saída 5 3 5 2 2 3 2 2 2" xfId="57345"/>
    <cellStyle name="Saída 5 3 5 2 2 3 2 3" xfId="44838"/>
    <cellStyle name="Saída 5 3 5 2 2 3 3" xfId="23738"/>
    <cellStyle name="Saída 5 3 5 2 2 3 3 2" xfId="52917"/>
    <cellStyle name="Saída 5 3 5 2 2 3 4" xfId="36223"/>
    <cellStyle name="Saída 5 3 5 2 2 4" xfId="13326"/>
    <cellStyle name="Saída 5 3 5 2 2 4 2" xfId="26662"/>
    <cellStyle name="Saída 5 3 5 2 2 4 2 2" xfId="55841"/>
    <cellStyle name="Saída 5 3 5 2 2 4 3" xfId="42507"/>
    <cellStyle name="Saída 5 3 5 2 2 5" xfId="22234"/>
    <cellStyle name="Saída 5 3 5 2 2 5 2" xfId="51413"/>
    <cellStyle name="Saída 5 3 5 2 2 6" xfId="33223"/>
    <cellStyle name="Saída 5 3 5 2 3" xfId="5489"/>
    <cellStyle name="Saída 5 3 5 2 3 2" xfId="14452"/>
    <cellStyle name="Saída 5 3 5 2 3 2 2" xfId="27382"/>
    <cellStyle name="Saída 5 3 5 2 3 2 2 2" xfId="56561"/>
    <cellStyle name="Saída 5 3 5 2 3 2 3" xfId="43633"/>
    <cellStyle name="Saída 5 3 5 2 3 3" xfId="22954"/>
    <cellStyle name="Saída 5 3 5 2 3 3 2" xfId="52133"/>
    <cellStyle name="Saída 5 3 5 2 3 4" xfId="34672"/>
    <cellStyle name="Saída 5 3 5 2 4" xfId="7508"/>
    <cellStyle name="Saída 5 3 5 2 4 2" xfId="15982"/>
    <cellStyle name="Saída 5 3 5 2 4 2 2" xfId="28368"/>
    <cellStyle name="Saída 5 3 5 2 4 2 2 2" xfId="57547"/>
    <cellStyle name="Saída 5 3 5 2 4 2 3" xfId="45163"/>
    <cellStyle name="Saída 5 3 5 2 4 3" xfId="23940"/>
    <cellStyle name="Saída 5 3 5 2 4 3 2" xfId="53119"/>
    <cellStyle name="Saída 5 3 5 2 4 4" xfId="36691"/>
    <cellStyle name="Saída 5 3 5 2 5" xfId="12049"/>
    <cellStyle name="Saída 5 3 5 2 5 2" xfId="25942"/>
    <cellStyle name="Saída 5 3 5 2 5 2 2" xfId="55121"/>
    <cellStyle name="Saída 5 3 5 2 5 3" xfId="41230"/>
    <cellStyle name="Saída 5 3 5 2 6" xfId="21514"/>
    <cellStyle name="Saída 5 3 5 2 6 2" xfId="50693"/>
    <cellStyle name="Saída 5 3 5 2 7" xfId="31423"/>
    <cellStyle name="Saída 5 3 5 3" xfId="3140"/>
    <cellStyle name="Saída 5 3 5 3 2" xfId="6209"/>
    <cellStyle name="Saída 5 3 5 3 2 2" xfId="15012"/>
    <cellStyle name="Saída 5 3 5 3 2 2 2" xfId="27742"/>
    <cellStyle name="Saída 5 3 5 3 2 2 2 2" xfId="56921"/>
    <cellStyle name="Saída 5 3 5 3 2 2 3" xfId="44193"/>
    <cellStyle name="Saída 5 3 5 3 2 3" xfId="23314"/>
    <cellStyle name="Saída 5 3 5 3 2 3 2" xfId="52493"/>
    <cellStyle name="Saída 5 3 5 3 2 4" xfId="35392"/>
    <cellStyle name="Saída 5 3 5 3 3" xfId="7229"/>
    <cellStyle name="Saída 5 3 5 3 3 2" xfId="15791"/>
    <cellStyle name="Saída 5 3 5 3 3 2 2" xfId="28250"/>
    <cellStyle name="Saída 5 3 5 3 3 2 2 2" xfId="57429"/>
    <cellStyle name="Saída 5 3 5 3 3 2 3" xfId="44972"/>
    <cellStyle name="Saída 5 3 5 3 3 3" xfId="23822"/>
    <cellStyle name="Saída 5 3 5 3 3 3 2" xfId="53001"/>
    <cellStyle name="Saída 5 3 5 3 3 4" xfId="36412"/>
    <cellStyle name="Saída 5 3 5 3 4" xfId="12687"/>
    <cellStyle name="Saída 5 3 5 3 4 2" xfId="26302"/>
    <cellStyle name="Saída 5 3 5 3 4 2 2" xfId="55481"/>
    <cellStyle name="Saída 5 3 5 3 4 3" xfId="41868"/>
    <cellStyle name="Saída 5 3 5 3 5" xfId="21874"/>
    <cellStyle name="Saída 5 3 5 3 5 2" xfId="51053"/>
    <cellStyle name="Saída 5 3 5 3 6" xfId="32323"/>
    <cellStyle name="Saída 5 3 5 4" xfId="4769"/>
    <cellStyle name="Saída 5 3 5 4 2" xfId="13889"/>
    <cellStyle name="Saída 5 3 5 4 2 2" xfId="27022"/>
    <cellStyle name="Saída 5 3 5 4 2 2 2" xfId="56201"/>
    <cellStyle name="Saída 5 3 5 4 2 3" xfId="43070"/>
    <cellStyle name="Saída 5 3 5 4 3" xfId="22594"/>
    <cellStyle name="Saída 5 3 5 4 3 2" xfId="51773"/>
    <cellStyle name="Saída 5 3 5 4 4" xfId="33952"/>
    <cellStyle name="Saída 5 3 5 5" xfId="8611"/>
    <cellStyle name="Saída 5 3 5 5 2" xfId="16757"/>
    <cellStyle name="Saída 5 3 5 5 2 2" xfId="28789"/>
    <cellStyle name="Saída 5 3 5 5 2 2 2" xfId="57968"/>
    <cellStyle name="Saída 5 3 5 5 2 3" xfId="45938"/>
    <cellStyle name="Saída 5 3 5 5 3" xfId="24361"/>
    <cellStyle name="Saída 5 3 5 5 3 2" xfId="53540"/>
    <cellStyle name="Saída 5 3 5 5 4" xfId="37794"/>
    <cellStyle name="Saída 5 3 5 6" xfId="11418"/>
    <cellStyle name="Saída 5 3 5 6 2" xfId="25582"/>
    <cellStyle name="Saída 5 3 5 6 2 2" xfId="54761"/>
    <cellStyle name="Saída 5 3 5 6 3" xfId="40599"/>
    <cellStyle name="Saída 5 3 5 7" xfId="21154"/>
    <cellStyle name="Saída 5 3 5 7 2" xfId="50333"/>
    <cellStyle name="Saída 5 3 5 8" xfId="30523"/>
    <cellStyle name="Saída 5 3 6" xfId="1520"/>
    <cellStyle name="Saída 5 3 6 2" xfId="3320"/>
    <cellStyle name="Saída 5 3 6 2 2" xfId="6353"/>
    <cellStyle name="Saída 5 3 6 2 2 2" xfId="15115"/>
    <cellStyle name="Saída 5 3 6 2 2 2 2" xfId="27814"/>
    <cellStyle name="Saída 5 3 6 2 2 2 2 2" xfId="56993"/>
    <cellStyle name="Saída 5 3 6 2 2 2 3" xfId="44296"/>
    <cellStyle name="Saída 5 3 6 2 2 3" xfId="23386"/>
    <cellStyle name="Saída 5 3 6 2 2 3 2" xfId="52565"/>
    <cellStyle name="Saída 5 3 6 2 2 4" xfId="35536"/>
    <cellStyle name="Saída 5 3 6 2 3" xfId="8690"/>
    <cellStyle name="Saída 5 3 6 2 3 2" xfId="16818"/>
    <cellStyle name="Saída 5 3 6 2 3 2 2" xfId="28826"/>
    <cellStyle name="Saída 5 3 6 2 3 2 2 2" xfId="58005"/>
    <cellStyle name="Saída 5 3 6 2 3 2 3" xfId="45999"/>
    <cellStyle name="Saída 5 3 6 2 3 3" xfId="24398"/>
    <cellStyle name="Saída 5 3 6 2 3 3 2" xfId="53577"/>
    <cellStyle name="Saída 5 3 6 2 3 4" xfId="37873"/>
    <cellStyle name="Saída 5 3 6 2 4" xfId="12811"/>
    <cellStyle name="Saída 5 3 6 2 4 2" xfId="26374"/>
    <cellStyle name="Saída 5 3 6 2 4 2 2" xfId="55553"/>
    <cellStyle name="Saída 5 3 6 2 4 3" xfId="41992"/>
    <cellStyle name="Saída 5 3 6 2 5" xfId="21946"/>
    <cellStyle name="Saída 5 3 6 2 5 2" xfId="51125"/>
    <cellStyle name="Saída 5 3 6 2 6" xfId="32503"/>
    <cellStyle name="Saída 5 3 6 3" xfId="4913"/>
    <cellStyle name="Saída 5 3 6 3 2" xfId="13994"/>
    <cellStyle name="Saída 5 3 6 3 2 2" xfId="27094"/>
    <cellStyle name="Saída 5 3 6 3 2 2 2" xfId="56273"/>
    <cellStyle name="Saída 5 3 6 3 2 3" xfId="43175"/>
    <cellStyle name="Saída 5 3 6 3 3" xfId="22666"/>
    <cellStyle name="Saída 5 3 6 3 3 2" xfId="51845"/>
    <cellStyle name="Saída 5 3 6 3 4" xfId="34096"/>
    <cellStyle name="Saída 5 3 6 4" xfId="8632"/>
    <cellStyle name="Saída 5 3 6 4 2" xfId="16775"/>
    <cellStyle name="Saída 5 3 6 4 2 2" xfId="28800"/>
    <cellStyle name="Saída 5 3 6 4 2 2 2" xfId="57979"/>
    <cellStyle name="Saída 5 3 6 4 2 3" xfId="45956"/>
    <cellStyle name="Saída 5 3 6 4 3" xfId="24372"/>
    <cellStyle name="Saída 5 3 6 4 3 2" xfId="53551"/>
    <cellStyle name="Saída 5 3 6 4 4" xfId="37815"/>
    <cellStyle name="Saída 5 3 6 5" xfId="11539"/>
    <cellStyle name="Saída 5 3 6 5 2" xfId="25654"/>
    <cellStyle name="Saída 5 3 6 5 2 2" xfId="54833"/>
    <cellStyle name="Saída 5 3 6 5 3" xfId="40720"/>
    <cellStyle name="Saída 5 3 6 6" xfId="21226"/>
    <cellStyle name="Saída 5 3 6 6 2" xfId="50405"/>
    <cellStyle name="Saída 5 3 6 7" xfId="30703"/>
    <cellStyle name="Saída 5 3 7" xfId="2420"/>
    <cellStyle name="Saída 5 3 7 2" xfId="5633"/>
    <cellStyle name="Saída 5 3 7 2 2" xfId="14561"/>
    <cellStyle name="Saída 5 3 7 2 2 2" xfId="27454"/>
    <cellStyle name="Saída 5 3 7 2 2 2 2" xfId="56633"/>
    <cellStyle name="Saída 5 3 7 2 2 3" xfId="43742"/>
    <cellStyle name="Saída 5 3 7 2 3" xfId="23026"/>
    <cellStyle name="Saída 5 3 7 2 3 2" xfId="52205"/>
    <cellStyle name="Saída 5 3 7 2 4" xfId="34816"/>
    <cellStyle name="Saída 5 3 7 3" xfId="9931"/>
    <cellStyle name="Saída 5 3 7 3 2" xfId="17713"/>
    <cellStyle name="Saída 5 3 7 3 2 2" xfId="29321"/>
    <cellStyle name="Saída 5 3 7 3 2 2 2" xfId="58500"/>
    <cellStyle name="Saída 5 3 7 3 2 3" xfId="46894"/>
    <cellStyle name="Saída 5 3 7 3 3" xfId="24893"/>
    <cellStyle name="Saída 5 3 7 3 3 2" xfId="54072"/>
    <cellStyle name="Saída 5 3 7 3 4" xfId="39114"/>
    <cellStyle name="Saída 5 3 7 4" xfId="12173"/>
    <cellStyle name="Saída 5 3 7 4 2" xfId="26014"/>
    <cellStyle name="Saída 5 3 7 4 2 2" xfId="55193"/>
    <cellStyle name="Saída 5 3 7 4 3" xfId="41354"/>
    <cellStyle name="Saída 5 3 7 5" xfId="21586"/>
    <cellStyle name="Saída 5 3 7 5 2" xfId="50765"/>
    <cellStyle name="Saída 5 3 7 6" xfId="31603"/>
    <cellStyle name="Saída 5 3 8" xfId="4193"/>
    <cellStyle name="Saída 5 3 8 2" xfId="13442"/>
    <cellStyle name="Saída 5 3 8 2 2" xfId="26734"/>
    <cellStyle name="Saída 5 3 8 2 2 2" xfId="55913"/>
    <cellStyle name="Saída 5 3 8 2 3" xfId="42623"/>
    <cellStyle name="Saída 5 3 8 3" xfId="22306"/>
    <cellStyle name="Saída 5 3 8 3 2" xfId="51485"/>
    <cellStyle name="Saída 5 3 8 4" xfId="33376"/>
    <cellStyle name="Saída 5 3 9" xfId="8505"/>
    <cellStyle name="Saída 5 3 9 2" xfId="16684"/>
    <cellStyle name="Saída 5 3 9 2 2" xfId="28748"/>
    <cellStyle name="Saída 5 3 9 2 2 2" xfId="57927"/>
    <cellStyle name="Saída 5 3 9 2 3" xfId="45865"/>
    <cellStyle name="Saída 5 3 9 3" xfId="24320"/>
    <cellStyle name="Saída 5 3 9 3 2" xfId="53499"/>
    <cellStyle name="Saída 5 3 9 4" xfId="37688"/>
    <cellStyle name="Saída 5 4" xfId="718"/>
    <cellStyle name="Saída 5 4 2" xfId="1680"/>
    <cellStyle name="Saída 5 4 2 2" xfId="3480"/>
    <cellStyle name="Saída 5 4 2 2 2" xfId="6486"/>
    <cellStyle name="Saída 5 4 2 2 2 2" xfId="15220"/>
    <cellStyle name="Saída 5 4 2 2 2 2 2" xfId="27857"/>
    <cellStyle name="Saída 5 4 2 2 2 2 2 2" xfId="57036"/>
    <cellStyle name="Saída 5 4 2 2 2 2 3" xfId="44401"/>
    <cellStyle name="Saída 5 4 2 2 2 3" xfId="23429"/>
    <cellStyle name="Saída 5 4 2 2 2 3 2" xfId="52608"/>
    <cellStyle name="Saída 5 4 2 2 2 4" xfId="35669"/>
    <cellStyle name="Saída 5 4 2 2 3" xfId="8688"/>
    <cellStyle name="Saída 5 4 2 2 3 2" xfId="16817"/>
    <cellStyle name="Saída 5 4 2 2 3 2 2" xfId="28825"/>
    <cellStyle name="Saída 5 4 2 2 3 2 2 2" xfId="58004"/>
    <cellStyle name="Saída 5 4 2 2 3 2 3" xfId="45998"/>
    <cellStyle name="Saída 5 4 2 2 3 3" xfId="24397"/>
    <cellStyle name="Saída 5 4 2 2 3 3 2" xfId="53576"/>
    <cellStyle name="Saída 5 4 2 2 3 4" xfId="37871"/>
    <cellStyle name="Saída 5 4 2 2 4" xfId="12924"/>
    <cellStyle name="Saída 5 4 2 2 4 2" xfId="26417"/>
    <cellStyle name="Saída 5 4 2 2 4 2 2" xfId="55596"/>
    <cellStyle name="Saída 5 4 2 2 4 3" xfId="42105"/>
    <cellStyle name="Saída 5 4 2 2 5" xfId="21989"/>
    <cellStyle name="Saída 5 4 2 2 5 2" xfId="51168"/>
    <cellStyle name="Saída 5 4 2 2 6" xfId="32663"/>
    <cellStyle name="Saída 5 4 2 3" xfId="5046"/>
    <cellStyle name="Saída 5 4 2 3 2" xfId="14096"/>
    <cellStyle name="Saída 5 4 2 3 2 2" xfId="27137"/>
    <cellStyle name="Saída 5 4 2 3 2 2 2" xfId="56316"/>
    <cellStyle name="Saída 5 4 2 3 2 3" xfId="43277"/>
    <cellStyle name="Saída 5 4 2 3 3" xfId="22709"/>
    <cellStyle name="Saída 5 4 2 3 3 2" xfId="51888"/>
    <cellStyle name="Saída 5 4 2 3 4" xfId="34229"/>
    <cellStyle name="Saída 5 4 2 4" xfId="8630"/>
    <cellStyle name="Saída 5 4 2 4 2" xfId="16774"/>
    <cellStyle name="Saída 5 4 2 4 2 2" xfId="28799"/>
    <cellStyle name="Saída 5 4 2 4 2 2 2" xfId="57978"/>
    <cellStyle name="Saída 5 4 2 4 2 3" xfId="45955"/>
    <cellStyle name="Saída 5 4 2 4 3" xfId="24371"/>
    <cellStyle name="Saída 5 4 2 4 3 2" xfId="53550"/>
    <cellStyle name="Saída 5 4 2 4 4" xfId="37813"/>
    <cellStyle name="Saída 5 4 2 5" xfId="11651"/>
    <cellStyle name="Saída 5 4 2 5 2" xfId="25697"/>
    <cellStyle name="Saída 5 4 2 5 2 2" xfId="54876"/>
    <cellStyle name="Saída 5 4 2 5 3" xfId="40832"/>
    <cellStyle name="Saída 5 4 2 6" xfId="21269"/>
    <cellStyle name="Saída 5 4 2 6 2" xfId="50448"/>
    <cellStyle name="Saída 5 4 2 7" xfId="30863"/>
    <cellStyle name="Saída 5 4 3" xfId="2580"/>
    <cellStyle name="Saída 5 4 3 2" xfId="5766"/>
    <cellStyle name="Saída 5 4 3 2 2" xfId="14661"/>
    <cellStyle name="Saída 5 4 3 2 2 2" xfId="27497"/>
    <cellStyle name="Saída 5 4 3 2 2 2 2" xfId="56676"/>
    <cellStyle name="Saída 5 4 3 2 2 3" xfId="43842"/>
    <cellStyle name="Saída 5 4 3 2 3" xfId="23069"/>
    <cellStyle name="Saída 5 4 3 2 3 2" xfId="52248"/>
    <cellStyle name="Saída 5 4 3 2 4" xfId="34949"/>
    <cellStyle name="Saída 5 4 3 3" xfId="9933"/>
    <cellStyle name="Saída 5 4 3 3 2" xfId="17714"/>
    <cellStyle name="Saída 5 4 3 3 2 2" xfId="29322"/>
    <cellStyle name="Saída 5 4 3 3 2 2 2" xfId="58501"/>
    <cellStyle name="Saída 5 4 3 3 2 3" xfId="46895"/>
    <cellStyle name="Saída 5 4 3 3 3" xfId="24894"/>
    <cellStyle name="Saída 5 4 3 3 3 2" xfId="54073"/>
    <cellStyle name="Saída 5 4 3 3 4" xfId="39116"/>
    <cellStyle name="Saída 5 4 3 4" xfId="12286"/>
    <cellStyle name="Saída 5 4 3 4 2" xfId="26057"/>
    <cellStyle name="Saída 5 4 3 4 2 2" xfId="55236"/>
    <cellStyle name="Saída 5 4 3 4 3" xfId="41467"/>
    <cellStyle name="Saída 5 4 3 5" xfId="21629"/>
    <cellStyle name="Saída 5 4 3 5 2" xfId="50808"/>
    <cellStyle name="Saída 5 4 3 6" xfId="31763"/>
    <cellStyle name="Saída 5 4 4" xfId="4326"/>
    <cellStyle name="Saída 5 4 4 2" xfId="13540"/>
    <cellStyle name="Saída 5 4 4 2 2" xfId="26777"/>
    <cellStyle name="Saída 5 4 4 2 2 2" xfId="55956"/>
    <cellStyle name="Saída 5 4 4 2 3" xfId="42721"/>
    <cellStyle name="Saída 5 4 4 3" xfId="22349"/>
    <cellStyle name="Saída 5 4 4 3 2" xfId="51528"/>
    <cellStyle name="Saída 5 4 4 4" xfId="33509"/>
    <cellStyle name="Saída 5 4 5" xfId="7404"/>
    <cellStyle name="Saída 5 4 5 2" xfId="15914"/>
    <cellStyle name="Saída 5 4 5 2 2" xfId="28327"/>
    <cellStyle name="Saída 5 4 5 2 2 2" xfId="57506"/>
    <cellStyle name="Saída 5 4 5 2 3" xfId="45095"/>
    <cellStyle name="Saída 5 4 5 3" xfId="23899"/>
    <cellStyle name="Saída 5 4 5 3 2" xfId="53078"/>
    <cellStyle name="Saída 5 4 5 4" xfId="36587"/>
    <cellStyle name="Saída 5 4 6" xfId="10968"/>
    <cellStyle name="Saída 5 4 6 2" xfId="25292"/>
    <cellStyle name="Saída 5 4 6 2 2" xfId="54471"/>
    <cellStyle name="Saída 5 4 6 3" xfId="40149"/>
    <cellStyle name="Saída 5 4 7" xfId="20864"/>
    <cellStyle name="Saída 5 4 7 2" xfId="50043"/>
    <cellStyle name="Saída 5 4 8" xfId="29918"/>
    <cellStyle name="Saída 5 5" xfId="561"/>
    <cellStyle name="Saída 5 5 2" xfId="1581"/>
    <cellStyle name="Saída 5 5 2 2" xfId="3381"/>
    <cellStyle name="Saída 5 5 2 2 2" xfId="6405"/>
    <cellStyle name="Saída 5 5 2 2 2 2" xfId="15160"/>
    <cellStyle name="Saída 5 5 2 2 2 2 2" xfId="27848"/>
    <cellStyle name="Saída 5 5 2 2 2 2 2 2" xfId="57027"/>
    <cellStyle name="Saída 5 5 2 2 2 2 3" xfId="44341"/>
    <cellStyle name="Saída 5 5 2 2 2 3" xfId="23420"/>
    <cellStyle name="Saída 5 5 2 2 2 3 2" xfId="52599"/>
    <cellStyle name="Saída 5 5 2 2 2 4" xfId="35588"/>
    <cellStyle name="Saída 5 5 2 2 3" xfId="8424"/>
    <cellStyle name="Saída 5 5 2 2 3 2" xfId="16628"/>
    <cellStyle name="Saída 5 5 2 2 3 2 2" xfId="28719"/>
    <cellStyle name="Saída 5 5 2 2 3 2 2 2" xfId="57898"/>
    <cellStyle name="Saída 5 5 2 2 3 2 3" xfId="45809"/>
    <cellStyle name="Saída 5 5 2 2 3 3" xfId="24291"/>
    <cellStyle name="Saída 5 5 2 2 3 3 2" xfId="53470"/>
    <cellStyle name="Saída 5 5 2 2 3 4" xfId="37607"/>
    <cellStyle name="Saída 5 5 2 2 4" xfId="12857"/>
    <cellStyle name="Saída 5 5 2 2 4 2" xfId="26408"/>
    <cellStyle name="Saída 5 5 2 2 4 2 2" xfId="55587"/>
    <cellStyle name="Saída 5 5 2 2 4 3" xfId="42038"/>
    <cellStyle name="Saída 5 5 2 2 5" xfId="21980"/>
    <cellStyle name="Saída 5 5 2 2 5 2" xfId="51159"/>
    <cellStyle name="Saída 5 5 2 2 6" xfId="32564"/>
    <cellStyle name="Saída 5 5 2 3" xfId="4965"/>
    <cellStyle name="Saída 5 5 2 3 2" xfId="14039"/>
    <cellStyle name="Saída 5 5 2 3 2 2" xfId="27128"/>
    <cellStyle name="Saída 5 5 2 3 2 2 2" xfId="56307"/>
    <cellStyle name="Saída 5 5 2 3 2 3" xfId="43220"/>
    <cellStyle name="Saída 5 5 2 3 3" xfId="22700"/>
    <cellStyle name="Saída 5 5 2 3 3 2" xfId="51879"/>
    <cellStyle name="Saída 5 5 2 3 4" xfId="34148"/>
    <cellStyle name="Saída 5 5 2 4" xfId="10401"/>
    <cellStyle name="Saída 5 5 2 4 2" xfId="18039"/>
    <cellStyle name="Saída 5 5 2 4 2 2" xfId="29506"/>
    <cellStyle name="Saída 5 5 2 4 2 2 2" xfId="58685"/>
    <cellStyle name="Saída 5 5 2 4 2 3" xfId="47220"/>
    <cellStyle name="Saída 5 5 2 4 3" xfId="25078"/>
    <cellStyle name="Saída 5 5 2 4 3 2" xfId="54257"/>
    <cellStyle name="Saída 5 5 2 4 4" xfId="39584"/>
    <cellStyle name="Saída 5 5 2 5" xfId="11586"/>
    <cellStyle name="Saída 5 5 2 5 2" xfId="25688"/>
    <cellStyle name="Saída 5 5 2 5 2 2" xfId="54867"/>
    <cellStyle name="Saída 5 5 2 5 3" xfId="40767"/>
    <cellStyle name="Saída 5 5 2 6" xfId="21260"/>
    <cellStyle name="Saída 5 5 2 6 2" xfId="50439"/>
    <cellStyle name="Saída 5 5 2 7" xfId="30764"/>
    <cellStyle name="Saída 5 5 3" xfId="2481"/>
    <cellStyle name="Saída 5 5 3 2" xfId="5685"/>
    <cellStyle name="Saída 5 5 3 2 2" xfId="14607"/>
    <cellStyle name="Saída 5 5 3 2 2 2" xfId="27488"/>
    <cellStyle name="Saída 5 5 3 2 2 2 2" xfId="56667"/>
    <cellStyle name="Saída 5 5 3 2 2 3" xfId="43788"/>
    <cellStyle name="Saída 5 5 3 2 3" xfId="23060"/>
    <cellStyle name="Saída 5 5 3 2 3 2" xfId="52239"/>
    <cellStyle name="Saída 5 5 3 2 4" xfId="34868"/>
    <cellStyle name="Saída 5 5 3 3" xfId="9624"/>
    <cellStyle name="Saída 5 5 3 3 2" xfId="17485"/>
    <cellStyle name="Saída 5 5 3 3 2 2" xfId="29199"/>
    <cellStyle name="Saída 5 5 3 3 2 2 2" xfId="58378"/>
    <cellStyle name="Saída 5 5 3 3 2 3" xfId="46666"/>
    <cellStyle name="Saída 5 5 3 3 3" xfId="24771"/>
    <cellStyle name="Saída 5 5 3 3 3 2" xfId="53950"/>
    <cellStyle name="Saída 5 5 3 3 4" xfId="38807"/>
    <cellStyle name="Saída 5 5 3 4" xfId="12223"/>
    <cellStyle name="Saída 5 5 3 4 2" xfId="26048"/>
    <cellStyle name="Saída 5 5 3 4 2 2" xfId="55227"/>
    <cellStyle name="Saída 5 5 3 4 3" xfId="41404"/>
    <cellStyle name="Saída 5 5 3 5" xfId="21620"/>
    <cellStyle name="Saída 5 5 3 5 2" xfId="50799"/>
    <cellStyle name="Saída 5 5 3 6" xfId="31664"/>
    <cellStyle name="Saída 5 5 4" xfId="4245"/>
    <cellStyle name="Saída 5 5 4 2" xfId="13488"/>
    <cellStyle name="Saída 5 5 4 2 2" xfId="26768"/>
    <cellStyle name="Saída 5 5 4 2 2 2" xfId="55947"/>
    <cellStyle name="Saída 5 5 4 2 3" xfId="42669"/>
    <cellStyle name="Saída 5 5 4 3" xfId="22340"/>
    <cellStyle name="Saída 5 5 4 3 2" xfId="51519"/>
    <cellStyle name="Saída 5 5 4 4" xfId="33428"/>
    <cellStyle name="Saída 5 5 5" xfId="9800"/>
    <cellStyle name="Saída 5 5 5 2" xfId="17623"/>
    <cellStyle name="Saída 5 5 5 2 2" xfId="29272"/>
    <cellStyle name="Saída 5 5 5 2 2 2" xfId="58451"/>
    <cellStyle name="Saída 5 5 5 2 3" xfId="46804"/>
    <cellStyle name="Saída 5 5 5 3" xfId="24844"/>
    <cellStyle name="Saída 5 5 5 3 2" xfId="54023"/>
    <cellStyle name="Saída 5 5 5 4" xfId="38983"/>
    <cellStyle name="Saída 5 5 6" xfId="10847"/>
    <cellStyle name="Saída 5 5 6 2" xfId="25230"/>
    <cellStyle name="Saída 5 5 6 2 2" xfId="54409"/>
    <cellStyle name="Saída 5 5 6 3" xfId="40028"/>
    <cellStyle name="Saída 5 5 7" xfId="20802"/>
    <cellStyle name="Saída 5 5 7 2" xfId="49981"/>
    <cellStyle name="Saída 5 5 8" xfId="29766"/>
    <cellStyle name="Saída 5 6" xfId="757"/>
    <cellStyle name="Saída 5 6 2" xfId="1698"/>
    <cellStyle name="Saída 5 6 2 2" xfId="3498"/>
    <cellStyle name="Saída 5 6 2 2 2" xfId="6495"/>
    <cellStyle name="Saída 5 6 2 2 2 2" xfId="15229"/>
    <cellStyle name="Saída 5 6 2 2 2 2 2" xfId="27866"/>
    <cellStyle name="Saída 5 6 2 2 2 2 2 2" xfId="57045"/>
    <cellStyle name="Saída 5 6 2 2 2 2 3" xfId="44410"/>
    <cellStyle name="Saída 5 6 2 2 2 3" xfId="23438"/>
    <cellStyle name="Saída 5 6 2 2 2 3 2" xfId="52617"/>
    <cellStyle name="Saída 5 6 2 2 2 4" xfId="35678"/>
    <cellStyle name="Saída 5 6 2 2 3" xfId="9418"/>
    <cellStyle name="Saída 5 6 2 2 3 2" xfId="17347"/>
    <cellStyle name="Saída 5 6 2 2 3 2 2" xfId="29118"/>
    <cellStyle name="Saída 5 6 2 2 3 2 2 2" xfId="58297"/>
    <cellStyle name="Saída 5 6 2 2 3 2 3" xfId="46528"/>
    <cellStyle name="Saída 5 6 2 2 3 3" xfId="24690"/>
    <cellStyle name="Saída 5 6 2 2 3 3 2" xfId="53869"/>
    <cellStyle name="Saída 5 6 2 2 3 4" xfId="38601"/>
    <cellStyle name="Saída 5 6 2 2 4" xfId="12935"/>
    <cellStyle name="Saída 5 6 2 2 4 2" xfId="26426"/>
    <cellStyle name="Saída 5 6 2 2 4 2 2" xfId="55605"/>
    <cellStyle name="Saída 5 6 2 2 4 3" xfId="42116"/>
    <cellStyle name="Saída 5 6 2 2 5" xfId="21998"/>
    <cellStyle name="Saída 5 6 2 2 5 2" xfId="51177"/>
    <cellStyle name="Saída 5 6 2 2 6" xfId="32681"/>
    <cellStyle name="Saída 5 6 2 3" xfId="5055"/>
    <cellStyle name="Saída 5 6 2 3 2" xfId="14105"/>
    <cellStyle name="Saída 5 6 2 3 2 2" xfId="27146"/>
    <cellStyle name="Saída 5 6 2 3 2 2 2" xfId="56325"/>
    <cellStyle name="Saída 5 6 2 3 2 3" xfId="43286"/>
    <cellStyle name="Saída 5 6 2 3 3" xfId="22718"/>
    <cellStyle name="Saída 5 6 2 3 3 2" xfId="51897"/>
    <cellStyle name="Saída 5 6 2 3 4" xfId="34238"/>
    <cellStyle name="Saída 5 6 2 4" xfId="10480"/>
    <cellStyle name="Saída 5 6 2 4 2" xfId="18097"/>
    <cellStyle name="Saída 5 6 2 4 2 2" xfId="29536"/>
    <cellStyle name="Saída 5 6 2 4 2 2 2" xfId="58715"/>
    <cellStyle name="Saída 5 6 2 4 2 3" xfId="47278"/>
    <cellStyle name="Saída 5 6 2 4 3" xfId="25108"/>
    <cellStyle name="Saída 5 6 2 4 3 2" xfId="54287"/>
    <cellStyle name="Saída 5 6 2 4 4" xfId="39663"/>
    <cellStyle name="Saída 5 6 2 5" xfId="11662"/>
    <cellStyle name="Saída 5 6 2 5 2" xfId="25706"/>
    <cellStyle name="Saída 5 6 2 5 2 2" xfId="54885"/>
    <cellStyle name="Saída 5 6 2 5 3" xfId="40843"/>
    <cellStyle name="Saída 5 6 2 6" xfId="21278"/>
    <cellStyle name="Saída 5 6 2 6 2" xfId="50457"/>
    <cellStyle name="Saída 5 6 2 7" xfId="30881"/>
    <cellStyle name="Saída 5 6 3" xfId="2598"/>
    <cellStyle name="Saída 5 6 3 2" xfId="5775"/>
    <cellStyle name="Saída 5 6 3 2 2" xfId="14670"/>
    <cellStyle name="Saída 5 6 3 2 2 2" xfId="27506"/>
    <cellStyle name="Saída 5 6 3 2 2 2 2" xfId="56685"/>
    <cellStyle name="Saída 5 6 3 2 2 3" xfId="43851"/>
    <cellStyle name="Saída 5 6 3 2 3" xfId="23078"/>
    <cellStyle name="Saída 5 6 3 2 3 2" xfId="52257"/>
    <cellStyle name="Saída 5 6 3 2 4" xfId="34958"/>
    <cellStyle name="Saída 5 6 3 3" xfId="9702"/>
    <cellStyle name="Saída 5 6 3 3 2" xfId="17546"/>
    <cellStyle name="Saída 5 6 3 3 2 2" xfId="29231"/>
    <cellStyle name="Saída 5 6 3 3 2 2 2" xfId="58410"/>
    <cellStyle name="Saída 5 6 3 3 2 3" xfId="46727"/>
    <cellStyle name="Saída 5 6 3 3 3" xfId="24803"/>
    <cellStyle name="Saída 5 6 3 3 3 2" xfId="53982"/>
    <cellStyle name="Saída 5 6 3 3 4" xfId="38885"/>
    <cellStyle name="Saída 5 6 3 4" xfId="12297"/>
    <cellStyle name="Saída 5 6 3 4 2" xfId="26066"/>
    <cellStyle name="Saída 5 6 3 4 2 2" xfId="55245"/>
    <cellStyle name="Saída 5 6 3 4 3" xfId="41478"/>
    <cellStyle name="Saída 5 6 3 5" xfId="21638"/>
    <cellStyle name="Saída 5 6 3 5 2" xfId="50817"/>
    <cellStyle name="Saída 5 6 3 6" xfId="31781"/>
    <cellStyle name="Saída 5 6 4" xfId="4335"/>
    <cellStyle name="Saída 5 6 4 2" xfId="13549"/>
    <cellStyle name="Saída 5 6 4 2 2" xfId="26786"/>
    <cellStyle name="Saída 5 6 4 2 2 2" xfId="55965"/>
    <cellStyle name="Saída 5 6 4 2 3" xfId="42730"/>
    <cellStyle name="Saída 5 6 4 3" xfId="22358"/>
    <cellStyle name="Saída 5 6 4 3 2" xfId="51537"/>
    <cellStyle name="Saída 5 6 4 4" xfId="33518"/>
    <cellStyle name="Saída 5 6 5" xfId="7349"/>
    <cellStyle name="Saída 5 6 5 2" xfId="15876"/>
    <cellStyle name="Saída 5 6 5 2 2" xfId="28303"/>
    <cellStyle name="Saída 5 6 5 2 2 2" xfId="57482"/>
    <cellStyle name="Saída 5 6 5 2 3" xfId="45057"/>
    <cellStyle name="Saída 5 6 5 3" xfId="23875"/>
    <cellStyle name="Saída 5 6 5 3 2" xfId="53054"/>
    <cellStyle name="Saída 5 6 5 4" xfId="36532"/>
    <cellStyle name="Saída 5 6 6" xfId="10999"/>
    <cellStyle name="Saída 5 6 6 2" xfId="25320"/>
    <cellStyle name="Saída 5 6 6 2 2" xfId="54499"/>
    <cellStyle name="Saída 5 6 6 3" xfId="40180"/>
    <cellStyle name="Saída 5 6 7" xfId="20892"/>
    <cellStyle name="Saída 5 6 7 2" xfId="50071"/>
    <cellStyle name="Saída 5 6 8" xfId="29955"/>
    <cellStyle name="Saída 5 7" xfId="949"/>
    <cellStyle name="Saída 5 7 2" xfId="1862"/>
    <cellStyle name="Saída 5 7 2 2" xfId="3662"/>
    <cellStyle name="Saída 5 7 2 2 2" xfId="6623"/>
    <cellStyle name="Saída 5 7 2 2 2 2" xfId="15335"/>
    <cellStyle name="Saída 5 7 2 2 2 2 2" xfId="27940"/>
    <cellStyle name="Saída 5 7 2 2 2 2 2 2" xfId="57119"/>
    <cellStyle name="Saída 5 7 2 2 2 2 3" xfId="44516"/>
    <cellStyle name="Saída 5 7 2 2 2 3" xfId="23512"/>
    <cellStyle name="Saída 5 7 2 2 2 3 2" xfId="52691"/>
    <cellStyle name="Saída 5 7 2 2 2 4" xfId="35806"/>
    <cellStyle name="Saída 5 7 2 2 3" xfId="9279"/>
    <cellStyle name="Saída 5 7 2 2 3 2" xfId="17251"/>
    <cellStyle name="Saída 5 7 2 2 3 2 2" xfId="29062"/>
    <cellStyle name="Saída 5 7 2 2 3 2 2 2" xfId="58241"/>
    <cellStyle name="Saída 5 7 2 2 3 2 3" xfId="46432"/>
    <cellStyle name="Saída 5 7 2 2 3 3" xfId="24634"/>
    <cellStyle name="Saída 5 7 2 2 3 3 2" xfId="53813"/>
    <cellStyle name="Saída 5 7 2 2 3 4" xfId="38462"/>
    <cellStyle name="Saída 5 7 2 2 4" xfId="13056"/>
    <cellStyle name="Saída 5 7 2 2 4 2" xfId="26500"/>
    <cellStyle name="Saída 5 7 2 2 4 2 2" xfId="55679"/>
    <cellStyle name="Saída 5 7 2 2 4 3" xfId="42237"/>
    <cellStyle name="Saída 5 7 2 2 5" xfId="22072"/>
    <cellStyle name="Saída 5 7 2 2 5 2" xfId="51251"/>
    <cellStyle name="Saída 5 7 2 2 6" xfId="32845"/>
    <cellStyle name="Saída 5 7 2 3" xfId="5183"/>
    <cellStyle name="Saída 5 7 2 3 2" xfId="14213"/>
    <cellStyle name="Saída 5 7 2 3 2 2" xfId="27220"/>
    <cellStyle name="Saída 5 7 2 3 2 2 2" xfId="56399"/>
    <cellStyle name="Saída 5 7 2 3 2 3" xfId="43394"/>
    <cellStyle name="Saída 5 7 2 3 3" xfId="22792"/>
    <cellStyle name="Saída 5 7 2 3 3 2" xfId="51971"/>
    <cellStyle name="Saída 5 7 2 3 4" xfId="34366"/>
    <cellStyle name="Saída 5 7 2 4" xfId="10358"/>
    <cellStyle name="Saída 5 7 2 4 2" xfId="18008"/>
    <cellStyle name="Saída 5 7 2 4 2 2" xfId="29489"/>
    <cellStyle name="Saída 5 7 2 4 2 2 2" xfId="58668"/>
    <cellStyle name="Saída 5 7 2 4 2 3" xfId="47189"/>
    <cellStyle name="Saída 5 7 2 4 3" xfId="25061"/>
    <cellStyle name="Saída 5 7 2 4 3 2" xfId="54240"/>
    <cellStyle name="Saída 5 7 2 4 4" xfId="39541"/>
    <cellStyle name="Saída 5 7 2 5" xfId="11781"/>
    <cellStyle name="Saída 5 7 2 5 2" xfId="25780"/>
    <cellStyle name="Saída 5 7 2 5 2 2" xfId="54959"/>
    <cellStyle name="Saída 5 7 2 5 3" xfId="40962"/>
    <cellStyle name="Saída 5 7 2 6" xfId="21352"/>
    <cellStyle name="Saída 5 7 2 6 2" xfId="50531"/>
    <cellStyle name="Saída 5 7 2 7" xfId="31045"/>
    <cellStyle name="Saída 5 7 3" xfId="2762"/>
    <cellStyle name="Saída 5 7 3 2" xfId="5903"/>
    <cellStyle name="Saída 5 7 3 2 2" xfId="14778"/>
    <cellStyle name="Saída 5 7 3 2 2 2" xfId="27580"/>
    <cellStyle name="Saída 5 7 3 2 2 2 2" xfId="56759"/>
    <cellStyle name="Saída 5 7 3 2 2 3" xfId="43959"/>
    <cellStyle name="Saída 5 7 3 2 3" xfId="23152"/>
    <cellStyle name="Saída 5 7 3 2 3 2" xfId="52331"/>
    <cellStyle name="Saída 5 7 3 2 4" xfId="35086"/>
    <cellStyle name="Saída 5 7 3 3" xfId="9581"/>
    <cellStyle name="Saída 5 7 3 3 2" xfId="17460"/>
    <cellStyle name="Saída 5 7 3 3 2 2" xfId="29183"/>
    <cellStyle name="Saída 5 7 3 3 2 2 2" xfId="58362"/>
    <cellStyle name="Saída 5 7 3 3 2 3" xfId="46641"/>
    <cellStyle name="Saída 5 7 3 3 3" xfId="24755"/>
    <cellStyle name="Saída 5 7 3 3 3 2" xfId="53934"/>
    <cellStyle name="Saída 5 7 3 3 4" xfId="38764"/>
    <cellStyle name="Saída 5 7 3 4" xfId="12421"/>
    <cellStyle name="Saída 5 7 3 4 2" xfId="26140"/>
    <cellStyle name="Saída 5 7 3 4 2 2" xfId="55319"/>
    <cellStyle name="Saída 5 7 3 4 3" xfId="41602"/>
    <cellStyle name="Saída 5 7 3 5" xfId="21712"/>
    <cellStyle name="Saída 5 7 3 5 2" xfId="50891"/>
    <cellStyle name="Saída 5 7 3 6" xfId="31945"/>
    <cellStyle name="Saída 5 7 4" xfId="4463"/>
    <cellStyle name="Saída 5 7 4 2" xfId="13656"/>
    <cellStyle name="Saída 5 7 4 2 2" xfId="26860"/>
    <cellStyle name="Saída 5 7 4 2 2 2" xfId="56039"/>
    <cellStyle name="Saída 5 7 4 2 3" xfId="42837"/>
    <cellStyle name="Saída 5 7 4 3" xfId="22432"/>
    <cellStyle name="Saída 5 7 4 3 2" xfId="51611"/>
    <cellStyle name="Saída 5 7 4 4" xfId="33646"/>
    <cellStyle name="Saída 5 7 5" xfId="7854"/>
    <cellStyle name="Saída 5 7 5 2" xfId="16222"/>
    <cellStyle name="Saída 5 7 5 2 2" xfId="28499"/>
    <cellStyle name="Saída 5 7 5 2 2 2" xfId="57678"/>
    <cellStyle name="Saída 5 7 5 2 3" xfId="45403"/>
    <cellStyle name="Saída 5 7 5 3" xfId="24071"/>
    <cellStyle name="Saída 5 7 5 3 2" xfId="53250"/>
    <cellStyle name="Saída 5 7 5 4" xfId="37037"/>
    <cellStyle name="Saída 5 7 6" xfId="11144"/>
    <cellStyle name="Saída 5 7 6 2" xfId="25415"/>
    <cellStyle name="Saída 5 7 6 2 2" xfId="54594"/>
    <cellStyle name="Saída 5 7 6 3" xfId="40325"/>
    <cellStyle name="Saída 5 7 7" xfId="20987"/>
    <cellStyle name="Saída 5 7 7 2" xfId="50166"/>
    <cellStyle name="Saída 5 7 8" xfId="30140"/>
    <cellStyle name="Saída 5 8" xfId="1430"/>
    <cellStyle name="Saída 5 8 2" xfId="3230"/>
    <cellStyle name="Saída 5 8 2 2" xfId="6281"/>
    <cellStyle name="Saída 5 8 2 2 2" xfId="15064"/>
    <cellStyle name="Saída 5 8 2 2 2 2" xfId="27778"/>
    <cellStyle name="Saída 5 8 2 2 2 2 2" xfId="56957"/>
    <cellStyle name="Saída 5 8 2 2 2 3" xfId="44245"/>
    <cellStyle name="Saída 5 8 2 2 3" xfId="23350"/>
    <cellStyle name="Saída 5 8 2 2 3 2" xfId="52529"/>
    <cellStyle name="Saída 5 8 2 2 4" xfId="35464"/>
    <cellStyle name="Saída 5 8 2 3" xfId="9695"/>
    <cellStyle name="Saída 5 8 2 3 2" xfId="17540"/>
    <cellStyle name="Saída 5 8 2 3 2 2" xfId="29227"/>
    <cellStyle name="Saída 5 8 2 3 2 2 2" xfId="58406"/>
    <cellStyle name="Saída 5 8 2 3 2 3" xfId="46721"/>
    <cellStyle name="Saída 5 8 2 3 3" xfId="24799"/>
    <cellStyle name="Saída 5 8 2 3 3 2" xfId="53978"/>
    <cellStyle name="Saída 5 8 2 3 4" xfId="38878"/>
    <cellStyle name="Saída 5 8 2 4" xfId="12749"/>
    <cellStyle name="Saída 5 8 2 4 2" xfId="26338"/>
    <cellStyle name="Saída 5 8 2 4 2 2" xfId="55517"/>
    <cellStyle name="Saída 5 8 2 4 3" xfId="41930"/>
    <cellStyle name="Saída 5 8 2 5" xfId="21910"/>
    <cellStyle name="Saída 5 8 2 5 2" xfId="51089"/>
    <cellStyle name="Saída 5 8 2 6" xfId="32413"/>
    <cellStyle name="Saída 5 8 3" xfId="4841"/>
    <cellStyle name="Saída 5 8 3 2" xfId="13940"/>
    <cellStyle name="Saída 5 8 3 2 2" xfId="27058"/>
    <cellStyle name="Saída 5 8 3 2 2 2" xfId="56237"/>
    <cellStyle name="Saída 5 8 3 2 3" xfId="43121"/>
    <cellStyle name="Saída 5 8 3 3" xfId="22630"/>
    <cellStyle name="Saída 5 8 3 3 2" xfId="51809"/>
    <cellStyle name="Saída 5 8 3 4" xfId="34024"/>
    <cellStyle name="Saída 5 8 4" xfId="9264"/>
    <cellStyle name="Saída 5 8 4 2" xfId="17240"/>
    <cellStyle name="Saída 5 8 4 2 2" xfId="29055"/>
    <cellStyle name="Saída 5 8 4 2 2 2" xfId="58234"/>
    <cellStyle name="Saída 5 8 4 2 3" xfId="46421"/>
    <cellStyle name="Saída 5 8 4 3" xfId="24627"/>
    <cellStyle name="Saída 5 8 4 3 2" xfId="53806"/>
    <cellStyle name="Saída 5 8 4 4" xfId="38447"/>
    <cellStyle name="Saída 5 8 5" xfId="11478"/>
    <cellStyle name="Saída 5 8 5 2" xfId="25618"/>
    <cellStyle name="Saída 5 8 5 2 2" xfId="54797"/>
    <cellStyle name="Saída 5 8 5 3" xfId="40659"/>
    <cellStyle name="Saída 5 8 6" xfId="21190"/>
    <cellStyle name="Saída 5 8 6 2" xfId="50369"/>
    <cellStyle name="Saída 5 8 7" xfId="30613"/>
    <cellStyle name="Saída 5 9" xfId="2330"/>
    <cellStyle name="Saída 5 9 2" xfId="5561"/>
    <cellStyle name="Saída 5 9 2 2" xfId="14506"/>
    <cellStyle name="Saída 5 9 2 2 2" xfId="27418"/>
    <cellStyle name="Saída 5 9 2 2 2 2" xfId="56597"/>
    <cellStyle name="Saída 5 9 2 2 3" xfId="43687"/>
    <cellStyle name="Saída 5 9 2 3" xfId="22990"/>
    <cellStyle name="Saída 5 9 2 3 2" xfId="52169"/>
    <cellStyle name="Saída 5 9 2 4" xfId="34744"/>
    <cellStyle name="Saída 5 9 3" xfId="7656"/>
    <cellStyle name="Saída 5 9 3 2" xfId="16085"/>
    <cellStyle name="Saída 5 9 3 2 2" xfId="28423"/>
    <cellStyle name="Saída 5 9 3 2 2 2" xfId="57602"/>
    <cellStyle name="Saída 5 9 3 2 3" xfId="45266"/>
    <cellStyle name="Saída 5 9 3 3" xfId="23995"/>
    <cellStyle name="Saída 5 9 3 3 2" xfId="53174"/>
    <cellStyle name="Saída 5 9 3 4" xfId="36839"/>
    <cellStyle name="Saída 5 9 4" xfId="12110"/>
    <cellStyle name="Saída 5 9 4 2" xfId="25978"/>
    <cellStyle name="Saída 5 9 4 2 2" xfId="55157"/>
    <cellStyle name="Saída 5 9 4 3" xfId="41291"/>
    <cellStyle name="Saída 5 9 5" xfId="21550"/>
    <cellStyle name="Saída 5 9 5 2" xfId="50729"/>
    <cellStyle name="Saída 5 9 6" xfId="31513"/>
    <cellStyle name="Saída 6" xfId="345"/>
    <cellStyle name="Saída 6 10" xfId="4122"/>
    <cellStyle name="Saída 6 10 2" xfId="13386"/>
    <cellStyle name="Saída 6 10 2 2" xfId="26699"/>
    <cellStyle name="Saída 6 10 2 2 2" xfId="55878"/>
    <cellStyle name="Saída 6 10 2 3" xfId="42567"/>
    <cellStyle name="Saída 6 10 3" xfId="22271"/>
    <cellStyle name="Saída 6 10 3 2" xfId="51450"/>
    <cellStyle name="Saída 6 10 4" xfId="33305"/>
    <cellStyle name="Saída 6 11" xfId="10733"/>
    <cellStyle name="Saída 6 11 2" xfId="25159"/>
    <cellStyle name="Saída 6 11 2 2" xfId="54338"/>
    <cellStyle name="Saída 6 11 3" xfId="39914"/>
    <cellStyle name="Saída 6 12" xfId="20731"/>
    <cellStyle name="Saída 6 12 2" xfId="49910"/>
    <cellStyle name="Saída 6 13" xfId="58751"/>
    <cellStyle name="Saída 6 14" xfId="29614"/>
    <cellStyle name="Saída 6 2" xfId="453"/>
    <cellStyle name="Saída 6 2 10" xfId="7900"/>
    <cellStyle name="Saída 6 2 10 2" xfId="16251"/>
    <cellStyle name="Saída 6 2 10 2 2" xfId="28516"/>
    <cellStyle name="Saída 6 2 10 2 2 2" xfId="57695"/>
    <cellStyle name="Saída 6 2 10 2 3" xfId="45432"/>
    <cellStyle name="Saída 6 2 10 3" xfId="24088"/>
    <cellStyle name="Saída 6 2 10 3 2" xfId="53267"/>
    <cellStyle name="Saída 6 2 10 4" xfId="37083"/>
    <cellStyle name="Saída 6 2 11" xfId="10767"/>
    <cellStyle name="Saída 6 2 11 2" xfId="25177"/>
    <cellStyle name="Saída 6 2 11 2 2" xfId="54356"/>
    <cellStyle name="Saída 6 2 11 3" xfId="39948"/>
    <cellStyle name="Saída 6 2 12" xfId="20749"/>
    <cellStyle name="Saída 6 2 12 2" xfId="49928"/>
    <cellStyle name="Saída 6 2 13" xfId="58796"/>
    <cellStyle name="Saída 6 2 14" xfId="29659"/>
    <cellStyle name="Saída 6 2 2" xfId="543"/>
    <cellStyle name="Saída 6 2 2 10" xfId="10830"/>
    <cellStyle name="Saída 6 2 2 10 2" xfId="25213"/>
    <cellStyle name="Saída 6 2 2 10 2 2" xfId="54392"/>
    <cellStyle name="Saída 6 2 2 10 3" xfId="40011"/>
    <cellStyle name="Saída 6 2 2 11" xfId="20785"/>
    <cellStyle name="Saída 6 2 2 11 2" xfId="49964"/>
    <cellStyle name="Saída 6 2 2 12" xfId="29749"/>
    <cellStyle name="Saída 6 2 2 2" xfId="896"/>
    <cellStyle name="Saída 6 2 2 2 2" xfId="1834"/>
    <cellStyle name="Saída 6 2 2 2 2 2" xfId="3634"/>
    <cellStyle name="Saída 6 2 2 2 2 2 2" xfId="6604"/>
    <cellStyle name="Saída 6 2 2 2 2 2 2 2" xfId="15316"/>
    <cellStyle name="Saída 6 2 2 2 2 2 2 2 2" xfId="27921"/>
    <cellStyle name="Saída 6 2 2 2 2 2 2 2 2 2" xfId="57100"/>
    <cellStyle name="Saída 6 2 2 2 2 2 2 2 3" xfId="44497"/>
    <cellStyle name="Saída 6 2 2 2 2 2 2 3" xfId="23493"/>
    <cellStyle name="Saída 6 2 2 2 2 2 2 3 2" xfId="52672"/>
    <cellStyle name="Saída 6 2 2 2 2 2 2 4" xfId="35787"/>
    <cellStyle name="Saída 6 2 2 2 2 2 3" xfId="9571"/>
    <cellStyle name="Saída 6 2 2 2 2 2 3 2" xfId="17453"/>
    <cellStyle name="Saída 6 2 2 2 2 2 3 2 2" xfId="29179"/>
    <cellStyle name="Saída 6 2 2 2 2 2 3 2 2 2" xfId="58358"/>
    <cellStyle name="Saída 6 2 2 2 2 2 3 2 3" xfId="46634"/>
    <cellStyle name="Saída 6 2 2 2 2 2 3 3" xfId="24751"/>
    <cellStyle name="Saída 6 2 2 2 2 2 3 3 2" xfId="53930"/>
    <cellStyle name="Saída 6 2 2 2 2 2 3 4" xfId="38754"/>
    <cellStyle name="Saída 6 2 2 2 2 2 4" xfId="13035"/>
    <cellStyle name="Saída 6 2 2 2 2 2 4 2" xfId="26481"/>
    <cellStyle name="Saída 6 2 2 2 2 2 4 2 2" xfId="55660"/>
    <cellStyle name="Saída 6 2 2 2 2 2 4 3" xfId="42216"/>
    <cellStyle name="Saída 6 2 2 2 2 2 5" xfId="22053"/>
    <cellStyle name="Saída 6 2 2 2 2 2 5 2" xfId="51232"/>
    <cellStyle name="Saída 6 2 2 2 2 2 6" xfId="32817"/>
    <cellStyle name="Saída 6 2 2 2 2 3" xfId="5164"/>
    <cellStyle name="Saída 6 2 2 2 2 3 2" xfId="14194"/>
    <cellStyle name="Saída 6 2 2 2 2 3 2 2" xfId="27201"/>
    <cellStyle name="Saída 6 2 2 2 2 3 2 2 2" xfId="56380"/>
    <cellStyle name="Saída 6 2 2 2 2 3 2 3" xfId="43375"/>
    <cellStyle name="Saída 6 2 2 2 2 3 3" xfId="22773"/>
    <cellStyle name="Saída 6 2 2 2 2 3 3 2" xfId="51952"/>
    <cellStyle name="Saída 6 2 2 2 2 3 4" xfId="34347"/>
    <cellStyle name="Saída 6 2 2 2 2 4" xfId="7310"/>
    <cellStyle name="Saída 6 2 2 2 2 4 2" xfId="15848"/>
    <cellStyle name="Saída 6 2 2 2 2 4 2 2" xfId="28286"/>
    <cellStyle name="Saída 6 2 2 2 2 4 2 2 2" xfId="57465"/>
    <cellStyle name="Saída 6 2 2 2 2 4 2 3" xfId="45029"/>
    <cellStyle name="Saída 6 2 2 2 2 4 3" xfId="23858"/>
    <cellStyle name="Saída 6 2 2 2 2 4 3 2" xfId="53037"/>
    <cellStyle name="Saída 6 2 2 2 2 4 4" xfId="36493"/>
    <cellStyle name="Saída 6 2 2 2 2 5" xfId="11759"/>
    <cellStyle name="Saída 6 2 2 2 2 5 2" xfId="25761"/>
    <cellStyle name="Saída 6 2 2 2 2 5 2 2" xfId="54940"/>
    <cellStyle name="Saída 6 2 2 2 2 5 3" xfId="40940"/>
    <cellStyle name="Saída 6 2 2 2 2 6" xfId="21333"/>
    <cellStyle name="Saída 6 2 2 2 2 6 2" xfId="50512"/>
    <cellStyle name="Saída 6 2 2 2 2 7" xfId="31017"/>
    <cellStyle name="Saída 6 2 2 2 3" xfId="2734"/>
    <cellStyle name="Saída 6 2 2 2 3 2" xfId="5884"/>
    <cellStyle name="Saída 6 2 2 2 3 2 2" xfId="14759"/>
    <cellStyle name="Saída 6 2 2 2 3 2 2 2" xfId="27561"/>
    <cellStyle name="Saída 6 2 2 2 3 2 2 2 2" xfId="56740"/>
    <cellStyle name="Saída 6 2 2 2 3 2 2 3" xfId="43940"/>
    <cellStyle name="Saída 6 2 2 2 3 2 3" xfId="23133"/>
    <cellStyle name="Saída 6 2 2 2 3 2 3 2" xfId="52312"/>
    <cellStyle name="Saída 6 2 2 2 3 2 4" xfId="35067"/>
    <cellStyle name="Saída 6 2 2 2 3 3" xfId="7383"/>
    <cellStyle name="Saída 6 2 2 2 3 3 2" xfId="15897"/>
    <cellStyle name="Saída 6 2 2 2 3 3 2 2" xfId="28317"/>
    <cellStyle name="Saída 6 2 2 2 3 3 2 2 2" xfId="57496"/>
    <cellStyle name="Saída 6 2 2 2 3 3 2 3" xfId="45078"/>
    <cellStyle name="Saída 6 2 2 2 3 3 3" xfId="23889"/>
    <cellStyle name="Saída 6 2 2 2 3 3 3 2" xfId="53068"/>
    <cellStyle name="Saída 6 2 2 2 3 3 4" xfId="36566"/>
    <cellStyle name="Saída 6 2 2 2 3 4" xfId="12400"/>
    <cellStyle name="Saída 6 2 2 2 3 4 2" xfId="26121"/>
    <cellStyle name="Saída 6 2 2 2 3 4 2 2" xfId="55300"/>
    <cellStyle name="Saída 6 2 2 2 3 4 3" xfId="41581"/>
    <cellStyle name="Saída 6 2 2 2 3 5" xfId="21693"/>
    <cellStyle name="Saída 6 2 2 2 3 5 2" xfId="50872"/>
    <cellStyle name="Saída 6 2 2 2 3 6" xfId="31917"/>
    <cellStyle name="Saída 6 2 2 2 4" xfId="4444"/>
    <cellStyle name="Saída 6 2 2 2 4 2" xfId="13637"/>
    <cellStyle name="Saída 6 2 2 2 4 2 2" xfId="26841"/>
    <cellStyle name="Saída 6 2 2 2 4 2 2 2" xfId="56020"/>
    <cellStyle name="Saída 6 2 2 2 4 2 3" xfId="42818"/>
    <cellStyle name="Saída 6 2 2 2 4 3" xfId="22413"/>
    <cellStyle name="Saída 6 2 2 2 4 3 2" xfId="51592"/>
    <cellStyle name="Saída 6 2 2 2 4 4" xfId="33627"/>
    <cellStyle name="Saída 6 2 2 2 5" xfId="7935"/>
    <cellStyle name="Saída 6 2 2 2 5 2" xfId="16279"/>
    <cellStyle name="Saída 6 2 2 2 5 2 2" xfId="28533"/>
    <cellStyle name="Saída 6 2 2 2 5 2 2 2" xfId="57712"/>
    <cellStyle name="Saída 6 2 2 2 5 2 3" xfId="45460"/>
    <cellStyle name="Saída 6 2 2 2 5 3" xfId="24105"/>
    <cellStyle name="Saída 6 2 2 2 5 3 2" xfId="53284"/>
    <cellStyle name="Saída 6 2 2 2 5 4" xfId="37118"/>
    <cellStyle name="Saída 6 2 2 2 6" xfId="11100"/>
    <cellStyle name="Saída 6 2 2 2 6 2" xfId="25377"/>
    <cellStyle name="Saída 6 2 2 2 6 2 2" xfId="54556"/>
    <cellStyle name="Saída 6 2 2 2 6 3" xfId="40281"/>
    <cellStyle name="Saída 6 2 2 2 7" xfId="20949"/>
    <cellStyle name="Saída 6 2 2 2 7 2" xfId="50128"/>
    <cellStyle name="Saída 6 2 2 2 8" xfId="30093"/>
    <cellStyle name="Saída 6 2 2 3" xfId="1088"/>
    <cellStyle name="Saída 6 2 2 3 2" xfId="1998"/>
    <cellStyle name="Saída 6 2 2 3 2 2" xfId="3798"/>
    <cellStyle name="Saída 6 2 2 3 2 2 2" xfId="6732"/>
    <cellStyle name="Saída 6 2 2 3 2 2 2 2" xfId="15418"/>
    <cellStyle name="Saída 6 2 2 3 2 2 2 2 2" xfId="27995"/>
    <cellStyle name="Saída 6 2 2 3 2 2 2 2 2 2" xfId="57174"/>
    <cellStyle name="Saída 6 2 2 3 2 2 2 2 3" xfId="44599"/>
    <cellStyle name="Saída 6 2 2 3 2 2 2 3" xfId="23567"/>
    <cellStyle name="Saída 6 2 2 3 2 2 2 3 2" xfId="52746"/>
    <cellStyle name="Saída 6 2 2 3 2 2 2 4" xfId="35915"/>
    <cellStyle name="Saída 6 2 2 3 2 2 3" xfId="9453"/>
    <cellStyle name="Saída 6 2 2 3 2 2 3 2" xfId="17368"/>
    <cellStyle name="Saída 6 2 2 3 2 2 3 2 2" xfId="29131"/>
    <cellStyle name="Saída 6 2 2 3 2 2 3 2 2 2" xfId="58310"/>
    <cellStyle name="Saída 6 2 2 3 2 2 3 2 3" xfId="46549"/>
    <cellStyle name="Saída 6 2 2 3 2 2 3 3" xfId="24703"/>
    <cellStyle name="Saída 6 2 2 3 2 2 3 3 2" xfId="53882"/>
    <cellStyle name="Saída 6 2 2 3 2 2 3 4" xfId="38636"/>
    <cellStyle name="Saída 6 2 2 3 2 2 4" xfId="13155"/>
    <cellStyle name="Saída 6 2 2 3 2 2 4 2" xfId="26555"/>
    <cellStyle name="Saída 6 2 2 3 2 2 4 2 2" xfId="55734"/>
    <cellStyle name="Saída 6 2 2 3 2 2 4 3" xfId="42336"/>
    <cellStyle name="Saída 6 2 2 3 2 2 5" xfId="22127"/>
    <cellStyle name="Saída 6 2 2 3 2 2 5 2" xfId="51306"/>
    <cellStyle name="Saída 6 2 2 3 2 2 6" xfId="32981"/>
    <cellStyle name="Saída 6 2 2 3 2 3" xfId="5292"/>
    <cellStyle name="Saída 6 2 2 3 2 3 2" xfId="14297"/>
    <cellStyle name="Saída 6 2 2 3 2 3 2 2" xfId="27275"/>
    <cellStyle name="Saída 6 2 2 3 2 3 2 2 2" xfId="56454"/>
    <cellStyle name="Saída 6 2 2 3 2 3 2 3" xfId="43478"/>
    <cellStyle name="Saída 6 2 2 3 2 3 3" xfId="22847"/>
    <cellStyle name="Saída 6 2 2 3 2 3 3 2" xfId="52026"/>
    <cellStyle name="Saída 6 2 2 3 2 3 4" xfId="34475"/>
    <cellStyle name="Saída 6 2 2 3 2 4" xfId="9395"/>
    <cellStyle name="Saída 6 2 2 3 2 4 2" xfId="17331"/>
    <cellStyle name="Saída 6 2 2 3 2 4 2 2" xfId="29107"/>
    <cellStyle name="Saída 6 2 2 3 2 4 2 2 2" xfId="58286"/>
    <cellStyle name="Saída 6 2 2 3 2 4 2 3" xfId="46512"/>
    <cellStyle name="Saída 6 2 2 3 2 4 3" xfId="24679"/>
    <cellStyle name="Saída 6 2 2 3 2 4 3 2" xfId="53858"/>
    <cellStyle name="Saída 6 2 2 3 2 4 4" xfId="38578"/>
    <cellStyle name="Saída 6 2 2 3 2 5" xfId="11879"/>
    <cellStyle name="Saída 6 2 2 3 2 5 2" xfId="25835"/>
    <cellStyle name="Saída 6 2 2 3 2 5 2 2" xfId="55014"/>
    <cellStyle name="Saída 6 2 2 3 2 5 3" xfId="41060"/>
    <cellStyle name="Saída 6 2 2 3 2 6" xfId="21407"/>
    <cellStyle name="Saída 6 2 2 3 2 6 2" xfId="50586"/>
    <cellStyle name="Saída 6 2 2 3 2 7" xfId="31181"/>
    <cellStyle name="Saída 6 2 2 3 3" xfId="2898"/>
    <cellStyle name="Saída 6 2 2 3 3 2" xfId="6012"/>
    <cellStyle name="Saída 6 2 2 3 3 2 2" xfId="14858"/>
    <cellStyle name="Saída 6 2 2 3 3 2 2 2" xfId="27635"/>
    <cellStyle name="Saída 6 2 2 3 3 2 2 2 2" xfId="56814"/>
    <cellStyle name="Saída 6 2 2 3 3 2 2 3" xfId="44039"/>
    <cellStyle name="Saída 6 2 2 3 3 2 3" xfId="23207"/>
    <cellStyle name="Saída 6 2 2 3 3 2 3 2" xfId="52386"/>
    <cellStyle name="Saída 6 2 2 3 3 2 4" xfId="35195"/>
    <cellStyle name="Saída 6 2 2 3 3 3" xfId="8237"/>
    <cellStyle name="Saída 6 2 2 3 3 3 2" xfId="16495"/>
    <cellStyle name="Saída 6 2 2 3 3 3 2 2" xfId="28649"/>
    <cellStyle name="Saída 6 2 2 3 3 3 2 2 2" xfId="57828"/>
    <cellStyle name="Saída 6 2 2 3 3 3 2 3" xfId="45676"/>
    <cellStyle name="Saída 6 2 2 3 3 3 3" xfId="24221"/>
    <cellStyle name="Saída 6 2 2 3 3 3 3 2" xfId="53400"/>
    <cellStyle name="Saída 6 2 2 3 3 3 4" xfId="37420"/>
    <cellStyle name="Saída 6 2 2 3 3 4" xfId="12515"/>
    <cellStyle name="Saída 6 2 2 3 3 4 2" xfId="26195"/>
    <cellStyle name="Saída 6 2 2 3 3 4 2 2" xfId="55374"/>
    <cellStyle name="Saída 6 2 2 3 3 4 3" xfId="41696"/>
    <cellStyle name="Saída 6 2 2 3 3 5" xfId="21767"/>
    <cellStyle name="Saída 6 2 2 3 3 5 2" xfId="50946"/>
    <cellStyle name="Saída 6 2 2 3 3 6" xfId="32081"/>
    <cellStyle name="Saída 6 2 2 3 4" xfId="4572"/>
    <cellStyle name="Saída 6 2 2 3 4 2" xfId="13738"/>
    <cellStyle name="Saída 6 2 2 3 4 2 2" xfId="26915"/>
    <cellStyle name="Saída 6 2 2 3 4 2 2 2" xfId="56094"/>
    <cellStyle name="Saída 6 2 2 3 4 2 3" xfId="42919"/>
    <cellStyle name="Saída 6 2 2 3 4 3" xfId="22487"/>
    <cellStyle name="Saída 6 2 2 3 4 3 2" xfId="51666"/>
    <cellStyle name="Saída 6 2 2 3 4 4" xfId="33755"/>
    <cellStyle name="Saída 6 2 2 3 5" xfId="9639"/>
    <cellStyle name="Saída 6 2 2 3 5 2" xfId="17499"/>
    <cellStyle name="Saída 6 2 2 3 5 2 2" xfId="29206"/>
    <cellStyle name="Saída 6 2 2 3 5 2 2 2" xfId="58385"/>
    <cellStyle name="Saída 6 2 2 3 5 2 3" xfId="46680"/>
    <cellStyle name="Saída 6 2 2 3 5 3" xfId="24778"/>
    <cellStyle name="Saída 6 2 2 3 5 3 2" xfId="53957"/>
    <cellStyle name="Saída 6 2 2 3 5 4" xfId="38822"/>
    <cellStyle name="Saída 6 2 2 3 6" xfId="11243"/>
    <cellStyle name="Saída 6 2 2 3 6 2" xfId="25472"/>
    <cellStyle name="Saída 6 2 2 3 6 2 2" xfId="54651"/>
    <cellStyle name="Saída 6 2 2 3 6 3" xfId="40424"/>
    <cellStyle name="Saída 6 2 2 3 7" xfId="21044"/>
    <cellStyle name="Saída 6 2 2 3 7 2" xfId="50223"/>
    <cellStyle name="Saída 6 2 2 3 8" xfId="30278"/>
    <cellStyle name="Saída 6 2 2 4" xfId="1238"/>
    <cellStyle name="Saída 6 2 2 4 2" xfId="2142"/>
    <cellStyle name="Saída 6 2 2 4 2 2" xfId="3942"/>
    <cellStyle name="Saída 6 2 2 4 2 2 2" xfId="6849"/>
    <cellStyle name="Saída 6 2 2 4 2 2 2 2" xfId="15508"/>
    <cellStyle name="Saída 6 2 2 4 2 2 2 2 2" xfId="28058"/>
    <cellStyle name="Saída 6 2 2 4 2 2 2 2 2 2" xfId="57237"/>
    <cellStyle name="Saída 6 2 2 4 2 2 2 2 3" xfId="44689"/>
    <cellStyle name="Saída 6 2 2 4 2 2 2 3" xfId="23630"/>
    <cellStyle name="Saída 6 2 2 4 2 2 2 3 2" xfId="52809"/>
    <cellStyle name="Saída 6 2 2 4 2 2 2 4" xfId="36032"/>
    <cellStyle name="Saída 6 2 2 4 2 2 3" xfId="7138"/>
    <cellStyle name="Saída 6 2 2 4 2 2 3 2" xfId="15728"/>
    <cellStyle name="Saída 6 2 2 4 2 2 3 2 2" xfId="28210"/>
    <cellStyle name="Saída 6 2 2 4 2 2 3 2 2 2" xfId="57389"/>
    <cellStyle name="Saída 6 2 2 4 2 2 3 2 3" xfId="44909"/>
    <cellStyle name="Saída 6 2 2 4 2 2 3 3" xfId="23782"/>
    <cellStyle name="Saída 6 2 2 4 2 2 3 3 2" xfId="52961"/>
    <cellStyle name="Saída 6 2 2 4 2 2 3 4" xfId="36321"/>
    <cellStyle name="Saída 6 2 2 4 2 2 4" xfId="13253"/>
    <cellStyle name="Saída 6 2 2 4 2 2 4 2" xfId="26618"/>
    <cellStyle name="Saída 6 2 2 4 2 2 4 2 2" xfId="55797"/>
    <cellStyle name="Saída 6 2 2 4 2 2 4 3" xfId="42434"/>
    <cellStyle name="Saída 6 2 2 4 2 2 5" xfId="22190"/>
    <cellStyle name="Saída 6 2 2 4 2 2 5 2" xfId="51369"/>
    <cellStyle name="Saída 6 2 2 4 2 2 6" xfId="33125"/>
    <cellStyle name="Saída 6 2 2 4 2 3" xfId="5409"/>
    <cellStyle name="Saída 6 2 2 4 2 3 2" xfId="14386"/>
    <cellStyle name="Saída 6 2 2 4 2 3 2 2" xfId="27338"/>
    <cellStyle name="Saída 6 2 2 4 2 3 2 2 2" xfId="56517"/>
    <cellStyle name="Saída 6 2 2 4 2 3 2 3" xfId="43567"/>
    <cellStyle name="Saída 6 2 2 4 2 3 3" xfId="22910"/>
    <cellStyle name="Saída 6 2 2 4 2 3 3 2" xfId="52089"/>
    <cellStyle name="Saída 6 2 2 4 2 3 4" xfId="34592"/>
    <cellStyle name="Saída 6 2 2 4 2 4" xfId="8858"/>
    <cellStyle name="Saída 6 2 2 4 2 4 2" xfId="16948"/>
    <cellStyle name="Saída 6 2 2 4 2 4 2 2" xfId="28896"/>
    <cellStyle name="Saída 6 2 2 4 2 4 2 2 2" xfId="58075"/>
    <cellStyle name="Saída 6 2 2 4 2 4 2 3" xfId="46129"/>
    <cellStyle name="Saída 6 2 2 4 2 4 3" xfId="24468"/>
    <cellStyle name="Saída 6 2 2 4 2 4 3 2" xfId="53647"/>
    <cellStyle name="Saída 6 2 2 4 2 4 4" xfId="38041"/>
    <cellStyle name="Saída 6 2 2 4 2 5" xfId="11978"/>
    <cellStyle name="Saída 6 2 2 4 2 5 2" xfId="25898"/>
    <cellStyle name="Saída 6 2 2 4 2 5 2 2" xfId="55077"/>
    <cellStyle name="Saída 6 2 2 4 2 5 3" xfId="41159"/>
    <cellStyle name="Saída 6 2 2 4 2 6" xfId="21470"/>
    <cellStyle name="Saída 6 2 2 4 2 6 2" xfId="50649"/>
    <cellStyle name="Saída 6 2 2 4 2 7" xfId="31325"/>
    <cellStyle name="Saída 6 2 2 4 3" xfId="3042"/>
    <cellStyle name="Saída 6 2 2 4 3 2" xfId="6129"/>
    <cellStyle name="Saída 6 2 2 4 3 2 2" xfId="14947"/>
    <cellStyle name="Saída 6 2 2 4 3 2 2 2" xfId="27698"/>
    <cellStyle name="Saída 6 2 2 4 3 2 2 2 2" xfId="56877"/>
    <cellStyle name="Saída 6 2 2 4 3 2 2 3" xfId="44128"/>
    <cellStyle name="Saída 6 2 2 4 3 2 3" xfId="23270"/>
    <cellStyle name="Saída 6 2 2 4 3 2 3 2" xfId="52449"/>
    <cellStyle name="Saída 6 2 2 4 3 2 4" xfId="35312"/>
    <cellStyle name="Saída 6 2 2 4 3 3" xfId="10385"/>
    <cellStyle name="Saída 6 2 2 4 3 3 2" xfId="18026"/>
    <cellStyle name="Saída 6 2 2 4 3 3 2 2" xfId="29499"/>
    <cellStyle name="Saída 6 2 2 4 3 3 2 2 2" xfId="58678"/>
    <cellStyle name="Saída 6 2 2 4 3 3 2 3" xfId="47207"/>
    <cellStyle name="Saída 6 2 2 4 3 3 3" xfId="25071"/>
    <cellStyle name="Saída 6 2 2 4 3 3 3 2" xfId="54250"/>
    <cellStyle name="Saída 6 2 2 4 3 3 4" xfId="39568"/>
    <cellStyle name="Saída 6 2 2 4 3 4" xfId="12614"/>
    <cellStyle name="Saída 6 2 2 4 3 4 2" xfId="26258"/>
    <cellStyle name="Saída 6 2 2 4 3 4 2 2" xfId="55437"/>
    <cellStyle name="Saída 6 2 2 4 3 4 3" xfId="41795"/>
    <cellStyle name="Saída 6 2 2 4 3 5" xfId="21830"/>
    <cellStyle name="Saída 6 2 2 4 3 5 2" xfId="51009"/>
    <cellStyle name="Saída 6 2 2 4 3 6" xfId="32225"/>
    <cellStyle name="Saída 6 2 2 4 4" xfId="4689"/>
    <cellStyle name="Saída 6 2 2 4 4 2" xfId="13827"/>
    <cellStyle name="Saída 6 2 2 4 4 2 2" xfId="26978"/>
    <cellStyle name="Saída 6 2 2 4 4 2 2 2" xfId="56157"/>
    <cellStyle name="Saída 6 2 2 4 4 2 3" xfId="43008"/>
    <cellStyle name="Saída 6 2 2 4 4 3" xfId="22550"/>
    <cellStyle name="Saída 6 2 2 4 4 3 2" xfId="51729"/>
    <cellStyle name="Saída 6 2 2 4 4 4" xfId="33872"/>
    <cellStyle name="Saída 6 2 2 4 5" xfId="10071"/>
    <cellStyle name="Saída 6 2 2 4 5 2" xfId="17806"/>
    <cellStyle name="Saída 6 2 2 4 5 2 2" xfId="29373"/>
    <cellStyle name="Saída 6 2 2 4 5 2 2 2" xfId="58552"/>
    <cellStyle name="Saída 6 2 2 4 5 2 3" xfId="46987"/>
    <cellStyle name="Saída 6 2 2 4 5 3" xfId="24945"/>
    <cellStyle name="Saída 6 2 2 4 5 3 2" xfId="54124"/>
    <cellStyle name="Saída 6 2 2 4 5 4" xfId="39254"/>
    <cellStyle name="Saída 6 2 2 4 6" xfId="11348"/>
    <cellStyle name="Saída 6 2 2 4 6 2" xfId="25538"/>
    <cellStyle name="Saída 6 2 2 4 6 2 2" xfId="54717"/>
    <cellStyle name="Saída 6 2 2 4 6 3" xfId="40529"/>
    <cellStyle name="Saída 6 2 2 4 7" xfId="21110"/>
    <cellStyle name="Saída 6 2 2 4 7 2" xfId="50289"/>
    <cellStyle name="Saída 6 2 2 4 8" xfId="30425"/>
    <cellStyle name="Saída 6 2 2 5" xfId="1384"/>
    <cellStyle name="Saída 6 2 2 5 2" xfId="2286"/>
    <cellStyle name="Saída 6 2 2 5 2 2" xfId="4086"/>
    <cellStyle name="Saída 6 2 2 5 2 2 2" xfId="6966"/>
    <cellStyle name="Saída 6 2 2 5 2 2 2 2" xfId="15598"/>
    <cellStyle name="Saída 6 2 2 5 2 2 2 2 2" xfId="28121"/>
    <cellStyle name="Saída 6 2 2 5 2 2 2 2 2 2" xfId="57300"/>
    <cellStyle name="Saída 6 2 2 5 2 2 2 2 3" xfId="44779"/>
    <cellStyle name="Saída 6 2 2 5 2 2 2 3" xfId="23693"/>
    <cellStyle name="Saída 6 2 2 5 2 2 2 3 2" xfId="52872"/>
    <cellStyle name="Saída 6 2 2 5 2 2 2 4" xfId="36149"/>
    <cellStyle name="Saída 6 2 2 5 2 2 3" xfId="6994"/>
    <cellStyle name="Saída 6 2 2 5 2 2 3 2" xfId="15624"/>
    <cellStyle name="Saída 6 2 2 5 2 2 3 2 2" xfId="28147"/>
    <cellStyle name="Saída 6 2 2 5 2 2 3 2 2 2" xfId="57326"/>
    <cellStyle name="Saída 6 2 2 5 2 2 3 2 3" xfId="44805"/>
    <cellStyle name="Saída 6 2 2 5 2 2 3 3" xfId="23719"/>
    <cellStyle name="Saída 6 2 2 5 2 2 3 3 2" xfId="52898"/>
    <cellStyle name="Saída 6 2 2 5 2 2 3 4" xfId="36177"/>
    <cellStyle name="Saída 6 2 2 5 2 2 4" xfId="13358"/>
    <cellStyle name="Saída 6 2 2 5 2 2 4 2" xfId="26681"/>
    <cellStyle name="Saída 6 2 2 5 2 2 4 2 2" xfId="55860"/>
    <cellStyle name="Saída 6 2 2 5 2 2 4 3" xfId="42539"/>
    <cellStyle name="Saída 6 2 2 5 2 2 5" xfId="22253"/>
    <cellStyle name="Saída 6 2 2 5 2 2 5 2" xfId="51432"/>
    <cellStyle name="Saída 6 2 2 5 2 2 6" xfId="33269"/>
    <cellStyle name="Saída 6 2 2 5 2 3" xfId="5526"/>
    <cellStyle name="Saída 6 2 2 5 2 3 2" xfId="14479"/>
    <cellStyle name="Saída 6 2 2 5 2 3 2 2" xfId="27401"/>
    <cellStyle name="Saída 6 2 2 5 2 3 2 2 2" xfId="56580"/>
    <cellStyle name="Saída 6 2 2 5 2 3 2 3" xfId="43660"/>
    <cellStyle name="Saída 6 2 2 5 2 3 3" xfId="22973"/>
    <cellStyle name="Saída 6 2 2 5 2 3 3 2" xfId="52152"/>
    <cellStyle name="Saída 6 2 2 5 2 3 4" xfId="34709"/>
    <cellStyle name="Saída 6 2 2 5 2 4" xfId="7664"/>
    <cellStyle name="Saída 6 2 2 5 2 4 2" xfId="16091"/>
    <cellStyle name="Saída 6 2 2 5 2 4 2 2" xfId="28426"/>
    <cellStyle name="Saída 6 2 2 5 2 4 2 2 2" xfId="57605"/>
    <cellStyle name="Saída 6 2 2 5 2 4 2 3" xfId="45272"/>
    <cellStyle name="Saída 6 2 2 5 2 4 3" xfId="23998"/>
    <cellStyle name="Saída 6 2 2 5 2 4 3 2" xfId="53177"/>
    <cellStyle name="Saída 6 2 2 5 2 4 4" xfId="36847"/>
    <cellStyle name="Saída 6 2 2 5 2 5" xfId="12079"/>
    <cellStyle name="Saída 6 2 2 5 2 5 2" xfId="25961"/>
    <cellStyle name="Saída 6 2 2 5 2 5 2 2" xfId="55140"/>
    <cellStyle name="Saída 6 2 2 5 2 5 3" xfId="41260"/>
    <cellStyle name="Saída 6 2 2 5 2 6" xfId="21533"/>
    <cellStyle name="Saída 6 2 2 5 2 6 2" xfId="50712"/>
    <cellStyle name="Saída 6 2 2 5 2 7" xfId="31469"/>
    <cellStyle name="Saída 6 2 2 5 3" xfId="3186"/>
    <cellStyle name="Saída 6 2 2 5 3 2" xfId="6246"/>
    <cellStyle name="Saída 6 2 2 5 3 2 2" xfId="15039"/>
    <cellStyle name="Saída 6 2 2 5 3 2 2 2" xfId="27761"/>
    <cellStyle name="Saída 6 2 2 5 3 2 2 2 2" xfId="56940"/>
    <cellStyle name="Saída 6 2 2 5 3 2 2 3" xfId="44220"/>
    <cellStyle name="Saída 6 2 2 5 3 2 3" xfId="23333"/>
    <cellStyle name="Saída 6 2 2 5 3 2 3 2" xfId="52512"/>
    <cellStyle name="Saída 6 2 2 5 3 2 4" xfId="35429"/>
    <cellStyle name="Saída 6 2 2 5 3 3" xfId="7183"/>
    <cellStyle name="Saída 6 2 2 5 3 3 2" xfId="15759"/>
    <cellStyle name="Saída 6 2 2 5 3 3 2 2" xfId="28231"/>
    <cellStyle name="Saída 6 2 2 5 3 3 2 2 2" xfId="57410"/>
    <cellStyle name="Saída 6 2 2 5 3 3 2 3" xfId="44940"/>
    <cellStyle name="Saída 6 2 2 5 3 3 3" xfId="23803"/>
    <cellStyle name="Saída 6 2 2 5 3 3 3 2" xfId="52982"/>
    <cellStyle name="Saída 6 2 2 5 3 3 4" xfId="36366"/>
    <cellStyle name="Saída 6 2 2 5 3 4" xfId="12720"/>
    <cellStyle name="Saída 6 2 2 5 3 4 2" xfId="26321"/>
    <cellStyle name="Saída 6 2 2 5 3 4 2 2" xfId="55500"/>
    <cellStyle name="Saída 6 2 2 5 3 4 3" xfId="41901"/>
    <cellStyle name="Saída 6 2 2 5 3 5" xfId="21893"/>
    <cellStyle name="Saída 6 2 2 5 3 5 2" xfId="51072"/>
    <cellStyle name="Saída 6 2 2 5 3 6" xfId="32369"/>
    <cellStyle name="Saída 6 2 2 5 4" xfId="4806"/>
    <cellStyle name="Saída 6 2 2 5 4 2" xfId="13915"/>
    <cellStyle name="Saída 6 2 2 5 4 2 2" xfId="27041"/>
    <cellStyle name="Saída 6 2 2 5 4 2 2 2" xfId="56220"/>
    <cellStyle name="Saída 6 2 2 5 4 2 3" xfId="43096"/>
    <cellStyle name="Saída 6 2 2 5 4 3" xfId="22613"/>
    <cellStyle name="Saída 6 2 2 5 4 3 2" xfId="51792"/>
    <cellStyle name="Saída 6 2 2 5 4 4" xfId="33989"/>
    <cellStyle name="Saída 6 2 2 5 5" xfId="8292"/>
    <cellStyle name="Saída 6 2 2 5 5 2" xfId="16535"/>
    <cellStyle name="Saída 6 2 2 5 5 2 2" xfId="28671"/>
    <cellStyle name="Saída 6 2 2 5 5 2 2 2" xfId="57850"/>
    <cellStyle name="Saída 6 2 2 5 5 2 3" xfId="45716"/>
    <cellStyle name="Saída 6 2 2 5 5 3" xfId="24243"/>
    <cellStyle name="Saída 6 2 2 5 5 3 2" xfId="53422"/>
    <cellStyle name="Saída 6 2 2 5 5 4" xfId="37475"/>
    <cellStyle name="Saída 6 2 2 5 6" xfId="11448"/>
    <cellStyle name="Saída 6 2 2 5 6 2" xfId="25601"/>
    <cellStyle name="Saída 6 2 2 5 6 2 2" xfId="54780"/>
    <cellStyle name="Saída 6 2 2 5 6 3" xfId="40629"/>
    <cellStyle name="Saída 6 2 2 5 7" xfId="21173"/>
    <cellStyle name="Saída 6 2 2 5 7 2" xfId="50352"/>
    <cellStyle name="Saída 6 2 2 5 8" xfId="30569"/>
    <cellStyle name="Saída 6 2 2 6" xfId="1566"/>
    <cellStyle name="Saída 6 2 2 6 2" xfId="3366"/>
    <cellStyle name="Saída 6 2 2 6 2 2" xfId="6390"/>
    <cellStyle name="Saída 6 2 2 6 2 2 2" xfId="15145"/>
    <cellStyle name="Saída 6 2 2 6 2 2 2 2" xfId="27833"/>
    <cellStyle name="Saída 6 2 2 6 2 2 2 2 2" xfId="57012"/>
    <cellStyle name="Saída 6 2 2 6 2 2 2 3" xfId="44326"/>
    <cellStyle name="Saída 6 2 2 6 2 2 3" xfId="23405"/>
    <cellStyle name="Saída 6 2 2 6 2 2 3 2" xfId="52584"/>
    <cellStyle name="Saída 6 2 2 6 2 2 4" xfId="35573"/>
    <cellStyle name="Saída 6 2 2 6 2 3" xfId="7376"/>
    <cellStyle name="Saída 6 2 2 6 2 3 2" xfId="15892"/>
    <cellStyle name="Saída 6 2 2 6 2 3 2 2" xfId="28312"/>
    <cellStyle name="Saída 6 2 2 6 2 3 2 2 2" xfId="57491"/>
    <cellStyle name="Saída 6 2 2 6 2 3 2 3" xfId="45073"/>
    <cellStyle name="Saída 6 2 2 6 2 3 3" xfId="23884"/>
    <cellStyle name="Saída 6 2 2 6 2 3 3 2" xfId="53063"/>
    <cellStyle name="Saída 6 2 2 6 2 3 4" xfId="36559"/>
    <cellStyle name="Saída 6 2 2 6 2 4" xfId="12842"/>
    <cellStyle name="Saída 6 2 2 6 2 4 2" xfId="26393"/>
    <cellStyle name="Saída 6 2 2 6 2 4 2 2" xfId="55572"/>
    <cellStyle name="Saída 6 2 2 6 2 4 3" xfId="42023"/>
    <cellStyle name="Saída 6 2 2 6 2 5" xfId="21965"/>
    <cellStyle name="Saída 6 2 2 6 2 5 2" xfId="51144"/>
    <cellStyle name="Saída 6 2 2 6 2 6" xfId="32549"/>
    <cellStyle name="Saída 6 2 2 6 3" xfId="4950"/>
    <cellStyle name="Saída 6 2 2 6 3 2" xfId="14024"/>
    <cellStyle name="Saída 6 2 2 6 3 2 2" xfId="27113"/>
    <cellStyle name="Saída 6 2 2 6 3 2 2 2" xfId="56292"/>
    <cellStyle name="Saída 6 2 2 6 3 2 3" xfId="43205"/>
    <cellStyle name="Saída 6 2 2 6 3 3" xfId="22685"/>
    <cellStyle name="Saída 6 2 2 6 3 3 2" xfId="51864"/>
    <cellStyle name="Saída 6 2 2 6 3 4" xfId="34133"/>
    <cellStyle name="Saída 6 2 2 6 4" xfId="10206"/>
    <cellStyle name="Saída 6 2 2 6 4 2" xfId="17903"/>
    <cellStyle name="Saída 6 2 2 6 4 2 2" xfId="29429"/>
    <cellStyle name="Saída 6 2 2 6 4 2 2 2" xfId="58608"/>
    <cellStyle name="Saída 6 2 2 6 4 2 3" xfId="47084"/>
    <cellStyle name="Saída 6 2 2 6 4 3" xfId="25001"/>
    <cellStyle name="Saída 6 2 2 6 4 3 2" xfId="54180"/>
    <cellStyle name="Saída 6 2 2 6 4 4" xfId="39389"/>
    <cellStyle name="Saída 6 2 2 6 5" xfId="11571"/>
    <cellStyle name="Saída 6 2 2 6 5 2" xfId="25673"/>
    <cellStyle name="Saída 6 2 2 6 5 2 2" xfId="54852"/>
    <cellStyle name="Saída 6 2 2 6 5 3" xfId="40752"/>
    <cellStyle name="Saída 6 2 2 6 6" xfId="21245"/>
    <cellStyle name="Saída 6 2 2 6 6 2" xfId="50424"/>
    <cellStyle name="Saída 6 2 2 6 7" xfId="30749"/>
    <cellStyle name="Saída 6 2 2 7" xfId="2466"/>
    <cellStyle name="Saída 6 2 2 7 2" xfId="5670"/>
    <cellStyle name="Saída 6 2 2 7 2 2" xfId="14592"/>
    <cellStyle name="Saída 6 2 2 7 2 2 2" xfId="27473"/>
    <cellStyle name="Saída 6 2 2 7 2 2 2 2" xfId="56652"/>
    <cellStyle name="Saída 6 2 2 7 2 2 3" xfId="43773"/>
    <cellStyle name="Saída 6 2 2 7 2 3" xfId="23045"/>
    <cellStyle name="Saída 6 2 2 7 2 3 2" xfId="52224"/>
    <cellStyle name="Saída 6 2 2 7 2 4" xfId="34853"/>
    <cellStyle name="Saída 6 2 2 7 3" xfId="9430"/>
    <cellStyle name="Saída 6 2 2 7 3 2" xfId="17353"/>
    <cellStyle name="Saída 6 2 2 7 3 2 2" xfId="29120"/>
    <cellStyle name="Saída 6 2 2 7 3 2 2 2" xfId="58299"/>
    <cellStyle name="Saída 6 2 2 7 3 2 3" xfId="46534"/>
    <cellStyle name="Saída 6 2 2 7 3 3" xfId="24692"/>
    <cellStyle name="Saída 6 2 2 7 3 3 2" xfId="53871"/>
    <cellStyle name="Saída 6 2 2 7 3 4" xfId="38613"/>
    <cellStyle name="Saída 6 2 2 7 4" xfId="12208"/>
    <cellStyle name="Saída 6 2 2 7 4 2" xfId="26033"/>
    <cellStyle name="Saída 6 2 2 7 4 2 2" xfId="55212"/>
    <cellStyle name="Saída 6 2 2 7 4 3" xfId="41389"/>
    <cellStyle name="Saída 6 2 2 7 5" xfId="21605"/>
    <cellStyle name="Saída 6 2 2 7 5 2" xfId="50784"/>
    <cellStyle name="Saída 6 2 2 7 6" xfId="31649"/>
    <cellStyle name="Saída 6 2 2 8" xfId="4230"/>
    <cellStyle name="Saída 6 2 2 8 2" xfId="13473"/>
    <cellStyle name="Saída 6 2 2 8 2 2" xfId="26753"/>
    <cellStyle name="Saída 6 2 2 8 2 2 2" xfId="55932"/>
    <cellStyle name="Saída 6 2 2 8 2 3" xfId="42654"/>
    <cellStyle name="Saída 6 2 2 8 3" xfId="22325"/>
    <cellStyle name="Saída 6 2 2 8 3 2" xfId="51504"/>
    <cellStyle name="Saída 6 2 2 8 4" xfId="33413"/>
    <cellStyle name="Saída 6 2 2 9" xfId="8996"/>
    <cellStyle name="Saída 6 2 2 9 2" xfId="17049"/>
    <cellStyle name="Saída 6 2 2 9 2 2" xfId="28949"/>
    <cellStyle name="Saída 6 2 2 9 2 2 2" xfId="58128"/>
    <cellStyle name="Saída 6 2 2 9 2 3" xfId="46230"/>
    <cellStyle name="Saída 6 2 2 9 3" xfId="24521"/>
    <cellStyle name="Saída 6 2 2 9 3 2" xfId="53700"/>
    <cellStyle name="Saída 6 2 2 9 4" xfId="38179"/>
    <cellStyle name="Saída 6 2 3" xfId="806"/>
    <cellStyle name="Saída 6 2 3 2" xfId="1744"/>
    <cellStyle name="Saída 6 2 3 2 2" xfId="3544"/>
    <cellStyle name="Saída 6 2 3 2 2 2" xfId="6532"/>
    <cellStyle name="Saída 6 2 3 2 2 2 2" xfId="15261"/>
    <cellStyle name="Saída 6 2 3 2 2 2 2 2" xfId="27885"/>
    <cellStyle name="Saída 6 2 3 2 2 2 2 2 2" xfId="57064"/>
    <cellStyle name="Saída 6 2 3 2 2 2 2 3" xfId="44442"/>
    <cellStyle name="Saída 6 2 3 2 2 2 3" xfId="23457"/>
    <cellStyle name="Saída 6 2 3 2 2 2 3 2" xfId="52636"/>
    <cellStyle name="Saída 6 2 3 2 2 2 4" xfId="35715"/>
    <cellStyle name="Saída 6 2 3 2 2 3" xfId="9969"/>
    <cellStyle name="Saída 6 2 3 2 2 3 2" xfId="17742"/>
    <cellStyle name="Saída 6 2 3 2 2 3 2 2" xfId="29336"/>
    <cellStyle name="Saída 6 2 3 2 2 3 2 2 2" xfId="58515"/>
    <cellStyle name="Saída 6 2 3 2 2 3 2 3" xfId="46923"/>
    <cellStyle name="Saída 6 2 3 2 2 3 3" xfId="24908"/>
    <cellStyle name="Saída 6 2 3 2 2 3 3 2" xfId="54087"/>
    <cellStyle name="Saída 6 2 3 2 2 3 4" xfId="39152"/>
    <cellStyle name="Saída 6 2 3 2 2 4" xfId="12972"/>
    <cellStyle name="Saída 6 2 3 2 2 4 2" xfId="26445"/>
    <cellStyle name="Saída 6 2 3 2 2 4 2 2" xfId="55624"/>
    <cellStyle name="Saída 6 2 3 2 2 4 3" xfId="42153"/>
    <cellStyle name="Saída 6 2 3 2 2 5" xfId="22017"/>
    <cellStyle name="Saída 6 2 3 2 2 5 2" xfId="51196"/>
    <cellStyle name="Saída 6 2 3 2 2 6" xfId="32727"/>
    <cellStyle name="Saída 6 2 3 2 3" xfId="5092"/>
    <cellStyle name="Saída 6 2 3 2 3 2" xfId="14137"/>
    <cellStyle name="Saída 6 2 3 2 3 2 2" xfId="27165"/>
    <cellStyle name="Saída 6 2 3 2 3 2 2 2" xfId="56344"/>
    <cellStyle name="Saída 6 2 3 2 3 2 3" xfId="43318"/>
    <cellStyle name="Saída 6 2 3 2 3 3" xfId="22737"/>
    <cellStyle name="Saída 6 2 3 2 3 3 2" xfId="51916"/>
    <cellStyle name="Saída 6 2 3 2 3 4" xfId="34275"/>
    <cellStyle name="Saída 6 2 3 2 4" xfId="9515"/>
    <cellStyle name="Saída 6 2 3 2 4 2" xfId="17413"/>
    <cellStyle name="Saída 6 2 3 2 4 2 2" xfId="29160"/>
    <cellStyle name="Saída 6 2 3 2 4 2 2 2" xfId="58339"/>
    <cellStyle name="Saída 6 2 3 2 4 2 3" xfId="46594"/>
    <cellStyle name="Saída 6 2 3 2 4 3" xfId="24732"/>
    <cellStyle name="Saída 6 2 3 2 4 3 2" xfId="53911"/>
    <cellStyle name="Saída 6 2 3 2 4 4" xfId="38698"/>
    <cellStyle name="Saída 6 2 3 2 5" xfId="11698"/>
    <cellStyle name="Saída 6 2 3 2 5 2" xfId="25725"/>
    <cellStyle name="Saída 6 2 3 2 5 2 2" xfId="54904"/>
    <cellStyle name="Saída 6 2 3 2 5 3" xfId="40879"/>
    <cellStyle name="Saída 6 2 3 2 6" xfId="21297"/>
    <cellStyle name="Saída 6 2 3 2 6 2" xfId="50476"/>
    <cellStyle name="Saída 6 2 3 2 7" xfId="30927"/>
    <cellStyle name="Saída 6 2 3 3" xfId="2644"/>
    <cellStyle name="Saída 6 2 3 3 2" xfId="5812"/>
    <cellStyle name="Saída 6 2 3 3 2 2" xfId="14702"/>
    <cellStyle name="Saída 6 2 3 3 2 2 2" xfId="27525"/>
    <cellStyle name="Saída 6 2 3 3 2 2 2 2" xfId="56704"/>
    <cellStyle name="Saída 6 2 3 3 2 2 3" xfId="43883"/>
    <cellStyle name="Saída 6 2 3 3 2 3" xfId="23097"/>
    <cellStyle name="Saída 6 2 3 3 2 3 2" xfId="52276"/>
    <cellStyle name="Saída 6 2 3 3 2 4" xfId="34995"/>
    <cellStyle name="Saída 6 2 3 3 3" xfId="8080"/>
    <cellStyle name="Saída 6 2 3 3 3 2" xfId="16381"/>
    <cellStyle name="Saída 6 2 3 3 3 2 2" xfId="28590"/>
    <cellStyle name="Saída 6 2 3 3 3 2 2 2" xfId="57769"/>
    <cellStyle name="Saída 6 2 3 3 3 2 3" xfId="45562"/>
    <cellStyle name="Saída 6 2 3 3 3 3" xfId="24162"/>
    <cellStyle name="Saída 6 2 3 3 3 3 2" xfId="53341"/>
    <cellStyle name="Saída 6 2 3 3 3 4" xfId="37263"/>
    <cellStyle name="Saída 6 2 3 3 4" xfId="12334"/>
    <cellStyle name="Saída 6 2 3 3 4 2" xfId="26085"/>
    <cellStyle name="Saída 6 2 3 3 4 2 2" xfId="55264"/>
    <cellStyle name="Saída 6 2 3 3 4 3" xfId="41515"/>
    <cellStyle name="Saída 6 2 3 3 5" xfId="21657"/>
    <cellStyle name="Saída 6 2 3 3 5 2" xfId="50836"/>
    <cellStyle name="Saída 6 2 3 3 6" xfId="31827"/>
    <cellStyle name="Saída 6 2 3 4" xfId="4372"/>
    <cellStyle name="Saída 6 2 3 4 2" xfId="13578"/>
    <cellStyle name="Saída 6 2 3 4 2 2" xfId="26805"/>
    <cellStyle name="Saída 6 2 3 4 2 2 2" xfId="55984"/>
    <cellStyle name="Saída 6 2 3 4 2 3" xfId="42759"/>
    <cellStyle name="Saída 6 2 3 4 3" xfId="22377"/>
    <cellStyle name="Saída 6 2 3 4 3 2" xfId="51556"/>
    <cellStyle name="Saída 6 2 3 4 4" xfId="33555"/>
    <cellStyle name="Saída 6 2 3 5" xfId="10491"/>
    <cellStyle name="Saída 6 2 3 5 2" xfId="18101"/>
    <cellStyle name="Saída 6 2 3 5 2 2" xfId="29538"/>
    <cellStyle name="Saída 6 2 3 5 2 2 2" xfId="58717"/>
    <cellStyle name="Saída 6 2 3 5 2 3" xfId="47282"/>
    <cellStyle name="Saída 6 2 3 5 3" xfId="25110"/>
    <cellStyle name="Saída 6 2 3 5 3 2" xfId="54289"/>
    <cellStyle name="Saída 6 2 3 5 4" xfId="39674"/>
    <cellStyle name="Saída 6 2 3 6" xfId="11037"/>
    <cellStyle name="Saída 6 2 3 6 2" xfId="25341"/>
    <cellStyle name="Saída 6 2 3 6 2 2" xfId="54520"/>
    <cellStyle name="Saída 6 2 3 6 3" xfId="40218"/>
    <cellStyle name="Saída 6 2 3 7" xfId="20913"/>
    <cellStyle name="Saída 6 2 3 7 2" xfId="50092"/>
    <cellStyle name="Saída 6 2 3 8" xfId="30003"/>
    <cellStyle name="Saída 6 2 4" xfId="998"/>
    <cellStyle name="Saída 6 2 4 2" xfId="1908"/>
    <cellStyle name="Saída 6 2 4 2 2" xfId="3708"/>
    <cellStyle name="Saída 6 2 4 2 2 2" xfId="6660"/>
    <cellStyle name="Saída 6 2 4 2 2 2 2" xfId="15361"/>
    <cellStyle name="Saída 6 2 4 2 2 2 2 2" xfId="27959"/>
    <cellStyle name="Saída 6 2 4 2 2 2 2 2 2" xfId="57138"/>
    <cellStyle name="Saída 6 2 4 2 2 2 2 3" xfId="44542"/>
    <cellStyle name="Saída 6 2 4 2 2 2 3" xfId="23531"/>
    <cellStyle name="Saída 6 2 4 2 2 2 3 2" xfId="52710"/>
    <cellStyle name="Saída 6 2 4 2 2 2 4" xfId="35843"/>
    <cellStyle name="Saída 6 2 4 2 2 3" xfId="9842"/>
    <cellStyle name="Saída 6 2 4 2 2 3 2" xfId="17651"/>
    <cellStyle name="Saída 6 2 4 2 2 3 2 2" xfId="29287"/>
    <cellStyle name="Saída 6 2 4 2 2 3 2 2 2" xfId="58466"/>
    <cellStyle name="Saída 6 2 4 2 2 3 2 3" xfId="46832"/>
    <cellStyle name="Saída 6 2 4 2 2 3 3" xfId="24859"/>
    <cellStyle name="Saída 6 2 4 2 2 3 3 2" xfId="54038"/>
    <cellStyle name="Saída 6 2 4 2 2 3 4" xfId="39025"/>
    <cellStyle name="Saída 6 2 4 2 2 4" xfId="13092"/>
    <cellStyle name="Saída 6 2 4 2 2 4 2" xfId="26519"/>
    <cellStyle name="Saída 6 2 4 2 2 4 2 2" xfId="55698"/>
    <cellStyle name="Saída 6 2 4 2 2 4 3" xfId="42273"/>
    <cellStyle name="Saída 6 2 4 2 2 5" xfId="22091"/>
    <cellStyle name="Saída 6 2 4 2 2 5 2" xfId="51270"/>
    <cellStyle name="Saída 6 2 4 2 2 6" xfId="32891"/>
    <cellStyle name="Saída 6 2 4 2 3" xfId="5220"/>
    <cellStyle name="Saída 6 2 4 2 3 2" xfId="14239"/>
    <cellStyle name="Saída 6 2 4 2 3 2 2" xfId="27239"/>
    <cellStyle name="Saída 6 2 4 2 3 2 2 2" xfId="56418"/>
    <cellStyle name="Saída 6 2 4 2 3 2 3" xfId="43420"/>
    <cellStyle name="Saída 6 2 4 2 3 3" xfId="22811"/>
    <cellStyle name="Saída 6 2 4 2 3 3 2" xfId="51990"/>
    <cellStyle name="Saída 6 2 4 2 3 4" xfId="34403"/>
    <cellStyle name="Saída 6 2 4 2 4" xfId="9374"/>
    <cellStyle name="Saída 6 2 4 2 4 2" xfId="17317"/>
    <cellStyle name="Saída 6 2 4 2 4 2 2" xfId="29099"/>
    <cellStyle name="Saída 6 2 4 2 4 2 2 2" xfId="58278"/>
    <cellStyle name="Saída 6 2 4 2 4 2 3" xfId="46498"/>
    <cellStyle name="Saída 6 2 4 2 4 3" xfId="24671"/>
    <cellStyle name="Saída 6 2 4 2 4 3 2" xfId="53850"/>
    <cellStyle name="Saída 6 2 4 2 4 4" xfId="38557"/>
    <cellStyle name="Saída 6 2 4 2 5" xfId="11816"/>
    <cellStyle name="Saída 6 2 4 2 5 2" xfId="25799"/>
    <cellStyle name="Saída 6 2 4 2 5 2 2" xfId="54978"/>
    <cellStyle name="Saída 6 2 4 2 5 3" xfId="40997"/>
    <cellStyle name="Saída 6 2 4 2 6" xfId="21371"/>
    <cellStyle name="Saída 6 2 4 2 6 2" xfId="50550"/>
    <cellStyle name="Saída 6 2 4 2 7" xfId="31091"/>
    <cellStyle name="Saída 6 2 4 3" xfId="2808"/>
    <cellStyle name="Saída 6 2 4 3 2" xfId="5940"/>
    <cellStyle name="Saída 6 2 4 3 2 2" xfId="14803"/>
    <cellStyle name="Saída 6 2 4 3 2 2 2" xfId="27599"/>
    <cellStyle name="Saída 6 2 4 3 2 2 2 2" xfId="56778"/>
    <cellStyle name="Saída 6 2 4 3 2 2 3" xfId="43984"/>
    <cellStyle name="Saída 6 2 4 3 2 3" xfId="23171"/>
    <cellStyle name="Saída 6 2 4 3 2 3 2" xfId="52350"/>
    <cellStyle name="Saída 6 2 4 3 2 4" xfId="35123"/>
    <cellStyle name="Saída 6 2 4 3 3" xfId="7953"/>
    <cellStyle name="Saída 6 2 4 3 3 2" xfId="16294"/>
    <cellStyle name="Saída 6 2 4 3 3 2 2" xfId="28539"/>
    <cellStyle name="Saída 6 2 4 3 3 2 2 2" xfId="57718"/>
    <cellStyle name="Saída 6 2 4 3 3 2 3" xfId="45475"/>
    <cellStyle name="Saída 6 2 4 3 3 3" xfId="24111"/>
    <cellStyle name="Saída 6 2 4 3 3 3 2" xfId="53290"/>
    <cellStyle name="Saída 6 2 4 3 3 4" xfId="37136"/>
    <cellStyle name="Saída 6 2 4 3 4" xfId="12453"/>
    <cellStyle name="Saída 6 2 4 3 4 2" xfId="26159"/>
    <cellStyle name="Saída 6 2 4 3 4 2 2" xfId="55338"/>
    <cellStyle name="Saída 6 2 4 3 4 3" xfId="41634"/>
    <cellStyle name="Saída 6 2 4 3 5" xfId="21731"/>
    <cellStyle name="Saída 6 2 4 3 5 2" xfId="50910"/>
    <cellStyle name="Saída 6 2 4 3 6" xfId="31991"/>
    <cellStyle name="Saída 6 2 4 4" xfId="4500"/>
    <cellStyle name="Saída 6 2 4 4 2" xfId="13682"/>
    <cellStyle name="Saída 6 2 4 4 2 2" xfId="26879"/>
    <cellStyle name="Saída 6 2 4 4 2 2 2" xfId="56058"/>
    <cellStyle name="Saída 6 2 4 4 2 3" xfId="42863"/>
    <cellStyle name="Saída 6 2 4 4 3" xfId="22451"/>
    <cellStyle name="Saída 6 2 4 4 3 2" xfId="51630"/>
    <cellStyle name="Saída 6 2 4 4 4" xfId="33683"/>
    <cellStyle name="Saída 6 2 4 5" xfId="10074"/>
    <cellStyle name="Saída 6 2 4 5 2" xfId="17809"/>
    <cellStyle name="Saída 6 2 4 5 2 2" xfId="29375"/>
    <cellStyle name="Saída 6 2 4 5 2 2 2" xfId="58554"/>
    <cellStyle name="Saída 6 2 4 5 2 3" xfId="46990"/>
    <cellStyle name="Saída 6 2 4 5 3" xfId="24947"/>
    <cellStyle name="Saída 6 2 4 5 3 2" xfId="54126"/>
    <cellStyle name="Saída 6 2 4 5 4" xfId="39257"/>
    <cellStyle name="Saída 6 2 4 6" xfId="11179"/>
    <cellStyle name="Saída 6 2 4 6 2" xfId="25436"/>
    <cellStyle name="Saída 6 2 4 6 2 2" xfId="54615"/>
    <cellStyle name="Saída 6 2 4 6 3" xfId="40360"/>
    <cellStyle name="Saída 6 2 4 7" xfId="21008"/>
    <cellStyle name="Saída 6 2 4 7 2" xfId="50187"/>
    <cellStyle name="Saída 6 2 4 8" xfId="30188"/>
    <cellStyle name="Saída 6 2 5" xfId="1148"/>
    <cellStyle name="Saída 6 2 5 2" xfId="2052"/>
    <cellStyle name="Saída 6 2 5 2 2" xfId="3852"/>
    <cellStyle name="Saída 6 2 5 2 2 2" xfId="6777"/>
    <cellStyle name="Saída 6 2 5 2 2 2 2" xfId="15453"/>
    <cellStyle name="Saída 6 2 5 2 2 2 2 2" xfId="28022"/>
    <cellStyle name="Saída 6 2 5 2 2 2 2 2 2" xfId="57201"/>
    <cellStyle name="Saída 6 2 5 2 2 2 2 3" xfId="44634"/>
    <cellStyle name="Saída 6 2 5 2 2 2 3" xfId="23594"/>
    <cellStyle name="Saída 6 2 5 2 2 2 3 2" xfId="52773"/>
    <cellStyle name="Saída 6 2 5 2 2 2 4" xfId="35960"/>
    <cellStyle name="Saída 6 2 5 2 2 3" xfId="9984"/>
    <cellStyle name="Saída 6 2 5 2 2 3 2" xfId="17752"/>
    <cellStyle name="Saída 6 2 5 2 2 3 2 2" xfId="29340"/>
    <cellStyle name="Saída 6 2 5 2 2 3 2 2 2" xfId="58519"/>
    <cellStyle name="Saída 6 2 5 2 2 3 2 3" xfId="46933"/>
    <cellStyle name="Saída 6 2 5 2 2 3 3" xfId="24912"/>
    <cellStyle name="Saída 6 2 5 2 2 3 3 2" xfId="54091"/>
    <cellStyle name="Saída 6 2 5 2 2 3 4" xfId="39167"/>
    <cellStyle name="Saída 6 2 5 2 2 4" xfId="13192"/>
    <cellStyle name="Saída 6 2 5 2 2 4 2" xfId="26582"/>
    <cellStyle name="Saída 6 2 5 2 2 4 2 2" xfId="55761"/>
    <cellStyle name="Saída 6 2 5 2 2 4 3" xfId="42373"/>
    <cellStyle name="Saída 6 2 5 2 2 5" xfId="22154"/>
    <cellStyle name="Saída 6 2 5 2 2 5 2" xfId="51333"/>
    <cellStyle name="Saída 6 2 5 2 2 6" xfId="33035"/>
    <cellStyle name="Saída 6 2 5 2 3" xfId="5337"/>
    <cellStyle name="Saída 6 2 5 2 3 2" xfId="14332"/>
    <cellStyle name="Saída 6 2 5 2 3 2 2" xfId="27302"/>
    <cellStyle name="Saída 6 2 5 2 3 2 2 2" xfId="56481"/>
    <cellStyle name="Saída 6 2 5 2 3 2 3" xfId="43513"/>
    <cellStyle name="Saída 6 2 5 2 3 3" xfId="22874"/>
    <cellStyle name="Saída 6 2 5 2 3 3 2" xfId="52053"/>
    <cellStyle name="Saída 6 2 5 2 3 4" xfId="34520"/>
    <cellStyle name="Saída 6 2 5 2 4" xfId="7717"/>
    <cellStyle name="Saída 6 2 5 2 4 2" xfId="16128"/>
    <cellStyle name="Saída 6 2 5 2 4 2 2" xfId="28446"/>
    <cellStyle name="Saída 6 2 5 2 4 2 2 2" xfId="57625"/>
    <cellStyle name="Saída 6 2 5 2 4 2 3" xfId="45309"/>
    <cellStyle name="Saída 6 2 5 2 4 3" xfId="24018"/>
    <cellStyle name="Saída 6 2 5 2 4 3 2" xfId="53197"/>
    <cellStyle name="Saída 6 2 5 2 4 4" xfId="36900"/>
    <cellStyle name="Saída 6 2 5 2 5" xfId="11917"/>
    <cellStyle name="Saída 6 2 5 2 5 2" xfId="25862"/>
    <cellStyle name="Saída 6 2 5 2 5 2 2" xfId="55041"/>
    <cellStyle name="Saída 6 2 5 2 5 3" xfId="41098"/>
    <cellStyle name="Saída 6 2 5 2 6" xfId="21434"/>
    <cellStyle name="Saída 6 2 5 2 6 2" xfId="50613"/>
    <cellStyle name="Saída 6 2 5 2 7" xfId="31235"/>
    <cellStyle name="Saída 6 2 5 3" xfId="2952"/>
    <cellStyle name="Saída 6 2 5 3 2" xfId="6057"/>
    <cellStyle name="Saída 6 2 5 3 2 2" xfId="14894"/>
    <cellStyle name="Saída 6 2 5 3 2 2 2" xfId="27662"/>
    <cellStyle name="Saída 6 2 5 3 2 2 2 2" xfId="56841"/>
    <cellStyle name="Saída 6 2 5 3 2 2 3" xfId="44075"/>
    <cellStyle name="Saída 6 2 5 3 2 3" xfId="23234"/>
    <cellStyle name="Saída 6 2 5 3 2 3 2" xfId="52413"/>
    <cellStyle name="Saída 6 2 5 3 2 4" xfId="35240"/>
    <cellStyle name="Saída 6 2 5 3 3" xfId="8517"/>
    <cellStyle name="Saída 6 2 5 3 3 2" xfId="16693"/>
    <cellStyle name="Saída 6 2 5 3 3 2 2" xfId="28753"/>
    <cellStyle name="Saída 6 2 5 3 3 2 2 2" xfId="57932"/>
    <cellStyle name="Saída 6 2 5 3 3 2 3" xfId="45874"/>
    <cellStyle name="Saída 6 2 5 3 3 3" xfId="24325"/>
    <cellStyle name="Saída 6 2 5 3 3 3 2" xfId="53504"/>
    <cellStyle name="Saída 6 2 5 3 3 4" xfId="37700"/>
    <cellStyle name="Saída 6 2 5 3 4" xfId="12556"/>
    <cellStyle name="Saída 6 2 5 3 4 2" xfId="26222"/>
    <cellStyle name="Saída 6 2 5 3 4 2 2" xfId="55401"/>
    <cellStyle name="Saída 6 2 5 3 4 3" xfId="41737"/>
    <cellStyle name="Saída 6 2 5 3 5" xfId="21794"/>
    <cellStyle name="Saída 6 2 5 3 5 2" xfId="50973"/>
    <cellStyle name="Saída 6 2 5 3 6" xfId="32135"/>
    <cellStyle name="Saída 6 2 5 4" xfId="4617"/>
    <cellStyle name="Saída 6 2 5 4 2" xfId="13775"/>
    <cellStyle name="Saída 6 2 5 4 2 2" xfId="26942"/>
    <cellStyle name="Saída 6 2 5 4 2 2 2" xfId="56121"/>
    <cellStyle name="Saída 6 2 5 4 2 3" xfId="42956"/>
    <cellStyle name="Saída 6 2 5 4 3" xfId="22514"/>
    <cellStyle name="Saída 6 2 5 4 3 2" xfId="51693"/>
    <cellStyle name="Saída 6 2 5 4 4" xfId="33800"/>
    <cellStyle name="Saída 6 2 5 5" xfId="8138"/>
    <cellStyle name="Saída 6 2 5 5 2" xfId="16421"/>
    <cellStyle name="Saída 6 2 5 5 2 2" xfId="28611"/>
    <cellStyle name="Saída 6 2 5 5 2 2 2" xfId="57790"/>
    <cellStyle name="Saída 6 2 5 5 2 3" xfId="45602"/>
    <cellStyle name="Saída 6 2 5 5 3" xfId="24183"/>
    <cellStyle name="Saída 6 2 5 5 3 2" xfId="53362"/>
    <cellStyle name="Saída 6 2 5 5 4" xfId="37321"/>
    <cellStyle name="Saída 6 2 5 6" xfId="11285"/>
    <cellStyle name="Saída 6 2 5 6 2" xfId="25502"/>
    <cellStyle name="Saída 6 2 5 6 2 2" xfId="54681"/>
    <cellStyle name="Saída 6 2 5 6 3" xfId="40466"/>
    <cellStyle name="Saída 6 2 5 7" xfId="21074"/>
    <cellStyle name="Saída 6 2 5 7 2" xfId="50253"/>
    <cellStyle name="Saída 6 2 5 8" xfId="30335"/>
    <cellStyle name="Saída 6 2 6" xfId="1294"/>
    <cellStyle name="Saída 6 2 6 2" xfId="2196"/>
    <cellStyle name="Saída 6 2 6 2 2" xfId="3996"/>
    <cellStyle name="Saída 6 2 6 2 2 2" xfId="6894"/>
    <cellStyle name="Saída 6 2 6 2 2 2 2" xfId="15548"/>
    <cellStyle name="Saída 6 2 6 2 2 2 2 2" xfId="28085"/>
    <cellStyle name="Saída 6 2 6 2 2 2 2 2 2" xfId="57264"/>
    <cellStyle name="Saída 6 2 6 2 2 2 2 3" xfId="44729"/>
    <cellStyle name="Saída 6 2 6 2 2 2 3" xfId="23657"/>
    <cellStyle name="Saída 6 2 6 2 2 2 3 2" xfId="52836"/>
    <cellStyle name="Saída 6 2 6 2 2 2 4" xfId="36077"/>
    <cellStyle name="Saída 6 2 6 2 2 3" xfId="7084"/>
    <cellStyle name="Saída 6 2 6 2 2 3 2" xfId="15684"/>
    <cellStyle name="Saída 6 2 6 2 2 3 2 2" xfId="28183"/>
    <cellStyle name="Saída 6 2 6 2 2 3 2 2 2" xfId="57362"/>
    <cellStyle name="Saída 6 2 6 2 2 3 2 3" xfId="44865"/>
    <cellStyle name="Saída 6 2 6 2 2 3 3" xfId="23755"/>
    <cellStyle name="Saída 6 2 6 2 2 3 3 2" xfId="52934"/>
    <cellStyle name="Saída 6 2 6 2 2 3 4" xfId="36267"/>
    <cellStyle name="Saída 6 2 6 2 2 4" xfId="13297"/>
    <cellStyle name="Saída 6 2 6 2 2 4 2" xfId="26645"/>
    <cellStyle name="Saída 6 2 6 2 2 4 2 2" xfId="55824"/>
    <cellStyle name="Saída 6 2 6 2 2 4 3" xfId="42478"/>
    <cellStyle name="Saída 6 2 6 2 2 5" xfId="22217"/>
    <cellStyle name="Saída 6 2 6 2 2 5 2" xfId="51396"/>
    <cellStyle name="Saída 6 2 6 2 2 6" xfId="33179"/>
    <cellStyle name="Saída 6 2 6 2 3" xfId="5454"/>
    <cellStyle name="Saída 6 2 6 2 3 2" xfId="14428"/>
    <cellStyle name="Saída 6 2 6 2 3 2 2" xfId="27365"/>
    <cellStyle name="Saída 6 2 6 2 3 2 2 2" xfId="56544"/>
    <cellStyle name="Saída 6 2 6 2 3 2 3" xfId="43609"/>
    <cellStyle name="Saída 6 2 6 2 3 3" xfId="22937"/>
    <cellStyle name="Saída 6 2 6 2 3 3 2" xfId="52116"/>
    <cellStyle name="Saída 6 2 6 2 3 4" xfId="34637"/>
    <cellStyle name="Saída 6 2 6 2 4" xfId="8282"/>
    <cellStyle name="Saída 6 2 6 2 4 2" xfId="16528"/>
    <cellStyle name="Saída 6 2 6 2 4 2 2" xfId="28668"/>
    <cellStyle name="Saída 6 2 6 2 4 2 2 2" xfId="57847"/>
    <cellStyle name="Saída 6 2 6 2 4 2 3" xfId="45709"/>
    <cellStyle name="Saída 6 2 6 2 4 3" xfId="24240"/>
    <cellStyle name="Saída 6 2 6 2 4 3 2" xfId="53419"/>
    <cellStyle name="Saída 6 2 6 2 4 4" xfId="37465"/>
    <cellStyle name="Saída 6 2 6 2 5" xfId="12021"/>
    <cellStyle name="Saída 6 2 6 2 5 2" xfId="25925"/>
    <cellStyle name="Saída 6 2 6 2 5 2 2" xfId="55104"/>
    <cellStyle name="Saída 6 2 6 2 5 3" xfId="41202"/>
    <cellStyle name="Saída 6 2 6 2 6" xfId="21497"/>
    <cellStyle name="Saída 6 2 6 2 6 2" xfId="50676"/>
    <cellStyle name="Saída 6 2 6 2 7" xfId="31379"/>
    <cellStyle name="Saída 6 2 6 3" xfId="3096"/>
    <cellStyle name="Saída 6 2 6 3 2" xfId="6174"/>
    <cellStyle name="Saída 6 2 6 3 2 2" xfId="14989"/>
    <cellStyle name="Saída 6 2 6 3 2 2 2" xfId="27725"/>
    <cellStyle name="Saída 6 2 6 3 2 2 2 2" xfId="56904"/>
    <cellStyle name="Saída 6 2 6 3 2 2 3" xfId="44170"/>
    <cellStyle name="Saída 6 2 6 3 2 3" xfId="23297"/>
    <cellStyle name="Saída 6 2 6 3 2 3 2" xfId="52476"/>
    <cellStyle name="Saída 6 2 6 3 2 4" xfId="35357"/>
    <cellStyle name="Saída 6 2 6 3 3" xfId="9811"/>
    <cellStyle name="Saída 6 2 6 3 3 2" xfId="17630"/>
    <cellStyle name="Saída 6 2 6 3 3 2 2" xfId="29276"/>
    <cellStyle name="Saída 6 2 6 3 3 2 2 2" xfId="58455"/>
    <cellStyle name="Saída 6 2 6 3 3 2 3" xfId="46811"/>
    <cellStyle name="Saída 6 2 6 3 3 3" xfId="24848"/>
    <cellStyle name="Saída 6 2 6 3 3 3 2" xfId="54027"/>
    <cellStyle name="Saída 6 2 6 3 3 4" xfId="38994"/>
    <cellStyle name="Saída 6 2 6 3 4" xfId="12659"/>
    <cellStyle name="Saída 6 2 6 3 4 2" xfId="26285"/>
    <cellStyle name="Saída 6 2 6 3 4 2 2" xfId="55464"/>
    <cellStyle name="Saída 6 2 6 3 4 3" xfId="41840"/>
    <cellStyle name="Saída 6 2 6 3 5" xfId="21857"/>
    <cellStyle name="Saída 6 2 6 3 5 2" xfId="51036"/>
    <cellStyle name="Saída 6 2 6 3 6" xfId="32279"/>
    <cellStyle name="Saída 6 2 6 4" xfId="4734"/>
    <cellStyle name="Saída 6 2 6 4 2" xfId="13866"/>
    <cellStyle name="Saída 6 2 6 4 2 2" xfId="27005"/>
    <cellStyle name="Saída 6 2 6 4 2 2 2" xfId="56184"/>
    <cellStyle name="Saída 6 2 6 4 2 3" xfId="43047"/>
    <cellStyle name="Saída 6 2 6 4 3" xfId="22577"/>
    <cellStyle name="Saída 6 2 6 4 3 2" xfId="51756"/>
    <cellStyle name="Saída 6 2 6 4 4" xfId="33917"/>
    <cellStyle name="Saída 6 2 6 5" xfId="10248"/>
    <cellStyle name="Saída 6 2 6 5 2" xfId="17935"/>
    <cellStyle name="Saída 6 2 6 5 2 2" xfId="29451"/>
    <cellStyle name="Saída 6 2 6 5 2 2 2" xfId="58630"/>
    <cellStyle name="Saída 6 2 6 5 2 3" xfId="47116"/>
    <cellStyle name="Saída 6 2 6 5 3" xfId="25023"/>
    <cellStyle name="Saída 6 2 6 5 3 2" xfId="54202"/>
    <cellStyle name="Saída 6 2 6 5 4" xfId="39431"/>
    <cellStyle name="Saída 6 2 6 6" xfId="11391"/>
    <cellStyle name="Saída 6 2 6 6 2" xfId="25565"/>
    <cellStyle name="Saída 6 2 6 6 2 2" xfId="54744"/>
    <cellStyle name="Saída 6 2 6 6 3" xfId="40572"/>
    <cellStyle name="Saída 6 2 6 7" xfId="21137"/>
    <cellStyle name="Saída 6 2 6 7 2" xfId="50316"/>
    <cellStyle name="Saída 6 2 6 8" xfId="30479"/>
    <cellStyle name="Saída 6 2 7" xfId="1476"/>
    <cellStyle name="Saída 6 2 7 2" xfId="3276"/>
    <cellStyle name="Saída 6 2 7 2 2" xfId="6318"/>
    <cellStyle name="Saída 6 2 7 2 2 2" xfId="15092"/>
    <cellStyle name="Saída 6 2 7 2 2 2 2" xfId="27797"/>
    <cellStyle name="Saída 6 2 7 2 2 2 2 2" xfId="56976"/>
    <cellStyle name="Saída 6 2 7 2 2 2 3" xfId="44273"/>
    <cellStyle name="Saída 6 2 7 2 2 3" xfId="23369"/>
    <cellStyle name="Saída 6 2 7 2 2 3 2" xfId="52548"/>
    <cellStyle name="Saída 6 2 7 2 2 4" xfId="35501"/>
    <cellStyle name="Saída 6 2 7 2 3" xfId="8073"/>
    <cellStyle name="Saída 6 2 7 2 3 2" xfId="16377"/>
    <cellStyle name="Saída 6 2 7 2 3 2 2" xfId="28586"/>
    <cellStyle name="Saída 6 2 7 2 3 2 2 2" xfId="57765"/>
    <cellStyle name="Saída 6 2 7 2 3 2 3" xfId="45558"/>
    <cellStyle name="Saída 6 2 7 2 3 3" xfId="24158"/>
    <cellStyle name="Saída 6 2 7 2 3 3 2" xfId="53337"/>
    <cellStyle name="Saída 6 2 7 2 3 4" xfId="37256"/>
    <cellStyle name="Saída 6 2 7 2 4" xfId="12783"/>
    <cellStyle name="Saída 6 2 7 2 4 2" xfId="26357"/>
    <cellStyle name="Saída 6 2 7 2 4 2 2" xfId="55536"/>
    <cellStyle name="Saída 6 2 7 2 4 3" xfId="41964"/>
    <cellStyle name="Saída 6 2 7 2 5" xfId="21929"/>
    <cellStyle name="Saída 6 2 7 2 5 2" xfId="51108"/>
    <cellStyle name="Saída 6 2 7 2 6" xfId="32459"/>
    <cellStyle name="Saída 6 2 7 3" xfId="4878"/>
    <cellStyle name="Saída 6 2 7 3 2" xfId="13968"/>
    <cellStyle name="Saída 6 2 7 3 2 2" xfId="27077"/>
    <cellStyle name="Saída 6 2 7 3 2 2 2" xfId="56256"/>
    <cellStyle name="Saída 6 2 7 3 2 3" xfId="43149"/>
    <cellStyle name="Saída 6 2 7 3 3" xfId="22649"/>
    <cellStyle name="Saída 6 2 7 3 3 2" xfId="51828"/>
    <cellStyle name="Saída 6 2 7 3 4" xfId="34061"/>
    <cellStyle name="Saída 6 2 7 4" xfId="7890"/>
    <cellStyle name="Saída 6 2 7 4 2" xfId="16243"/>
    <cellStyle name="Saída 6 2 7 4 2 2" xfId="28511"/>
    <cellStyle name="Saída 6 2 7 4 2 2 2" xfId="57690"/>
    <cellStyle name="Saída 6 2 7 4 2 3" xfId="45424"/>
    <cellStyle name="Saída 6 2 7 4 3" xfId="24083"/>
    <cellStyle name="Saída 6 2 7 4 3 2" xfId="53262"/>
    <cellStyle name="Saída 6 2 7 4 4" xfId="37073"/>
    <cellStyle name="Saída 6 2 7 5" xfId="11513"/>
    <cellStyle name="Saída 6 2 7 5 2" xfId="25637"/>
    <cellStyle name="Saída 6 2 7 5 2 2" xfId="54816"/>
    <cellStyle name="Saída 6 2 7 5 3" xfId="40694"/>
    <cellStyle name="Saída 6 2 7 6" xfId="21209"/>
    <cellStyle name="Saída 6 2 7 6 2" xfId="50388"/>
    <cellStyle name="Saída 6 2 7 7" xfId="30659"/>
    <cellStyle name="Saída 6 2 8" xfId="2376"/>
    <cellStyle name="Saída 6 2 8 2" xfId="5598"/>
    <cellStyle name="Saída 6 2 8 2 2" xfId="14533"/>
    <cellStyle name="Saída 6 2 8 2 2 2" xfId="27437"/>
    <cellStyle name="Saída 6 2 8 2 2 2 2" xfId="56616"/>
    <cellStyle name="Saída 6 2 8 2 2 3" xfId="43714"/>
    <cellStyle name="Saída 6 2 8 2 3" xfId="23009"/>
    <cellStyle name="Saída 6 2 8 2 3 2" xfId="52188"/>
    <cellStyle name="Saída 6 2 8 2 4" xfId="34781"/>
    <cellStyle name="Saída 6 2 8 3" xfId="7859"/>
    <cellStyle name="Saída 6 2 8 3 2" xfId="16225"/>
    <cellStyle name="Saída 6 2 8 3 2 2" xfId="28501"/>
    <cellStyle name="Saída 6 2 8 3 2 2 2" xfId="57680"/>
    <cellStyle name="Saída 6 2 8 3 2 3" xfId="45406"/>
    <cellStyle name="Saída 6 2 8 3 3" xfId="24073"/>
    <cellStyle name="Saída 6 2 8 3 3 2" xfId="53252"/>
    <cellStyle name="Saída 6 2 8 3 4" xfId="37042"/>
    <cellStyle name="Saída 6 2 8 4" xfId="12142"/>
    <cellStyle name="Saída 6 2 8 4 2" xfId="25997"/>
    <cellStyle name="Saída 6 2 8 4 2 2" xfId="55176"/>
    <cellStyle name="Saída 6 2 8 4 3" xfId="41323"/>
    <cellStyle name="Saída 6 2 8 5" xfId="21569"/>
    <cellStyle name="Saída 6 2 8 5 2" xfId="50748"/>
    <cellStyle name="Saída 6 2 8 6" xfId="31559"/>
    <cellStyle name="Saída 6 2 9" xfId="4158"/>
    <cellStyle name="Saída 6 2 9 2" xfId="13411"/>
    <cellStyle name="Saída 6 2 9 2 2" xfId="26717"/>
    <cellStyle name="Saída 6 2 9 2 2 2" xfId="55896"/>
    <cellStyle name="Saída 6 2 9 2 3" xfId="42592"/>
    <cellStyle name="Saída 6 2 9 3" xfId="22289"/>
    <cellStyle name="Saída 6 2 9 3 2" xfId="51468"/>
    <cellStyle name="Saída 6 2 9 4" xfId="33341"/>
    <cellStyle name="Saída 6 3" xfId="498"/>
    <cellStyle name="Saída 6 3 10" xfId="10796"/>
    <cellStyle name="Saída 6 3 10 2" xfId="25195"/>
    <cellStyle name="Saída 6 3 10 2 2" xfId="54374"/>
    <cellStyle name="Saída 6 3 10 3" xfId="39977"/>
    <cellStyle name="Saída 6 3 11" xfId="20767"/>
    <cellStyle name="Saída 6 3 11 2" xfId="49946"/>
    <cellStyle name="Saída 6 3 12" xfId="29704"/>
    <cellStyle name="Saída 6 3 2" xfId="851"/>
    <cellStyle name="Saída 6 3 2 2" xfId="1789"/>
    <cellStyle name="Saída 6 3 2 2 2" xfId="3589"/>
    <cellStyle name="Saída 6 3 2 2 2 2" xfId="6568"/>
    <cellStyle name="Saída 6 3 2 2 2 2 2" xfId="15285"/>
    <cellStyle name="Saída 6 3 2 2 2 2 2 2" xfId="27903"/>
    <cellStyle name="Saída 6 3 2 2 2 2 2 2 2" xfId="57082"/>
    <cellStyle name="Saída 6 3 2 2 2 2 2 3" xfId="44466"/>
    <cellStyle name="Saída 6 3 2 2 2 2 3" xfId="23475"/>
    <cellStyle name="Saída 6 3 2 2 2 2 3 2" xfId="52654"/>
    <cellStyle name="Saída 6 3 2 2 2 2 4" xfId="35751"/>
    <cellStyle name="Saída 6 3 2 2 2 3" xfId="9730"/>
    <cellStyle name="Saída 6 3 2 2 2 3 2" xfId="17570"/>
    <cellStyle name="Saída 6 3 2 2 2 3 2 2" xfId="29243"/>
    <cellStyle name="Saída 6 3 2 2 2 3 2 2 2" xfId="58422"/>
    <cellStyle name="Saída 6 3 2 2 2 3 2 3" xfId="46751"/>
    <cellStyle name="Saída 6 3 2 2 2 3 3" xfId="24815"/>
    <cellStyle name="Saída 6 3 2 2 2 3 3 2" xfId="53994"/>
    <cellStyle name="Saída 6 3 2 2 2 3 4" xfId="38913"/>
    <cellStyle name="Saída 6 3 2 2 2 4" xfId="13001"/>
    <cellStyle name="Saída 6 3 2 2 2 4 2" xfId="26463"/>
    <cellStyle name="Saída 6 3 2 2 2 4 2 2" xfId="55642"/>
    <cellStyle name="Saída 6 3 2 2 2 4 3" xfId="42182"/>
    <cellStyle name="Saída 6 3 2 2 2 5" xfId="22035"/>
    <cellStyle name="Saída 6 3 2 2 2 5 2" xfId="51214"/>
    <cellStyle name="Saída 6 3 2 2 2 6" xfId="32772"/>
    <cellStyle name="Saída 6 3 2 2 3" xfId="5128"/>
    <cellStyle name="Saída 6 3 2 2 3 2" xfId="14162"/>
    <cellStyle name="Saída 6 3 2 2 3 2 2" xfId="27183"/>
    <cellStyle name="Saída 6 3 2 2 3 2 2 2" xfId="56362"/>
    <cellStyle name="Saída 6 3 2 2 3 2 3" xfId="43343"/>
    <cellStyle name="Saída 6 3 2 2 3 3" xfId="22755"/>
    <cellStyle name="Saída 6 3 2 2 3 3 2" xfId="51934"/>
    <cellStyle name="Saída 6 3 2 2 3 4" xfId="34311"/>
    <cellStyle name="Saída 6 3 2 2 4" xfId="9336"/>
    <cellStyle name="Saída 6 3 2 2 4 2" xfId="17293"/>
    <cellStyle name="Saída 6 3 2 2 4 2 2" xfId="29085"/>
    <cellStyle name="Saída 6 3 2 2 4 2 2 2" xfId="58264"/>
    <cellStyle name="Saída 6 3 2 2 4 2 3" xfId="46474"/>
    <cellStyle name="Saída 6 3 2 2 4 3" xfId="24657"/>
    <cellStyle name="Saída 6 3 2 2 4 3 2" xfId="53836"/>
    <cellStyle name="Saída 6 3 2 2 4 4" xfId="38519"/>
    <cellStyle name="Saída 6 3 2 2 5" xfId="11727"/>
    <cellStyle name="Saída 6 3 2 2 5 2" xfId="25743"/>
    <cellStyle name="Saída 6 3 2 2 5 2 2" xfId="54922"/>
    <cellStyle name="Saída 6 3 2 2 5 3" xfId="40908"/>
    <cellStyle name="Saída 6 3 2 2 6" xfId="21315"/>
    <cellStyle name="Saída 6 3 2 2 6 2" xfId="50494"/>
    <cellStyle name="Saída 6 3 2 2 7" xfId="30972"/>
    <cellStyle name="Saída 6 3 2 3" xfId="2689"/>
    <cellStyle name="Saída 6 3 2 3 2" xfId="5848"/>
    <cellStyle name="Saída 6 3 2 3 2 2" xfId="14729"/>
    <cellStyle name="Saída 6 3 2 3 2 2 2" xfId="27543"/>
    <cellStyle name="Saída 6 3 2 3 2 2 2 2" xfId="56722"/>
    <cellStyle name="Saída 6 3 2 3 2 2 3" xfId="43910"/>
    <cellStyle name="Saída 6 3 2 3 2 3" xfId="23115"/>
    <cellStyle name="Saída 6 3 2 3 2 3 2" xfId="52294"/>
    <cellStyle name="Saída 6 3 2 3 2 4" xfId="35031"/>
    <cellStyle name="Saída 6 3 2 3 3" xfId="7915"/>
    <cellStyle name="Saída 6 3 2 3 3 2" xfId="16264"/>
    <cellStyle name="Saída 6 3 2 3 3 2 2" xfId="28525"/>
    <cellStyle name="Saída 6 3 2 3 3 2 2 2" xfId="57704"/>
    <cellStyle name="Saída 6 3 2 3 3 2 3" xfId="45445"/>
    <cellStyle name="Saída 6 3 2 3 3 3" xfId="24097"/>
    <cellStyle name="Saída 6 3 2 3 3 3 2" xfId="53276"/>
    <cellStyle name="Saída 6 3 2 3 3 4" xfId="37098"/>
    <cellStyle name="Saída 6 3 2 3 4" xfId="12364"/>
    <cellStyle name="Saída 6 3 2 3 4 2" xfId="26103"/>
    <cellStyle name="Saída 6 3 2 3 4 2 2" xfId="55282"/>
    <cellStyle name="Saída 6 3 2 3 4 3" xfId="41545"/>
    <cellStyle name="Saída 6 3 2 3 5" xfId="21675"/>
    <cellStyle name="Saída 6 3 2 3 5 2" xfId="50854"/>
    <cellStyle name="Saída 6 3 2 3 6" xfId="31872"/>
    <cellStyle name="Saída 6 3 2 4" xfId="4408"/>
    <cellStyle name="Saída 6 3 2 4 2" xfId="13606"/>
    <cellStyle name="Saída 6 3 2 4 2 2" xfId="26823"/>
    <cellStyle name="Saída 6 3 2 4 2 2 2" xfId="56002"/>
    <cellStyle name="Saída 6 3 2 4 2 3" xfId="42787"/>
    <cellStyle name="Saída 6 3 2 4 3" xfId="22395"/>
    <cellStyle name="Saída 6 3 2 4 3 2" xfId="51574"/>
    <cellStyle name="Saída 6 3 2 4 4" xfId="33591"/>
    <cellStyle name="Saída 6 3 2 5" xfId="8098"/>
    <cellStyle name="Saída 6 3 2 5 2" xfId="16396"/>
    <cellStyle name="Saída 6 3 2 5 2 2" xfId="28598"/>
    <cellStyle name="Saída 6 3 2 5 2 2 2" xfId="57777"/>
    <cellStyle name="Saída 6 3 2 5 2 3" xfId="45577"/>
    <cellStyle name="Saída 6 3 2 5 3" xfId="24170"/>
    <cellStyle name="Saída 6 3 2 5 3 2" xfId="53349"/>
    <cellStyle name="Saída 6 3 2 5 4" xfId="37281"/>
    <cellStyle name="Saída 6 3 2 6" xfId="11066"/>
    <cellStyle name="Saída 6 3 2 6 2" xfId="25359"/>
    <cellStyle name="Saída 6 3 2 6 2 2" xfId="54538"/>
    <cellStyle name="Saída 6 3 2 6 3" xfId="40247"/>
    <cellStyle name="Saída 6 3 2 7" xfId="20931"/>
    <cellStyle name="Saída 6 3 2 7 2" xfId="50110"/>
    <cellStyle name="Saída 6 3 2 8" xfId="30048"/>
    <cellStyle name="Saída 6 3 3" xfId="1043"/>
    <cellStyle name="Saída 6 3 3 2" xfId="1953"/>
    <cellStyle name="Saída 6 3 3 2 2" xfId="3753"/>
    <cellStyle name="Saída 6 3 3 2 2 2" xfId="6696"/>
    <cellStyle name="Saída 6 3 3 2 2 2 2" xfId="15390"/>
    <cellStyle name="Saída 6 3 3 2 2 2 2 2" xfId="27977"/>
    <cellStyle name="Saída 6 3 3 2 2 2 2 2 2" xfId="57156"/>
    <cellStyle name="Saída 6 3 3 2 2 2 2 3" xfId="44571"/>
    <cellStyle name="Saída 6 3 3 2 2 2 3" xfId="23549"/>
    <cellStyle name="Saída 6 3 3 2 2 2 3 2" xfId="52728"/>
    <cellStyle name="Saída 6 3 3 2 2 2 4" xfId="35879"/>
    <cellStyle name="Saída 6 3 3 2 2 3" xfId="9609"/>
    <cellStyle name="Saída 6 3 3 2 2 3 2" xfId="17472"/>
    <cellStyle name="Saída 6 3 3 2 2 3 2 2" xfId="29192"/>
    <cellStyle name="Saída 6 3 3 2 2 3 2 2 2" xfId="58371"/>
    <cellStyle name="Saída 6 3 3 2 2 3 2 3" xfId="46653"/>
    <cellStyle name="Saída 6 3 3 2 2 3 3" xfId="24764"/>
    <cellStyle name="Saída 6 3 3 2 2 3 3 2" xfId="53943"/>
    <cellStyle name="Saída 6 3 3 2 2 3 4" xfId="38792"/>
    <cellStyle name="Saída 6 3 3 2 2 4" xfId="13123"/>
    <cellStyle name="Saída 6 3 3 2 2 4 2" xfId="26537"/>
    <cellStyle name="Saída 6 3 3 2 2 4 2 2" xfId="55716"/>
    <cellStyle name="Saída 6 3 3 2 2 4 3" xfId="42304"/>
    <cellStyle name="Saída 6 3 3 2 2 5" xfId="22109"/>
    <cellStyle name="Saída 6 3 3 2 2 5 2" xfId="51288"/>
    <cellStyle name="Saída 6 3 3 2 2 6" xfId="32936"/>
    <cellStyle name="Saída 6 3 3 2 3" xfId="5256"/>
    <cellStyle name="Saída 6 3 3 2 3 2" xfId="14269"/>
    <cellStyle name="Saída 6 3 3 2 3 2 2" xfId="27257"/>
    <cellStyle name="Saída 6 3 3 2 3 2 2 2" xfId="56436"/>
    <cellStyle name="Saída 6 3 3 2 3 2 3" xfId="43450"/>
    <cellStyle name="Saída 6 3 3 2 3 3" xfId="22829"/>
    <cellStyle name="Saída 6 3 3 2 3 3 2" xfId="52008"/>
    <cellStyle name="Saída 6 3 3 2 3 4" xfId="34439"/>
    <cellStyle name="Saída 6 3 3 2 4" xfId="7429"/>
    <cellStyle name="Saída 6 3 3 2 4 2" xfId="15930"/>
    <cellStyle name="Saída 6 3 3 2 4 2 2" xfId="28337"/>
    <cellStyle name="Saída 6 3 3 2 4 2 2 2" xfId="57516"/>
    <cellStyle name="Saída 6 3 3 2 4 2 3" xfId="45111"/>
    <cellStyle name="Saída 6 3 3 2 4 3" xfId="23909"/>
    <cellStyle name="Saída 6 3 3 2 4 3 2" xfId="53088"/>
    <cellStyle name="Saída 6 3 3 2 4 4" xfId="36612"/>
    <cellStyle name="Saída 6 3 3 2 5" xfId="11847"/>
    <cellStyle name="Saída 6 3 3 2 5 2" xfId="25817"/>
    <cellStyle name="Saída 6 3 3 2 5 2 2" xfId="54996"/>
    <cellStyle name="Saída 6 3 3 2 5 3" xfId="41028"/>
    <cellStyle name="Saída 6 3 3 2 6" xfId="21389"/>
    <cellStyle name="Saída 6 3 3 2 6 2" xfId="50568"/>
    <cellStyle name="Saída 6 3 3 2 7" xfId="31136"/>
    <cellStyle name="Saída 6 3 3 3" xfId="2853"/>
    <cellStyle name="Saída 6 3 3 3 2" xfId="5976"/>
    <cellStyle name="Saída 6 3 3 3 2 2" xfId="14833"/>
    <cellStyle name="Saída 6 3 3 3 2 2 2" xfId="27617"/>
    <cellStyle name="Saída 6 3 3 3 2 2 2 2" xfId="56796"/>
    <cellStyle name="Saída 6 3 3 3 2 2 3" xfId="44014"/>
    <cellStyle name="Saída 6 3 3 3 2 3" xfId="23189"/>
    <cellStyle name="Saída 6 3 3 3 2 3 2" xfId="52368"/>
    <cellStyle name="Saída 6 3 3 3 2 4" xfId="35159"/>
    <cellStyle name="Saída 6 3 3 3 3" xfId="7747"/>
    <cellStyle name="Saída 6 3 3 3 3 2" xfId="16147"/>
    <cellStyle name="Saída 6 3 3 3 3 2 2" xfId="28457"/>
    <cellStyle name="Saída 6 3 3 3 3 2 2 2" xfId="57636"/>
    <cellStyle name="Saída 6 3 3 3 3 2 3" xfId="45328"/>
    <cellStyle name="Saída 6 3 3 3 3 3" xfId="24029"/>
    <cellStyle name="Saída 6 3 3 3 3 3 2" xfId="53208"/>
    <cellStyle name="Saída 6 3 3 3 3 4" xfId="36930"/>
    <cellStyle name="Saída 6 3 3 3 4" xfId="12486"/>
    <cellStyle name="Saída 6 3 3 3 4 2" xfId="26177"/>
    <cellStyle name="Saída 6 3 3 3 4 2 2" xfId="55356"/>
    <cellStyle name="Saída 6 3 3 3 4 3" xfId="41667"/>
    <cellStyle name="Saída 6 3 3 3 5" xfId="21749"/>
    <cellStyle name="Saída 6 3 3 3 5 2" xfId="50928"/>
    <cellStyle name="Saída 6 3 3 3 6" xfId="32036"/>
    <cellStyle name="Saída 6 3 3 4" xfId="4536"/>
    <cellStyle name="Saída 6 3 3 4 2" xfId="13712"/>
    <cellStyle name="Saída 6 3 3 4 2 2" xfId="26897"/>
    <cellStyle name="Saída 6 3 3 4 2 2 2" xfId="56076"/>
    <cellStyle name="Saída 6 3 3 4 2 3" xfId="42893"/>
    <cellStyle name="Saída 6 3 3 4 3" xfId="22469"/>
    <cellStyle name="Saída 6 3 3 4 3 2" xfId="51648"/>
    <cellStyle name="Saída 6 3 3 4 4" xfId="33719"/>
    <cellStyle name="Saída 6 3 3 5" xfId="9872"/>
    <cellStyle name="Saída 6 3 3 5 2" xfId="17671"/>
    <cellStyle name="Saída 6 3 3 5 2 2" xfId="29298"/>
    <cellStyle name="Saída 6 3 3 5 2 2 2" xfId="58477"/>
    <cellStyle name="Saída 6 3 3 5 2 3" xfId="46852"/>
    <cellStyle name="Saída 6 3 3 5 3" xfId="24870"/>
    <cellStyle name="Saída 6 3 3 5 3 2" xfId="54049"/>
    <cellStyle name="Saída 6 3 3 5 4" xfId="39055"/>
    <cellStyle name="Saída 6 3 3 6" xfId="11210"/>
    <cellStyle name="Saída 6 3 3 6 2" xfId="25454"/>
    <cellStyle name="Saída 6 3 3 6 2 2" xfId="54633"/>
    <cellStyle name="Saída 6 3 3 6 3" xfId="40391"/>
    <cellStyle name="Saída 6 3 3 7" xfId="21026"/>
    <cellStyle name="Saída 6 3 3 7 2" xfId="50205"/>
    <cellStyle name="Saída 6 3 3 8" xfId="30233"/>
    <cellStyle name="Saída 6 3 4" xfId="1193"/>
    <cellStyle name="Saída 6 3 4 2" xfId="2097"/>
    <cellStyle name="Saída 6 3 4 2 2" xfId="3897"/>
    <cellStyle name="Saída 6 3 4 2 2 2" xfId="6813"/>
    <cellStyle name="Saída 6 3 4 2 2 2 2" xfId="15483"/>
    <cellStyle name="Saída 6 3 4 2 2 2 2 2" xfId="28040"/>
    <cellStyle name="Saída 6 3 4 2 2 2 2 2 2" xfId="57219"/>
    <cellStyle name="Saída 6 3 4 2 2 2 2 3" xfId="44664"/>
    <cellStyle name="Saída 6 3 4 2 2 2 3" xfId="23612"/>
    <cellStyle name="Saída 6 3 4 2 2 2 3 2" xfId="52791"/>
    <cellStyle name="Saída 6 3 4 2 2 2 4" xfId="35996"/>
    <cellStyle name="Saída 6 3 4 2 2 3" xfId="7988"/>
    <cellStyle name="Saída 6 3 4 2 2 3 2" xfId="16318"/>
    <cellStyle name="Saída 6 3 4 2 2 3 2 2" xfId="28552"/>
    <cellStyle name="Saída 6 3 4 2 2 3 2 2 2" xfId="57731"/>
    <cellStyle name="Saída 6 3 4 2 2 3 2 3" xfId="45499"/>
    <cellStyle name="Saída 6 3 4 2 2 3 3" xfId="24124"/>
    <cellStyle name="Saída 6 3 4 2 2 3 3 2" xfId="53303"/>
    <cellStyle name="Saída 6 3 4 2 2 3 4" xfId="37171"/>
    <cellStyle name="Saída 6 3 4 2 2 4" xfId="13225"/>
    <cellStyle name="Saída 6 3 4 2 2 4 2" xfId="26600"/>
    <cellStyle name="Saída 6 3 4 2 2 4 2 2" xfId="55779"/>
    <cellStyle name="Saída 6 3 4 2 2 4 3" xfId="42406"/>
    <cellStyle name="Saída 6 3 4 2 2 5" xfId="22172"/>
    <cellStyle name="Saída 6 3 4 2 2 5 2" xfId="51351"/>
    <cellStyle name="Saída 6 3 4 2 2 6" xfId="33080"/>
    <cellStyle name="Saída 6 3 4 2 3" xfId="5373"/>
    <cellStyle name="Saída 6 3 4 2 3 2" xfId="14361"/>
    <cellStyle name="Saída 6 3 4 2 3 2 2" xfId="27320"/>
    <cellStyle name="Saída 6 3 4 2 3 2 2 2" xfId="56499"/>
    <cellStyle name="Saída 6 3 4 2 3 2 3" xfId="43542"/>
    <cellStyle name="Saída 6 3 4 2 3 3" xfId="22892"/>
    <cellStyle name="Saída 6 3 4 2 3 3 2" xfId="52071"/>
    <cellStyle name="Saída 6 3 4 2 3 4" xfId="34556"/>
    <cellStyle name="Saída 6 3 4 2 4" xfId="9706"/>
    <cellStyle name="Saída 6 3 4 2 4 2" xfId="17548"/>
    <cellStyle name="Saída 6 3 4 2 4 2 2" xfId="29232"/>
    <cellStyle name="Saída 6 3 4 2 4 2 2 2" xfId="58411"/>
    <cellStyle name="Saída 6 3 4 2 4 2 3" xfId="46729"/>
    <cellStyle name="Saída 6 3 4 2 4 3" xfId="24804"/>
    <cellStyle name="Saída 6 3 4 2 4 3 2" xfId="53983"/>
    <cellStyle name="Saída 6 3 4 2 4 4" xfId="38889"/>
    <cellStyle name="Saída 6 3 4 2 5" xfId="11951"/>
    <cellStyle name="Saída 6 3 4 2 5 2" xfId="25880"/>
    <cellStyle name="Saída 6 3 4 2 5 2 2" xfId="55059"/>
    <cellStyle name="Saída 6 3 4 2 5 3" xfId="41132"/>
    <cellStyle name="Saída 6 3 4 2 6" xfId="21452"/>
    <cellStyle name="Saída 6 3 4 2 6 2" xfId="50631"/>
    <cellStyle name="Saída 6 3 4 2 7" xfId="31280"/>
    <cellStyle name="Saída 6 3 4 3" xfId="2997"/>
    <cellStyle name="Saída 6 3 4 3 2" xfId="6093"/>
    <cellStyle name="Saída 6 3 4 3 2 2" xfId="14922"/>
    <cellStyle name="Saída 6 3 4 3 2 2 2" xfId="27680"/>
    <cellStyle name="Saída 6 3 4 3 2 2 2 2" xfId="56859"/>
    <cellStyle name="Saída 6 3 4 3 2 2 3" xfId="44103"/>
    <cellStyle name="Saída 6 3 4 3 2 3" xfId="23252"/>
    <cellStyle name="Saída 6 3 4 3 2 3 2" xfId="52431"/>
    <cellStyle name="Saída 6 3 4 3 2 4" xfId="35276"/>
    <cellStyle name="Saída 6 3 4 3 3" xfId="8312"/>
    <cellStyle name="Saída 6 3 4 3 3 2" xfId="16549"/>
    <cellStyle name="Saída 6 3 4 3 3 2 2" xfId="28679"/>
    <cellStyle name="Saída 6 3 4 3 3 2 2 2" xfId="57858"/>
    <cellStyle name="Saída 6 3 4 3 3 2 3" xfId="45730"/>
    <cellStyle name="Saída 6 3 4 3 3 3" xfId="24251"/>
    <cellStyle name="Saída 6 3 4 3 3 3 2" xfId="53430"/>
    <cellStyle name="Saída 6 3 4 3 3 4" xfId="37495"/>
    <cellStyle name="Saída 6 3 4 3 4" xfId="12586"/>
    <cellStyle name="Saída 6 3 4 3 4 2" xfId="26240"/>
    <cellStyle name="Saída 6 3 4 3 4 2 2" xfId="55419"/>
    <cellStyle name="Saída 6 3 4 3 4 3" xfId="41767"/>
    <cellStyle name="Saída 6 3 4 3 5" xfId="21812"/>
    <cellStyle name="Saída 6 3 4 3 5 2" xfId="50991"/>
    <cellStyle name="Saída 6 3 4 3 6" xfId="32180"/>
    <cellStyle name="Saída 6 3 4 4" xfId="4653"/>
    <cellStyle name="Saída 6 3 4 4 2" xfId="13802"/>
    <cellStyle name="Saída 6 3 4 4 2 2" xfId="26960"/>
    <cellStyle name="Saída 6 3 4 4 2 2 2" xfId="56139"/>
    <cellStyle name="Saída 6 3 4 4 2 3" xfId="42983"/>
    <cellStyle name="Saída 6 3 4 4 3" xfId="22532"/>
    <cellStyle name="Saída 6 3 4 4 3 2" xfId="51711"/>
    <cellStyle name="Saída 6 3 4 4 4" xfId="33836"/>
    <cellStyle name="Saída 6 3 4 5" xfId="7685"/>
    <cellStyle name="Saída 6 3 4 5 2" xfId="16107"/>
    <cellStyle name="Saída 6 3 4 5 2 2" xfId="28434"/>
    <cellStyle name="Saída 6 3 4 5 2 2 2" xfId="57613"/>
    <cellStyle name="Saída 6 3 4 5 2 3" xfId="45288"/>
    <cellStyle name="Saída 6 3 4 5 3" xfId="24006"/>
    <cellStyle name="Saída 6 3 4 5 3 2" xfId="53185"/>
    <cellStyle name="Saída 6 3 4 5 4" xfId="36868"/>
    <cellStyle name="Saída 6 3 4 6" xfId="11320"/>
    <cellStyle name="Saída 6 3 4 6 2" xfId="25520"/>
    <cellStyle name="Saída 6 3 4 6 2 2" xfId="54699"/>
    <cellStyle name="Saída 6 3 4 6 3" xfId="40501"/>
    <cellStyle name="Saída 6 3 4 7" xfId="21092"/>
    <cellStyle name="Saída 6 3 4 7 2" xfId="50271"/>
    <cellStyle name="Saída 6 3 4 8" xfId="30380"/>
    <cellStyle name="Saída 6 3 5" xfId="1339"/>
    <cellStyle name="Saída 6 3 5 2" xfId="2241"/>
    <cellStyle name="Saída 6 3 5 2 2" xfId="4041"/>
    <cellStyle name="Saída 6 3 5 2 2 2" xfId="6930"/>
    <cellStyle name="Saída 6 3 5 2 2 2 2" xfId="15573"/>
    <cellStyle name="Saída 6 3 5 2 2 2 2 2" xfId="28103"/>
    <cellStyle name="Saída 6 3 5 2 2 2 2 2 2" xfId="57282"/>
    <cellStyle name="Saída 6 3 5 2 2 2 2 3" xfId="44754"/>
    <cellStyle name="Saída 6 3 5 2 2 2 3" xfId="23675"/>
    <cellStyle name="Saída 6 3 5 2 2 2 3 2" xfId="52854"/>
    <cellStyle name="Saída 6 3 5 2 2 2 4" xfId="36113"/>
    <cellStyle name="Saída 6 3 5 2 2 3" xfId="7039"/>
    <cellStyle name="Saída 6 3 5 2 2 3 2" xfId="15656"/>
    <cellStyle name="Saída 6 3 5 2 2 3 2 2" xfId="28165"/>
    <cellStyle name="Saída 6 3 5 2 2 3 2 2 2" xfId="57344"/>
    <cellStyle name="Saída 6 3 5 2 2 3 2 3" xfId="44837"/>
    <cellStyle name="Saída 6 3 5 2 2 3 3" xfId="23737"/>
    <cellStyle name="Saída 6 3 5 2 2 3 3 2" xfId="52916"/>
    <cellStyle name="Saída 6 3 5 2 2 3 4" xfId="36222"/>
    <cellStyle name="Saída 6 3 5 2 2 4" xfId="13327"/>
    <cellStyle name="Saída 6 3 5 2 2 4 2" xfId="26663"/>
    <cellStyle name="Saída 6 3 5 2 2 4 2 2" xfId="55842"/>
    <cellStyle name="Saída 6 3 5 2 2 4 3" xfId="42508"/>
    <cellStyle name="Saída 6 3 5 2 2 5" xfId="22235"/>
    <cellStyle name="Saída 6 3 5 2 2 5 2" xfId="51414"/>
    <cellStyle name="Saída 6 3 5 2 2 6" xfId="33224"/>
    <cellStyle name="Saída 6 3 5 2 3" xfId="5490"/>
    <cellStyle name="Saída 6 3 5 2 3 2" xfId="14453"/>
    <cellStyle name="Saída 6 3 5 2 3 2 2" xfId="27383"/>
    <cellStyle name="Saída 6 3 5 2 3 2 2 2" xfId="56562"/>
    <cellStyle name="Saída 6 3 5 2 3 2 3" xfId="43634"/>
    <cellStyle name="Saída 6 3 5 2 3 3" xfId="22955"/>
    <cellStyle name="Saída 6 3 5 2 3 3 2" xfId="52134"/>
    <cellStyle name="Saída 6 3 5 2 3 4" xfId="34673"/>
    <cellStyle name="Saída 6 3 5 2 4" xfId="7627"/>
    <cellStyle name="Saída 6 3 5 2 4 2" xfId="16066"/>
    <cellStyle name="Saída 6 3 5 2 4 2 2" xfId="28411"/>
    <cellStyle name="Saída 6 3 5 2 4 2 2 2" xfId="57590"/>
    <cellStyle name="Saída 6 3 5 2 4 2 3" xfId="45247"/>
    <cellStyle name="Saída 6 3 5 2 4 3" xfId="23983"/>
    <cellStyle name="Saída 6 3 5 2 4 3 2" xfId="53162"/>
    <cellStyle name="Saída 6 3 5 2 4 4" xfId="36810"/>
    <cellStyle name="Saída 6 3 5 2 5" xfId="12050"/>
    <cellStyle name="Saída 6 3 5 2 5 2" xfId="25943"/>
    <cellStyle name="Saída 6 3 5 2 5 2 2" xfId="55122"/>
    <cellStyle name="Saída 6 3 5 2 5 3" xfId="41231"/>
    <cellStyle name="Saída 6 3 5 2 6" xfId="21515"/>
    <cellStyle name="Saída 6 3 5 2 6 2" xfId="50694"/>
    <cellStyle name="Saída 6 3 5 2 7" xfId="31424"/>
    <cellStyle name="Saída 6 3 5 3" xfId="3141"/>
    <cellStyle name="Saída 6 3 5 3 2" xfId="6210"/>
    <cellStyle name="Saída 6 3 5 3 2 2" xfId="15013"/>
    <cellStyle name="Saída 6 3 5 3 2 2 2" xfId="27743"/>
    <cellStyle name="Saída 6 3 5 3 2 2 2 2" xfId="56922"/>
    <cellStyle name="Saída 6 3 5 3 2 2 3" xfId="44194"/>
    <cellStyle name="Saída 6 3 5 3 2 3" xfId="23315"/>
    <cellStyle name="Saída 6 3 5 3 2 3 2" xfId="52494"/>
    <cellStyle name="Saída 6 3 5 3 2 4" xfId="35393"/>
    <cellStyle name="Saída 6 3 5 3 3" xfId="7228"/>
    <cellStyle name="Saída 6 3 5 3 3 2" xfId="15790"/>
    <cellStyle name="Saída 6 3 5 3 3 2 2" xfId="28249"/>
    <cellStyle name="Saída 6 3 5 3 3 2 2 2" xfId="57428"/>
    <cellStyle name="Saída 6 3 5 3 3 2 3" xfId="44971"/>
    <cellStyle name="Saída 6 3 5 3 3 3" xfId="23821"/>
    <cellStyle name="Saída 6 3 5 3 3 3 2" xfId="53000"/>
    <cellStyle name="Saída 6 3 5 3 3 4" xfId="36411"/>
    <cellStyle name="Saída 6 3 5 3 4" xfId="12688"/>
    <cellStyle name="Saída 6 3 5 3 4 2" xfId="26303"/>
    <cellStyle name="Saída 6 3 5 3 4 2 2" xfId="55482"/>
    <cellStyle name="Saída 6 3 5 3 4 3" xfId="41869"/>
    <cellStyle name="Saída 6 3 5 3 5" xfId="21875"/>
    <cellStyle name="Saída 6 3 5 3 5 2" xfId="51054"/>
    <cellStyle name="Saída 6 3 5 3 6" xfId="32324"/>
    <cellStyle name="Saída 6 3 5 4" xfId="4770"/>
    <cellStyle name="Saída 6 3 5 4 2" xfId="13890"/>
    <cellStyle name="Saída 6 3 5 4 2 2" xfId="27023"/>
    <cellStyle name="Saída 6 3 5 4 2 2 2" xfId="56202"/>
    <cellStyle name="Saída 6 3 5 4 2 3" xfId="43071"/>
    <cellStyle name="Saída 6 3 5 4 3" xfId="22595"/>
    <cellStyle name="Saída 6 3 5 4 3 2" xfId="51774"/>
    <cellStyle name="Saída 6 3 5 4 4" xfId="33953"/>
    <cellStyle name="Saída 6 3 5 5" xfId="7802"/>
    <cellStyle name="Saída 6 3 5 5 2" xfId="16185"/>
    <cellStyle name="Saída 6 3 5 5 2 2" xfId="28478"/>
    <cellStyle name="Saída 6 3 5 5 2 2 2" xfId="57657"/>
    <cellStyle name="Saída 6 3 5 5 2 3" xfId="45366"/>
    <cellStyle name="Saída 6 3 5 5 3" xfId="24050"/>
    <cellStyle name="Saída 6 3 5 5 3 2" xfId="53229"/>
    <cellStyle name="Saída 6 3 5 5 4" xfId="36985"/>
    <cellStyle name="Saída 6 3 5 6" xfId="11419"/>
    <cellStyle name="Saída 6 3 5 6 2" xfId="25583"/>
    <cellStyle name="Saída 6 3 5 6 2 2" xfId="54762"/>
    <cellStyle name="Saída 6 3 5 6 3" xfId="40600"/>
    <cellStyle name="Saída 6 3 5 7" xfId="21155"/>
    <cellStyle name="Saída 6 3 5 7 2" xfId="50334"/>
    <cellStyle name="Saída 6 3 5 8" xfId="30524"/>
    <cellStyle name="Saída 6 3 6" xfId="1521"/>
    <cellStyle name="Saída 6 3 6 2" xfId="3321"/>
    <cellStyle name="Saída 6 3 6 2 2" xfId="6354"/>
    <cellStyle name="Saída 6 3 6 2 2 2" xfId="15116"/>
    <cellStyle name="Saída 6 3 6 2 2 2 2" xfId="27815"/>
    <cellStyle name="Saída 6 3 6 2 2 2 2 2" xfId="56994"/>
    <cellStyle name="Saída 6 3 6 2 2 2 3" xfId="44297"/>
    <cellStyle name="Saída 6 3 6 2 2 3" xfId="23387"/>
    <cellStyle name="Saída 6 3 6 2 2 3 2" xfId="52566"/>
    <cellStyle name="Saída 6 3 6 2 2 4" xfId="35537"/>
    <cellStyle name="Saída 6 3 6 2 3" xfId="7908"/>
    <cellStyle name="Saída 6 3 6 2 3 2" xfId="16258"/>
    <cellStyle name="Saída 6 3 6 2 3 2 2" xfId="28520"/>
    <cellStyle name="Saída 6 3 6 2 3 2 2 2" xfId="57699"/>
    <cellStyle name="Saída 6 3 6 2 3 2 3" xfId="45439"/>
    <cellStyle name="Saída 6 3 6 2 3 3" xfId="24092"/>
    <cellStyle name="Saída 6 3 6 2 3 3 2" xfId="53271"/>
    <cellStyle name="Saída 6 3 6 2 3 4" xfId="37091"/>
    <cellStyle name="Saída 6 3 6 2 4" xfId="12812"/>
    <cellStyle name="Saída 6 3 6 2 4 2" xfId="26375"/>
    <cellStyle name="Saída 6 3 6 2 4 2 2" xfId="55554"/>
    <cellStyle name="Saída 6 3 6 2 4 3" xfId="41993"/>
    <cellStyle name="Saída 6 3 6 2 5" xfId="21947"/>
    <cellStyle name="Saída 6 3 6 2 5 2" xfId="51126"/>
    <cellStyle name="Saída 6 3 6 2 6" xfId="32504"/>
    <cellStyle name="Saída 6 3 6 3" xfId="4914"/>
    <cellStyle name="Saída 6 3 6 3 2" xfId="13995"/>
    <cellStyle name="Saída 6 3 6 3 2 2" xfId="27095"/>
    <cellStyle name="Saída 6 3 6 3 2 2 2" xfId="56274"/>
    <cellStyle name="Saída 6 3 6 3 2 3" xfId="43176"/>
    <cellStyle name="Saída 6 3 6 3 3" xfId="22667"/>
    <cellStyle name="Saída 6 3 6 3 3 2" xfId="51846"/>
    <cellStyle name="Saída 6 3 6 3 4" xfId="34097"/>
    <cellStyle name="Saída 6 3 6 4" xfId="7846"/>
    <cellStyle name="Saída 6 3 6 4 2" xfId="16215"/>
    <cellStyle name="Saída 6 3 6 4 2 2" xfId="28494"/>
    <cellStyle name="Saída 6 3 6 4 2 2 2" xfId="57673"/>
    <cellStyle name="Saída 6 3 6 4 2 3" xfId="45396"/>
    <cellStyle name="Saída 6 3 6 4 3" xfId="24066"/>
    <cellStyle name="Saída 6 3 6 4 3 2" xfId="53245"/>
    <cellStyle name="Saída 6 3 6 4 4" xfId="37029"/>
    <cellStyle name="Saída 6 3 6 5" xfId="11540"/>
    <cellStyle name="Saída 6 3 6 5 2" xfId="25655"/>
    <cellStyle name="Saída 6 3 6 5 2 2" xfId="54834"/>
    <cellStyle name="Saída 6 3 6 5 3" xfId="40721"/>
    <cellStyle name="Saída 6 3 6 6" xfId="21227"/>
    <cellStyle name="Saída 6 3 6 6 2" xfId="50406"/>
    <cellStyle name="Saída 6 3 6 7" xfId="30704"/>
    <cellStyle name="Saída 6 3 7" xfId="2421"/>
    <cellStyle name="Saída 6 3 7 2" xfId="5634"/>
    <cellStyle name="Saída 6 3 7 2 2" xfId="14562"/>
    <cellStyle name="Saída 6 3 7 2 2 2" xfId="27455"/>
    <cellStyle name="Saída 6 3 7 2 2 2 2" xfId="56634"/>
    <cellStyle name="Saída 6 3 7 2 2 3" xfId="43743"/>
    <cellStyle name="Saída 6 3 7 2 3" xfId="23027"/>
    <cellStyle name="Saída 6 3 7 2 3 2" xfId="52206"/>
    <cellStyle name="Saída 6 3 7 2 4" xfId="34817"/>
    <cellStyle name="Saída 6 3 7 3" xfId="8395"/>
    <cellStyle name="Saída 6 3 7 3 2" xfId="16609"/>
    <cellStyle name="Saída 6 3 7 3 2 2" xfId="28710"/>
    <cellStyle name="Saída 6 3 7 3 2 2 2" xfId="57889"/>
    <cellStyle name="Saída 6 3 7 3 2 3" xfId="45790"/>
    <cellStyle name="Saída 6 3 7 3 3" xfId="24282"/>
    <cellStyle name="Saída 6 3 7 3 3 2" xfId="53461"/>
    <cellStyle name="Saída 6 3 7 3 4" xfId="37578"/>
    <cellStyle name="Saída 6 3 7 4" xfId="12174"/>
    <cellStyle name="Saída 6 3 7 4 2" xfId="26015"/>
    <cellStyle name="Saída 6 3 7 4 2 2" xfId="55194"/>
    <cellStyle name="Saída 6 3 7 4 3" xfId="41355"/>
    <cellStyle name="Saída 6 3 7 5" xfId="21587"/>
    <cellStyle name="Saída 6 3 7 5 2" xfId="50766"/>
    <cellStyle name="Saída 6 3 7 6" xfId="31604"/>
    <cellStyle name="Saída 6 3 8" xfId="4194"/>
    <cellStyle name="Saída 6 3 8 2" xfId="13443"/>
    <cellStyle name="Saída 6 3 8 2 2" xfId="26735"/>
    <cellStyle name="Saída 6 3 8 2 2 2" xfId="55914"/>
    <cellStyle name="Saída 6 3 8 2 3" xfId="42624"/>
    <cellStyle name="Saída 6 3 8 3" xfId="22307"/>
    <cellStyle name="Saída 6 3 8 3 2" xfId="51486"/>
    <cellStyle name="Saída 6 3 8 4" xfId="33377"/>
    <cellStyle name="Saída 6 3 9" xfId="7696"/>
    <cellStyle name="Saída 6 3 9 2" xfId="16114"/>
    <cellStyle name="Saída 6 3 9 2 2" xfId="28439"/>
    <cellStyle name="Saída 6 3 9 2 2 2" xfId="57618"/>
    <cellStyle name="Saída 6 3 9 2 3" xfId="45295"/>
    <cellStyle name="Saída 6 3 9 3" xfId="24011"/>
    <cellStyle name="Saída 6 3 9 3 2" xfId="53190"/>
    <cellStyle name="Saída 6 3 9 4" xfId="36879"/>
    <cellStyle name="Saída 6 4" xfId="719"/>
    <cellStyle name="Saída 6 4 2" xfId="1681"/>
    <cellStyle name="Saída 6 4 2 2" xfId="3481"/>
    <cellStyle name="Saída 6 4 2 2 2" xfId="6487"/>
    <cellStyle name="Saída 6 4 2 2 2 2" xfId="15221"/>
    <cellStyle name="Saída 6 4 2 2 2 2 2" xfId="27858"/>
    <cellStyle name="Saída 6 4 2 2 2 2 2 2" xfId="57037"/>
    <cellStyle name="Saída 6 4 2 2 2 2 3" xfId="44402"/>
    <cellStyle name="Saída 6 4 2 2 2 3" xfId="23430"/>
    <cellStyle name="Saída 6 4 2 2 2 3 2" xfId="52609"/>
    <cellStyle name="Saída 6 4 2 2 2 4" xfId="35670"/>
    <cellStyle name="Saída 6 4 2 2 3" xfId="7906"/>
    <cellStyle name="Saída 6 4 2 2 3 2" xfId="16256"/>
    <cellStyle name="Saída 6 4 2 2 3 2 2" xfId="28519"/>
    <cellStyle name="Saída 6 4 2 2 3 2 2 2" xfId="57698"/>
    <cellStyle name="Saída 6 4 2 2 3 2 3" xfId="45437"/>
    <cellStyle name="Saída 6 4 2 2 3 3" xfId="24091"/>
    <cellStyle name="Saída 6 4 2 2 3 3 2" xfId="53270"/>
    <cellStyle name="Saída 6 4 2 2 3 4" xfId="37089"/>
    <cellStyle name="Saída 6 4 2 2 4" xfId="12925"/>
    <cellStyle name="Saída 6 4 2 2 4 2" xfId="26418"/>
    <cellStyle name="Saída 6 4 2 2 4 2 2" xfId="55597"/>
    <cellStyle name="Saída 6 4 2 2 4 3" xfId="42106"/>
    <cellStyle name="Saída 6 4 2 2 5" xfId="21990"/>
    <cellStyle name="Saída 6 4 2 2 5 2" xfId="51169"/>
    <cellStyle name="Saída 6 4 2 2 6" xfId="32664"/>
    <cellStyle name="Saída 6 4 2 3" xfId="5047"/>
    <cellStyle name="Saída 6 4 2 3 2" xfId="14097"/>
    <cellStyle name="Saída 6 4 2 3 2 2" xfId="27138"/>
    <cellStyle name="Saída 6 4 2 3 2 2 2" xfId="56317"/>
    <cellStyle name="Saída 6 4 2 3 2 3" xfId="43278"/>
    <cellStyle name="Saída 6 4 2 3 3" xfId="22710"/>
    <cellStyle name="Saída 6 4 2 3 3 2" xfId="51889"/>
    <cellStyle name="Saída 6 4 2 3 4" xfId="34230"/>
    <cellStyle name="Saída 6 4 2 4" xfId="7844"/>
    <cellStyle name="Saída 6 4 2 4 2" xfId="16214"/>
    <cellStyle name="Saída 6 4 2 4 2 2" xfId="28493"/>
    <cellStyle name="Saída 6 4 2 4 2 2 2" xfId="57672"/>
    <cellStyle name="Saída 6 4 2 4 2 3" xfId="45395"/>
    <cellStyle name="Saída 6 4 2 4 3" xfId="24065"/>
    <cellStyle name="Saída 6 4 2 4 3 2" xfId="53244"/>
    <cellStyle name="Saída 6 4 2 4 4" xfId="37027"/>
    <cellStyle name="Saída 6 4 2 5" xfId="11652"/>
    <cellStyle name="Saída 6 4 2 5 2" xfId="25698"/>
    <cellStyle name="Saída 6 4 2 5 2 2" xfId="54877"/>
    <cellStyle name="Saída 6 4 2 5 3" xfId="40833"/>
    <cellStyle name="Saída 6 4 2 6" xfId="21270"/>
    <cellStyle name="Saída 6 4 2 6 2" xfId="50449"/>
    <cellStyle name="Saída 6 4 2 7" xfId="30864"/>
    <cellStyle name="Saída 6 4 3" xfId="2581"/>
    <cellStyle name="Saída 6 4 3 2" xfId="5767"/>
    <cellStyle name="Saída 6 4 3 2 2" xfId="14662"/>
    <cellStyle name="Saída 6 4 3 2 2 2" xfId="27498"/>
    <cellStyle name="Saída 6 4 3 2 2 2 2" xfId="56677"/>
    <cellStyle name="Saída 6 4 3 2 2 3" xfId="43843"/>
    <cellStyle name="Saída 6 4 3 2 3" xfId="23070"/>
    <cellStyle name="Saída 6 4 3 2 3 2" xfId="52249"/>
    <cellStyle name="Saída 6 4 3 2 4" xfId="34950"/>
    <cellStyle name="Saída 6 4 3 3" xfId="8397"/>
    <cellStyle name="Saída 6 4 3 3 2" xfId="16610"/>
    <cellStyle name="Saída 6 4 3 3 2 2" xfId="28711"/>
    <cellStyle name="Saída 6 4 3 3 2 2 2" xfId="57890"/>
    <cellStyle name="Saída 6 4 3 3 2 3" xfId="45791"/>
    <cellStyle name="Saída 6 4 3 3 3" xfId="24283"/>
    <cellStyle name="Saída 6 4 3 3 3 2" xfId="53462"/>
    <cellStyle name="Saída 6 4 3 3 4" xfId="37580"/>
    <cellStyle name="Saída 6 4 3 4" xfId="12287"/>
    <cellStyle name="Saída 6 4 3 4 2" xfId="26058"/>
    <cellStyle name="Saída 6 4 3 4 2 2" xfId="55237"/>
    <cellStyle name="Saída 6 4 3 4 3" xfId="41468"/>
    <cellStyle name="Saída 6 4 3 5" xfId="21630"/>
    <cellStyle name="Saída 6 4 3 5 2" xfId="50809"/>
    <cellStyle name="Saída 6 4 3 6" xfId="31764"/>
    <cellStyle name="Saída 6 4 4" xfId="4327"/>
    <cellStyle name="Saída 6 4 4 2" xfId="13541"/>
    <cellStyle name="Saída 6 4 4 2 2" xfId="26778"/>
    <cellStyle name="Saída 6 4 4 2 2 2" xfId="55957"/>
    <cellStyle name="Saída 6 4 4 2 3" xfId="42722"/>
    <cellStyle name="Saída 6 4 4 3" xfId="22350"/>
    <cellStyle name="Saída 6 4 4 3 2" xfId="51529"/>
    <cellStyle name="Saída 6 4 4 4" xfId="33510"/>
    <cellStyle name="Saída 6 4 5" xfId="7366"/>
    <cellStyle name="Saída 6 4 5 2" xfId="15887"/>
    <cellStyle name="Saída 6 4 5 2 2" xfId="28311"/>
    <cellStyle name="Saída 6 4 5 2 2 2" xfId="57490"/>
    <cellStyle name="Saída 6 4 5 2 3" xfId="45068"/>
    <cellStyle name="Saída 6 4 5 3" xfId="23883"/>
    <cellStyle name="Saída 6 4 5 3 2" xfId="53062"/>
    <cellStyle name="Saída 6 4 5 4" xfId="36549"/>
    <cellStyle name="Saída 6 4 6" xfId="10969"/>
    <cellStyle name="Saída 6 4 6 2" xfId="25293"/>
    <cellStyle name="Saída 6 4 6 2 2" xfId="54472"/>
    <cellStyle name="Saída 6 4 6 3" xfId="40150"/>
    <cellStyle name="Saída 6 4 7" xfId="20865"/>
    <cellStyle name="Saída 6 4 7 2" xfId="50044"/>
    <cellStyle name="Saída 6 4 8" xfId="29919"/>
    <cellStyle name="Saída 6 5" xfId="560"/>
    <cellStyle name="Saída 6 5 2" xfId="1580"/>
    <cellStyle name="Saída 6 5 2 2" xfId="3380"/>
    <cellStyle name="Saída 6 5 2 2 2" xfId="6404"/>
    <cellStyle name="Saída 6 5 2 2 2 2" xfId="15159"/>
    <cellStyle name="Saída 6 5 2 2 2 2 2" xfId="27847"/>
    <cellStyle name="Saída 6 5 2 2 2 2 2 2" xfId="57026"/>
    <cellStyle name="Saída 6 5 2 2 2 2 3" xfId="44340"/>
    <cellStyle name="Saída 6 5 2 2 2 3" xfId="23419"/>
    <cellStyle name="Saída 6 5 2 2 2 3 2" xfId="52598"/>
    <cellStyle name="Saída 6 5 2 2 2 4" xfId="35587"/>
    <cellStyle name="Saída 6 5 2 2 3" xfId="9960"/>
    <cellStyle name="Saída 6 5 2 2 3 2" xfId="17735"/>
    <cellStyle name="Saída 6 5 2 2 3 2 2" xfId="29332"/>
    <cellStyle name="Saída 6 5 2 2 3 2 2 2" xfId="58511"/>
    <cellStyle name="Saída 6 5 2 2 3 2 3" xfId="46916"/>
    <cellStyle name="Saída 6 5 2 2 3 3" xfId="24904"/>
    <cellStyle name="Saída 6 5 2 2 3 3 2" xfId="54083"/>
    <cellStyle name="Saída 6 5 2 2 3 4" xfId="39143"/>
    <cellStyle name="Saída 6 5 2 2 4" xfId="12856"/>
    <cellStyle name="Saída 6 5 2 2 4 2" xfId="26407"/>
    <cellStyle name="Saída 6 5 2 2 4 2 2" xfId="55586"/>
    <cellStyle name="Saída 6 5 2 2 4 3" xfId="42037"/>
    <cellStyle name="Saída 6 5 2 2 5" xfId="21979"/>
    <cellStyle name="Saída 6 5 2 2 5 2" xfId="51158"/>
    <cellStyle name="Saída 6 5 2 2 6" xfId="32563"/>
    <cellStyle name="Saída 6 5 2 3" xfId="4964"/>
    <cellStyle name="Saída 6 5 2 3 2" xfId="14038"/>
    <cellStyle name="Saída 6 5 2 3 2 2" xfId="27127"/>
    <cellStyle name="Saída 6 5 2 3 2 2 2" xfId="56306"/>
    <cellStyle name="Saída 6 5 2 3 2 3" xfId="43219"/>
    <cellStyle name="Saída 6 5 2 3 3" xfId="22699"/>
    <cellStyle name="Saída 6 5 2 3 3 2" xfId="51878"/>
    <cellStyle name="Saída 6 5 2 3 4" xfId="34147"/>
    <cellStyle name="Saída 6 5 2 4" xfId="9633"/>
    <cellStyle name="Saída 6 5 2 4 2" xfId="17494"/>
    <cellStyle name="Saída 6 5 2 4 2 2" xfId="29203"/>
    <cellStyle name="Saída 6 5 2 4 2 2 2" xfId="58382"/>
    <cellStyle name="Saída 6 5 2 4 2 3" xfId="46675"/>
    <cellStyle name="Saída 6 5 2 4 3" xfId="24775"/>
    <cellStyle name="Saída 6 5 2 4 3 2" xfId="53954"/>
    <cellStyle name="Saída 6 5 2 4 4" xfId="38816"/>
    <cellStyle name="Saída 6 5 2 5" xfId="11585"/>
    <cellStyle name="Saída 6 5 2 5 2" xfId="25687"/>
    <cellStyle name="Saída 6 5 2 5 2 2" xfId="54866"/>
    <cellStyle name="Saída 6 5 2 5 3" xfId="40766"/>
    <cellStyle name="Saída 6 5 2 6" xfId="21259"/>
    <cellStyle name="Saída 6 5 2 6 2" xfId="50438"/>
    <cellStyle name="Saída 6 5 2 7" xfId="30763"/>
    <cellStyle name="Saída 6 5 3" xfId="2480"/>
    <cellStyle name="Saída 6 5 3 2" xfId="5684"/>
    <cellStyle name="Saída 6 5 3 2 2" xfId="14606"/>
    <cellStyle name="Saída 6 5 3 2 2 2" xfId="27487"/>
    <cellStyle name="Saída 6 5 3 2 2 2 2" xfId="56666"/>
    <cellStyle name="Saída 6 5 3 2 2 3" xfId="43787"/>
    <cellStyle name="Saída 6 5 3 2 3" xfId="23059"/>
    <cellStyle name="Saída 6 5 3 2 3 2" xfId="52238"/>
    <cellStyle name="Saída 6 5 3 2 4" xfId="34867"/>
    <cellStyle name="Saída 6 5 3 3" xfId="8202"/>
    <cellStyle name="Saída 6 5 3 3 2" xfId="16469"/>
    <cellStyle name="Saída 6 5 3 3 2 2" xfId="28634"/>
    <cellStyle name="Saída 6 5 3 3 2 2 2" xfId="57813"/>
    <cellStyle name="Saída 6 5 3 3 2 3" xfId="45650"/>
    <cellStyle name="Saída 6 5 3 3 3" xfId="24206"/>
    <cellStyle name="Saída 6 5 3 3 3 2" xfId="53385"/>
    <cellStyle name="Saída 6 5 3 3 4" xfId="37385"/>
    <cellStyle name="Saída 6 5 3 4" xfId="12222"/>
    <cellStyle name="Saída 6 5 3 4 2" xfId="26047"/>
    <cellStyle name="Saída 6 5 3 4 2 2" xfId="55226"/>
    <cellStyle name="Saída 6 5 3 4 3" xfId="41403"/>
    <cellStyle name="Saída 6 5 3 5" xfId="21619"/>
    <cellStyle name="Saída 6 5 3 5 2" xfId="50798"/>
    <cellStyle name="Saída 6 5 3 6" xfId="31663"/>
    <cellStyle name="Saída 6 5 4" xfId="4244"/>
    <cellStyle name="Saída 6 5 4 2" xfId="13487"/>
    <cellStyle name="Saída 6 5 4 2 2" xfId="26767"/>
    <cellStyle name="Saída 6 5 4 2 2 2" xfId="55946"/>
    <cellStyle name="Saída 6 5 4 2 3" xfId="42668"/>
    <cellStyle name="Saída 6 5 4 3" xfId="22339"/>
    <cellStyle name="Saída 6 5 4 3 2" xfId="51518"/>
    <cellStyle name="Saída 6 5 4 4" xfId="33427"/>
    <cellStyle name="Saída 6 5 5" xfId="9034"/>
    <cellStyle name="Saída 6 5 5 2" xfId="17077"/>
    <cellStyle name="Saída 6 5 5 2 2" xfId="28968"/>
    <cellStyle name="Saída 6 5 5 2 2 2" xfId="58147"/>
    <cellStyle name="Saída 6 5 5 2 3" xfId="46258"/>
    <cellStyle name="Saída 6 5 5 3" xfId="24540"/>
    <cellStyle name="Saída 6 5 5 3 2" xfId="53719"/>
    <cellStyle name="Saída 6 5 5 4" xfId="38217"/>
    <cellStyle name="Saída 6 5 6" xfId="10846"/>
    <cellStyle name="Saída 6 5 6 2" xfId="25229"/>
    <cellStyle name="Saída 6 5 6 2 2" xfId="54408"/>
    <cellStyle name="Saída 6 5 6 3" xfId="40027"/>
    <cellStyle name="Saída 6 5 7" xfId="20801"/>
    <cellStyle name="Saída 6 5 7 2" xfId="49980"/>
    <cellStyle name="Saída 6 5 8" xfId="29765"/>
    <cellStyle name="Saída 6 6" xfId="758"/>
    <cellStyle name="Saída 6 6 2" xfId="1699"/>
    <cellStyle name="Saída 6 6 2 2" xfId="3499"/>
    <cellStyle name="Saída 6 6 2 2 2" xfId="6496"/>
    <cellStyle name="Saída 6 6 2 2 2 2" xfId="15230"/>
    <cellStyle name="Saída 6 6 2 2 2 2 2" xfId="27867"/>
    <cellStyle name="Saída 6 6 2 2 2 2 2 2" xfId="57046"/>
    <cellStyle name="Saída 6 6 2 2 2 2 3" xfId="44411"/>
    <cellStyle name="Saída 6 6 2 2 2 3" xfId="23439"/>
    <cellStyle name="Saída 6 6 2 2 2 3 2" xfId="52618"/>
    <cellStyle name="Saída 6 6 2 2 2 4" xfId="35679"/>
    <cellStyle name="Saída 6 6 2 2 3" xfId="10185"/>
    <cellStyle name="Saída 6 6 2 2 3 2" xfId="17891"/>
    <cellStyle name="Saída 6 6 2 2 3 2 2" xfId="29424"/>
    <cellStyle name="Saída 6 6 2 2 3 2 2 2" xfId="58603"/>
    <cellStyle name="Saída 6 6 2 2 3 2 3" xfId="47072"/>
    <cellStyle name="Saída 6 6 2 2 3 3" xfId="24996"/>
    <cellStyle name="Saída 6 6 2 2 3 3 2" xfId="54175"/>
    <cellStyle name="Saída 6 6 2 2 3 4" xfId="39368"/>
    <cellStyle name="Saída 6 6 2 2 4" xfId="12936"/>
    <cellStyle name="Saída 6 6 2 2 4 2" xfId="26427"/>
    <cellStyle name="Saída 6 6 2 2 4 2 2" xfId="55606"/>
    <cellStyle name="Saída 6 6 2 2 4 3" xfId="42117"/>
    <cellStyle name="Saída 6 6 2 2 5" xfId="21999"/>
    <cellStyle name="Saída 6 6 2 2 5 2" xfId="51178"/>
    <cellStyle name="Saída 6 6 2 2 6" xfId="32682"/>
    <cellStyle name="Saída 6 6 2 3" xfId="5056"/>
    <cellStyle name="Saída 6 6 2 3 2" xfId="14106"/>
    <cellStyle name="Saída 6 6 2 3 2 2" xfId="27147"/>
    <cellStyle name="Saída 6 6 2 3 2 2 2" xfId="56326"/>
    <cellStyle name="Saída 6 6 2 3 2 3" xfId="43287"/>
    <cellStyle name="Saída 6 6 2 3 3" xfId="22719"/>
    <cellStyle name="Saída 6 6 2 3 3 2" xfId="51898"/>
    <cellStyle name="Saída 6 6 2 3 4" xfId="34239"/>
    <cellStyle name="Saída 6 6 2 4" xfId="8944"/>
    <cellStyle name="Saída 6 6 2 4 2" xfId="17010"/>
    <cellStyle name="Saída 6 6 2 4 2 2" xfId="28928"/>
    <cellStyle name="Saída 6 6 2 4 2 2 2" xfId="58107"/>
    <cellStyle name="Saída 6 6 2 4 2 3" xfId="46191"/>
    <cellStyle name="Saída 6 6 2 4 3" xfId="24500"/>
    <cellStyle name="Saída 6 6 2 4 3 2" xfId="53679"/>
    <cellStyle name="Saída 6 6 2 4 4" xfId="38127"/>
    <cellStyle name="Saída 6 6 2 5" xfId="11663"/>
    <cellStyle name="Saída 6 6 2 5 2" xfId="25707"/>
    <cellStyle name="Saída 6 6 2 5 2 2" xfId="54886"/>
    <cellStyle name="Saída 6 6 2 5 3" xfId="40844"/>
    <cellStyle name="Saída 6 6 2 6" xfId="21279"/>
    <cellStyle name="Saída 6 6 2 6 2" xfId="50458"/>
    <cellStyle name="Saída 6 6 2 7" xfId="30882"/>
    <cellStyle name="Saída 6 6 3" xfId="2599"/>
    <cellStyle name="Saída 6 6 3 2" xfId="5776"/>
    <cellStyle name="Saída 6 6 3 2 2" xfId="14671"/>
    <cellStyle name="Saída 6 6 3 2 2 2" xfId="27507"/>
    <cellStyle name="Saída 6 6 3 2 2 2 2" xfId="56686"/>
    <cellStyle name="Saída 6 6 3 2 2 3" xfId="43852"/>
    <cellStyle name="Saída 6 6 3 2 3" xfId="23079"/>
    <cellStyle name="Saída 6 6 3 2 3 2" xfId="52258"/>
    <cellStyle name="Saída 6 6 3 2 4" xfId="34959"/>
    <cellStyle name="Saída 6 6 3 3" xfId="10471"/>
    <cellStyle name="Saída 6 6 3 3 2" xfId="18088"/>
    <cellStyle name="Saída 6 6 3 3 2 2" xfId="29532"/>
    <cellStyle name="Saída 6 6 3 3 2 2 2" xfId="58711"/>
    <cellStyle name="Saída 6 6 3 3 2 3" xfId="47269"/>
    <cellStyle name="Saída 6 6 3 3 3" xfId="25104"/>
    <cellStyle name="Saída 6 6 3 3 3 2" xfId="54283"/>
    <cellStyle name="Saída 6 6 3 3 4" xfId="39654"/>
    <cellStyle name="Saída 6 6 3 4" xfId="12298"/>
    <cellStyle name="Saída 6 6 3 4 2" xfId="26067"/>
    <cellStyle name="Saída 6 6 3 4 2 2" xfId="55246"/>
    <cellStyle name="Saída 6 6 3 4 3" xfId="41479"/>
    <cellStyle name="Saída 6 6 3 5" xfId="21639"/>
    <cellStyle name="Saída 6 6 3 5 2" xfId="50818"/>
    <cellStyle name="Saída 6 6 3 6" xfId="31782"/>
    <cellStyle name="Saída 6 6 4" xfId="4336"/>
    <cellStyle name="Saída 6 6 4 2" xfId="13550"/>
    <cellStyle name="Saída 6 6 4 2 2" xfId="26787"/>
    <cellStyle name="Saída 6 6 4 2 2 2" xfId="55966"/>
    <cellStyle name="Saída 6 6 4 2 3" xfId="42731"/>
    <cellStyle name="Saída 6 6 4 3" xfId="22359"/>
    <cellStyle name="Saída 6 6 4 3 2" xfId="51538"/>
    <cellStyle name="Saída 6 6 4 4" xfId="33519"/>
    <cellStyle name="Saída 6 6 5" xfId="7348"/>
    <cellStyle name="Saída 6 6 5 2" xfId="15875"/>
    <cellStyle name="Saída 6 6 5 2 2" xfId="28302"/>
    <cellStyle name="Saída 6 6 5 2 2 2" xfId="57481"/>
    <cellStyle name="Saída 6 6 5 2 3" xfId="45056"/>
    <cellStyle name="Saída 6 6 5 3" xfId="23874"/>
    <cellStyle name="Saída 6 6 5 3 2" xfId="53053"/>
    <cellStyle name="Saída 6 6 5 4" xfId="36531"/>
    <cellStyle name="Saída 6 6 6" xfId="11000"/>
    <cellStyle name="Saída 6 6 6 2" xfId="25321"/>
    <cellStyle name="Saída 6 6 6 2 2" xfId="54500"/>
    <cellStyle name="Saída 6 6 6 3" xfId="40181"/>
    <cellStyle name="Saída 6 6 7" xfId="20893"/>
    <cellStyle name="Saída 6 6 7 2" xfId="50072"/>
    <cellStyle name="Saída 6 6 8" xfId="29956"/>
    <cellStyle name="Saída 6 7" xfId="950"/>
    <cellStyle name="Saída 6 7 2" xfId="1863"/>
    <cellStyle name="Saída 6 7 2 2" xfId="3663"/>
    <cellStyle name="Saída 6 7 2 2 2" xfId="6624"/>
    <cellStyle name="Saída 6 7 2 2 2 2" xfId="15336"/>
    <cellStyle name="Saída 6 7 2 2 2 2 2" xfId="27941"/>
    <cellStyle name="Saída 6 7 2 2 2 2 2 2" xfId="57120"/>
    <cellStyle name="Saída 6 7 2 2 2 2 3" xfId="44517"/>
    <cellStyle name="Saída 6 7 2 2 2 3" xfId="23513"/>
    <cellStyle name="Saída 6 7 2 2 2 3 2" xfId="52692"/>
    <cellStyle name="Saída 6 7 2 2 2 4" xfId="35807"/>
    <cellStyle name="Saída 6 7 2 2 3" xfId="10045"/>
    <cellStyle name="Saída 6 7 2 2 3 2" xfId="17792"/>
    <cellStyle name="Saída 6 7 2 2 3 2 2" xfId="29366"/>
    <cellStyle name="Saída 6 7 2 2 3 2 2 2" xfId="58545"/>
    <cellStyle name="Saída 6 7 2 2 3 2 3" xfId="46973"/>
    <cellStyle name="Saída 6 7 2 2 3 3" xfId="24938"/>
    <cellStyle name="Saída 6 7 2 2 3 3 2" xfId="54117"/>
    <cellStyle name="Saída 6 7 2 2 3 4" xfId="39228"/>
    <cellStyle name="Saída 6 7 2 2 4" xfId="13057"/>
    <cellStyle name="Saída 6 7 2 2 4 2" xfId="26501"/>
    <cellStyle name="Saída 6 7 2 2 4 2 2" xfId="55680"/>
    <cellStyle name="Saída 6 7 2 2 4 3" xfId="42238"/>
    <cellStyle name="Saída 6 7 2 2 5" xfId="22073"/>
    <cellStyle name="Saída 6 7 2 2 5 2" xfId="51252"/>
    <cellStyle name="Saída 6 7 2 2 6" xfId="32846"/>
    <cellStyle name="Saída 6 7 2 3" xfId="5184"/>
    <cellStyle name="Saída 6 7 2 3 2" xfId="14214"/>
    <cellStyle name="Saída 6 7 2 3 2 2" xfId="27221"/>
    <cellStyle name="Saída 6 7 2 3 2 2 2" xfId="56400"/>
    <cellStyle name="Saída 6 7 2 3 2 3" xfId="43395"/>
    <cellStyle name="Saída 6 7 2 3 3" xfId="22793"/>
    <cellStyle name="Saída 6 7 2 3 3 2" xfId="51972"/>
    <cellStyle name="Saída 6 7 2 3 4" xfId="34367"/>
    <cellStyle name="Saída 6 7 2 4" xfId="8822"/>
    <cellStyle name="Saída 6 7 2 4 2" xfId="16917"/>
    <cellStyle name="Saída 6 7 2 4 2 2" xfId="28880"/>
    <cellStyle name="Saída 6 7 2 4 2 2 2" xfId="58059"/>
    <cellStyle name="Saída 6 7 2 4 2 3" xfId="46098"/>
    <cellStyle name="Saída 6 7 2 4 3" xfId="24452"/>
    <cellStyle name="Saída 6 7 2 4 3 2" xfId="53631"/>
    <cellStyle name="Saída 6 7 2 4 4" xfId="38005"/>
    <cellStyle name="Saída 6 7 2 5" xfId="11782"/>
    <cellStyle name="Saída 6 7 2 5 2" xfId="25781"/>
    <cellStyle name="Saída 6 7 2 5 2 2" xfId="54960"/>
    <cellStyle name="Saída 6 7 2 5 3" xfId="40963"/>
    <cellStyle name="Saída 6 7 2 6" xfId="21353"/>
    <cellStyle name="Saída 6 7 2 6 2" xfId="50532"/>
    <cellStyle name="Saída 6 7 2 7" xfId="31046"/>
    <cellStyle name="Saída 6 7 3" xfId="2763"/>
    <cellStyle name="Saída 6 7 3 2" xfId="5904"/>
    <cellStyle name="Saída 6 7 3 2 2" xfId="14779"/>
    <cellStyle name="Saída 6 7 3 2 2 2" xfId="27581"/>
    <cellStyle name="Saída 6 7 3 2 2 2 2" xfId="56760"/>
    <cellStyle name="Saída 6 7 3 2 2 3" xfId="43960"/>
    <cellStyle name="Saída 6 7 3 2 3" xfId="23153"/>
    <cellStyle name="Saída 6 7 3 2 3 2" xfId="52332"/>
    <cellStyle name="Saída 6 7 3 2 4" xfId="35087"/>
    <cellStyle name="Saída 6 7 3 3" xfId="10349"/>
    <cellStyle name="Saída 6 7 3 3 2" xfId="18002"/>
    <cellStyle name="Saída 6 7 3 3 2 2" xfId="29486"/>
    <cellStyle name="Saída 6 7 3 3 2 2 2" xfId="58665"/>
    <cellStyle name="Saída 6 7 3 3 2 3" xfId="47183"/>
    <cellStyle name="Saída 6 7 3 3 3" xfId="25058"/>
    <cellStyle name="Saída 6 7 3 3 3 2" xfId="54237"/>
    <cellStyle name="Saída 6 7 3 3 4" xfId="39532"/>
    <cellStyle name="Saída 6 7 3 4" xfId="12422"/>
    <cellStyle name="Saída 6 7 3 4 2" xfId="26141"/>
    <cellStyle name="Saída 6 7 3 4 2 2" xfId="55320"/>
    <cellStyle name="Saída 6 7 3 4 3" xfId="41603"/>
    <cellStyle name="Saída 6 7 3 5" xfId="21713"/>
    <cellStyle name="Saída 6 7 3 5 2" xfId="50892"/>
    <cellStyle name="Saída 6 7 3 6" xfId="31946"/>
    <cellStyle name="Saída 6 7 4" xfId="4464"/>
    <cellStyle name="Saída 6 7 4 2" xfId="13657"/>
    <cellStyle name="Saída 6 7 4 2 2" xfId="26861"/>
    <cellStyle name="Saída 6 7 4 2 2 2" xfId="56040"/>
    <cellStyle name="Saída 6 7 4 2 3" xfId="42838"/>
    <cellStyle name="Saída 6 7 4 3" xfId="22433"/>
    <cellStyle name="Saída 6 7 4 3 2" xfId="51612"/>
    <cellStyle name="Saída 6 7 4 4" xfId="33647"/>
    <cellStyle name="Saída 6 7 5" xfId="9270"/>
    <cellStyle name="Saída 6 7 5 2" xfId="17245"/>
    <cellStyle name="Saída 6 7 5 2 2" xfId="29059"/>
    <cellStyle name="Saída 6 7 5 2 2 2" xfId="58238"/>
    <cellStyle name="Saída 6 7 5 2 3" xfId="46426"/>
    <cellStyle name="Saída 6 7 5 3" xfId="24631"/>
    <cellStyle name="Saída 6 7 5 3 2" xfId="53810"/>
    <cellStyle name="Saída 6 7 5 4" xfId="38453"/>
    <cellStyle name="Saída 6 7 6" xfId="11145"/>
    <cellStyle name="Saída 6 7 6 2" xfId="25416"/>
    <cellStyle name="Saída 6 7 6 2 2" xfId="54595"/>
    <cellStyle name="Saída 6 7 6 3" xfId="40326"/>
    <cellStyle name="Saída 6 7 7" xfId="20988"/>
    <cellStyle name="Saída 6 7 7 2" xfId="50167"/>
    <cellStyle name="Saída 6 7 8" xfId="30141"/>
    <cellStyle name="Saída 6 8" xfId="1431"/>
    <cellStyle name="Saída 6 8 2" xfId="3231"/>
    <cellStyle name="Saída 6 8 2 2" xfId="6282"/>
    <cellStyle name="Saída 6 8 2 2 2" xfId="15065"/>
    <cellStyle name="Saída 6 8 2 2 2 2" xfId="27779"/>
    <cellStyle name="Saída 6 8 2 2 2 2 2" xfId="56958"/>
    <cellStyle name="Saída 6 8 2 2 2 3" xfId="44246"/>
    <cellStyle name="Saída 6 8 2 2 3" xfId="23351"/>
    <cellStyle name="Saída 6 8 2 2 3 2" xfId="52530"/>
    <cellStyle name="Saída 6 8 2 2 4" xfId="35465"/>
    <cellStyle name="Saída 6 8 2 3" xfId="10464"/>
    <cellStyle name="Saída 6 8 2 3 2" xfId="18081"/>
    <cellStyle name="Saída 6 8 2 3 2 2" xfId="29528"/>
    <cellStyle name="Saída 6 8 2 3 2 2 2" xfId="58707"/>
    <cellStyle name="Saída 6 8 2 3 2 3" xfId="47262"/>
    <cellStyle name="Saída 6 8 2 3 3" xfId="25100"/>
    <cellStyle name="Saída 6 8 2 3 3 2" xfId="54279"/>
    <cellStyle name="Saída 6 8 2 3 4" xfId="39647"/>
    <cellStyle name="Saída 6 8 2 4" xfId="12750"/>
    <cellStyle name="Saída 6 8 2 4 2" xfId="26339"/>
    <cellStyle name="Saída 6 8 2 4 2 2" xfId="55518"/>
    <cellStyle name="Saída 6 8 2 4 3" xfId="41931"/>
    <cellStyle name="Saída 6 8 2 5" xfId="21911"/>
    <cellStyle name="Saída 6 8 2 5 2" xfId="51090"/>
    <cellStyle name="Saída 6 8 2 6" xfId="32414"/>
    <cellStyle name="Saída 6 8 3" xfId="4842"/>
    <cellStyle name="Saída 6 8 3 2" xfId="13941"/>
    <cellStyle name="Saída 6 8 3 2 2" xfId="27059"/>
    <cellStyle name="Saída 6 8 3 2 2 2" xfId="56238"/>
    <cellStyle name="Saída 6 8 3 2 3" xfId="43122"/>
    <cellStyle name="Saída 6 8 3 3" xfId="22631"/>
    <cellStyle name="Saída 6 8 3 3 2" xfId="51810"/>
    <cellStyle name="Saída 6 8 3 4" xfId="34025"/>
    <cellStyle name="Saída 6 8 4" xfId="10030"/>
    <cellStyle name="Saída 6 8 4 2" xfId="17783"/>
    <cellStyle name="Saída 6 8 4 2 2" xfId="29359"/>
    <cellStyle name="Saída 6 8 4 2 2 2" xfId="58538"/>
    <cellStyle name="Saída 6 8 4 2 3" xfId="46964"/>
    <cellStyle name="Saída 6 8 4 3" xfId="24931"/>
    <cellStyle name="Saída 6 8 4 3 2" xfId="54110"/>
    <cellStyle name="Saída 6 8 4 4" xfId="39213"/>
    <cellStyle name="Saída 6 8 5" xfId="11479"/>
    <cellStyle name="Saída 6 8 5 2" xfId="25619"/>
    <cellStyle name="Saída 6 8 5 2 2" xfId="54798"/>
    <cellStyle name="Saída 6 8 5 3" xfId="40660"/>
    <cellStyle name="Saída 6 8 6" xfId="21191"/>
    <cellStyle name="Saída 6 8 6 2" xfId="50370"/>
    <cellStyle name="Saída 6 8 7" xfId="30614"/>
    <cellStyle name="Saída 6 9" xfId="2331"/>
    <cellStyle name="Saída 6 9 2" xfId="5562"/>
    <cellStyle name="Saída 6 9 2 2" xfId="14507"/>
    <cellStyle name="Saída 6 9 2 2 2" xfId="27419"/>
    <cellStyle name="Saída 6 9 2 2 2 2" xfId="56598"/>
    <cellStyle name="Saída 6 9 2 2 3" xfId="43688"/>
    <cellStyle name="Saída 6 9 2 3" xfId="22991"/>
    <cellStyle name="Saída 6 9 2 3 2" xfId="52170"/>
    <cellStyle name="Saída 6 9 2 4" xfId="34745"/>
    <cellStyle name="Saída 6 9 3" xfId="7523"/>
    <cellStyle name="Saída 6 9 3 2" xfId="15991"/>
    <cellStyle name="Saída 6 9 3 2 2" xfId="28374"/>
    <cellStyle name="Saída 6 9 3 2 2 2" xfId="57553"/>
    <cellStyle name="Saída 6 9 3 2 3" xfId="45172"/>
    <cellStyle name="Saída 6 9 3 3" xfId="23946"/>
    <cellStyle name="Saída 6 9 3 3 2" xfId="53125"/>
    <cellStyle name="Saída 6 9 3 4" xfId="36706"/>
    <cellStyle name="Saída 6 9 4" xfId="12111"/>
    <cellStyle name="Saída 6 9 4 2" xfId="25979"/>
    <cellStyle name="Saída 6 9 4 2 2" xfId="55158"/>
    <cellStyle name="Saída 6 9 4 3" xfId="41292"/>
    <cellStyle name="Saída 6 9 5" xfId="21551"/>
    <cellStyle name="Saída 6 9 5 2" xfId="50730"/>
    <cellStyle name="Saída 6 9 6" xfId="31514"/>
    <cellStyle name="Saída 7" xfId="346"/>
    <cellStyle name="Saída 7 10" xfId="4123"/>
    <cellStyle name="Saída 7 10 2" xfId="13387"/>
    <cellStyle name="Saída 7 10 2 2" xfId="26700"/>
    <cellStyle name="Saída 7 10 2 2 2" xfId="55879"/>
    <cellStyle name="Saída 7 10 2 3" xfId="42568"/>
    <cellStyle name="Saída 7 10 3" xfId="22272"/>
    <cellStyle name="Saída 7 10 3 2" xfId="51451"/>
    <cellStyle name="Saída 7 10 4" xfId="33306"/>
    <cellStyle name="Saída 7 11" xfId="10734"/>
    <cellStyle name="Saída 7 11 2" xfId="25160"/>
    <cellStyle name="Saída 7 11 2 2" xfId="54339"/>
    <cellStyle name="Saída 7 11 3" xfId="39915"/>
    <cellStyle name="Saída 7 12" xfId="20732"/>
    <cellStyle name="Saída 7 12 2" xfId="49911"/>
    <cellStyle name="Saída 7 13" xfId="58752"/>
    <cellStyle name="Saída 7 14" xfId="29615"/>
    <cellStyle name="Saída 7 2" xfId="454"/>
    <cellStyle name="Saída 7 2 10" xfId="9312"/>
    <cellStyle name="Saída 7 2 10 2" xfId="17273"/>
    <cellStyle name="Saída 7 2 10 2 2" xfId="29072"/>
    <cellStyle name="Saída 7 2 10 2 2 2" xfId="58251"/>
    <cellStyle name="Saída 7 2 10 2 3" xfId="46454"/>
    <cellStyle name="Saída 7 2 10 3" xfId="24644"/>
    <cellStyle name="Saída 7 2 10 3 2" xfId="53823"/>
    <cellStyle name="Saída 7 2 10 4" xfId="38495"/>
    <cellStyle name="Saída 7 2 11" xfId="10768"/>
    <cellStyle name="Saída 7 2 11 2" xfId="25178"/>
    <cellStyle name="Saída 7 2 11 2 2" xfId="54357"/>
    <cellStyle name="Saída 7 2 11 3" xfId="39949"/>
    <cellStyle name="Saída 7 2 12" xfId="20750"/>
    <cellStyle name="Saída 7 2 12 2" xfId="49929"/>
    <cellStyle name="Saída 7 2 13" xfId="58797"/>
    <cellStyle name="Saída 7 2 14" xfId="29660"/>
    <cellStyle name="Saída 7 2 2" xfId="544"/>
    <cellStyle name="Saída 7 2 2 10" xfId="10831"/>
    <cellStyle name="Saída 7 2 2 10 2" xfId="25214"/>
    <cellStyle name="Saída 7 2 2 10 2 2" xfId="54393"/>
    <cellStyle name="Saída 7 2 2 10 3" xfId="40012"/>
    <cellStyle name="Saída 7 2 2 11" xfId="20786"/>
    <cellStyle name="Saída 7 2 2 11 2" xfId="49965"/>
    <cellStyle name="Saída 7 2 2 12" xfId="29750"/>
    <cellStyle name="Saída 7 2 2 2" xfId="897"/>
    <cellStyle name="Saída 7 2 2 2 2" xfId="1835"/>
    <cellStyle name="Saída 7 2 2 2 2 2" xfId="3635"/>
    <cellStyle name="Saída 7 2 2 2 2 2 2" xfId="6605"/>
    <cellStyle name="Saída 7 2 2 2 2 2 2 2" xfId="15317"/>
    <cellStyle name="Saída 7 2 2 2 2 2 2 2 2" xfId="27922"/>
    <cellStyle name="Saída 7 2 2 2 2 2 2 2 2 2" xfId="57101"/>
    <cellStyle name="Saída 7 2 2 2 2 2 2 2 3" xfId="44498"/>
    <cellStyle name="Saída 7 2 2 2 2 2 2 3" xfId="23494"/>
    <cellStyle name="Saída 7 2 2 2 2 2 2 3 2" xfId="52673"/>
    <cellStyle name="Saída 7 2 2 2 2 2 2 4" xfId="35788"/>
    <cellStyle name="Saída 7 2 2 2 2 2 3" xfId="10339"/>
    <cellStyle name="Saída 7 2 2 2 2 2 3 2" xfId="17996"/>
    <cellStyle name="Saída 7 2 2 2 2 2 3 2 2" xfId="29482"/>
    <cellStyle name="Saída 7 2 2 2 2 2 3 2 2 2" xfId="58661"/>
    <cellStyle name="Saída 7 2 2 2 2 2 3 2 3" xfId="47177"/>
    <cellStyle name="Saída 7 2 2 2 2 2 3 3" xfId="25054"/>
    <cellStyle name="Saída 7 2 2 2 2 2 3 3 2" xfId="54233"/>
    <cellStyle name="Saída 7 2 2 2 2 2 3 4" xfId="39522"/>
    <cellStyle name="Saída 7 2 2 2 2 2 4" xfId="13036"/>
    <cellStyle name="Saída 7 2 2 2 2 2 4 2" xfId="26482"/>
    <cellStyle name="Saída 7 2 2 2 2 2 4 2 2" xfId="55661"/>
    <cellStyle name="Saída 7 2 2 2 2 2 4 3" xfId="42217"/>
    <cellStyle name="Saída 7 2 2 2 2 2 5" xfId="22054"/>
    <cellStyle name="Saída 7 2 2 2 2 2 5 2" xfId="51233"/>
    <cellStyle name="Saída 7 2 2 2 2 2 6" xfId="32818"/>
    <cellStyle name="Saída 7 2 2 2 2 3" xfId="5165"/>
    <cellStyle name="Saída 7 2 2 2 2 3 2" xfId="14195"/>
    <cellStyle name="Saída 7 2 2 2 2 3 2 2" xfId="27202"/>
    <cellStyle name="Saída 7 2 2 2 2 3 2 2 2" xfId="56381"/>
    <cellStyle name="Saída 7 2 2 2 2 3 2 3" xfId="43376"/>
    <cellStyle name="Saída 7 2 2 2 2 3 3" xfId="22774"/>
    <cellStyle name="Saída 7 2 2 2 2 3 3 2" xfId="51953"/>
    <cellStyle name="Saída 7 2 2 2 2 3 4" xfId="34348"/>
    <cellStyle name="Saída 7 2 2 2 2 4" xfId="9020"/>
    <cellStyle name="Saída 7 2 2 2 2 4 2" xfId="17070"/>
    <cellStyle name="Saída 7 2 2 2 2 4 2 2" xfId="28964"/>
    <cellStyle name="Saída 7 2 2 2 2 4 2 2 2" xfId="58143"/>
    <cellStyle name="Saída 7 2 2 2 2 4 2 3" xfId="46251"/>
    <cellStyle name="Saída 7 2 2 2 2 4 3" xfId="24536"/>
    <cellStyle name="Saída 7 2 2 2 2 4 3 2" xfId="53715"/>
    <cellStyle name="Saída 7 2 2 2 2 4 4" xfId="38203"/>
    <cellStyle name="Saída 7 2 2 2 2 5" xfId="11760"/>
    <cellStyle name="Saída 7 2 2 2 2 5 2" xfId="25762"/>
    <cellStyle name="Saída 7 2 2 2 2 5 2 2" xfId="54941"/>
    <cellStyle name="Saída 7 2 2 2 2 5 3" xfId="40941"/>
    <cellStyle name="Saída 7 2 2 2 2 6" xfId="21334"/>
    <cellStyle name="Saída 7 2 2 2 2 6 2" xfId="50513"/>
    <cellStyle name="Saída 7 2 2 2 2 7" xfId="31018"/>
    <cellStyle name="Saída 7 2 2 2 3" xfId="2735"/>
    <cellStyle name="Saída 7 2 2 2 3 2" xfId="5885"/>
    <cellStyle name="Saída 7 2 2 2 3 2 2" xfId="14760"/>
    <cellStyle name="Saída 7 2 2 2 3 2 2 2" xfId="27562"/>
    <cellStyle name="Saída 7 2 2 2 3 2 2 2 2" xfId="56741"/>
    <cellStyle name="Saída 7 2 2 2 3 2 2 3" xfId="43941"/>
    <cellStyle name="Saída 7 2 2 2 3 2 3" xfId="23134"/>
    <cellStyle name="Saída 7 2 2 2 3 2 3 2" xfId="52313"/>
    <cellStyle name="Saída 7 2 2 2 3 2 4" xfId="35068"/>
    <cellStyle name="Saída 7 2 2 2 3 3" xfId="7239"/>
    <cellStyle name="Saída 7 2 2 2 3 3 2" xfId="15800"/>
    <cellStyle name="Saída 7 2 2 2 3 3 2 2" xfId="28258"/>
    <cellStyle name="Saída 7 2 2 2 3 3 2 2 2" xfId="57437"/>
    <cellStyle name="Saída 7 2 2 2 3 3 2 3" xfId="44981"/>
    <cellStyle name="Saída 7 2 2 2 3 3 3" xfId="23830"/>
    <cellStyle name="Saída 7 2 2 2 3 3 3 2" xfId="53009"/>
    <cellStyle name="Saída 7 2 2 2 3 3 4" xfId="36422"/>
    <cellStyle name="Saída 7 2 2 2 3 4" xfId="12401"/>
    <cellStyle name="Saída 7 2 2 2 3 4 2" xfId="26122"/>
    <cellStyle name="Saída 7 2 2 2 3 4 2 2" xfId="55301"/>
    <cellStyle name="Saída 7 2 2 2 3 4 3" xfId="41582"/>
    <cellStyle name="Saída 7 2 2 2 3 5" xfId="21694"/>
    <cellStyle name="Saída 7 2 2 2 3 5 2" xfId="50873"/>
    <cellStyle name="Saída 7 2 2 2 3 6" xfId="31918"/>
    <cellStyle name="Saída 7 2 2 2 4" xfId="4445"/>
    <cellStyle name="Saída 7 2 2 2 4 2" xfId="13638"/>
    <cellStyle name="Saída 7 2 2 2 4 2 2" xfId="26842"/>
    <cellStyle name="Saída 7 2 2 2 4 2 2 2" xfId="56021"/>
    <cellStyle name="Saída 7 2 2 2 4 2 3" xfId="42819"/>
    <cellStyle name="Saída 7 2 2 2 4 3" xfId="22414"/>
    <cellStyle name="Saída 7 2 2 2 4 3 2" xfId="51593"/>
    <cellStyle name="Saída 7 2 2 2 4 4" xfId="33628"/>
    <cellStyle name="Saída 7 2 2 2 5" xfId="9347"/>
    <cellStyle name="Saída 7 2 2 2 5 2" xfId="17299"/>
    <cellStyle name="Saída 7 2 2 2 5 2 2" xfId="29088"/>
    <cellStyle name="Saída 7 2 2 2 5 2 2 2" xfId="58267"/>
    <cellStyle name="Saída 7 2 2 2 5 2 3" xfId="46480"/>
    <cellStyle name="Saída 7 2 2 2 5 3" xfId="24660"/>
    <cellStyle name="Saída 7 2 2 2 5 3 2" xfId="53839"/>
    <cellStyle name="Saída 7 2 2 2 5 4" xfId="38530"/>
    <cellStyle name="Saída 7 2 2 2 6" xfId="11101"/>
    <cellStyle name="Saída 7 2 2 2 6 2" xfId="25378"/>
    <cellStyle name="Saída 7 2 2 2 6 2 2" xfId="54557"/>
    <cellStyle name="Saída 7 2 2 2 6 3" xfId="40282"/>
    <cellStyle name="Saída 7 2 2 2 7" xfId="20950"/>
    <cellStyle name="Saída 7 2 2 2 7 2" xfId="50129"/>
    <cellStyle name="Saída 7 2 2 2 8" xfId="30094"/>
    <cellStyle name="Saída 7 2 2 3" xfId="1089"/>
    <cellStyle name="Saída 7 2 2 3 2" xfId="1999"/>
    <cellStyle name="Saída 7 2 2 3 2 2" xfId="3799"/>
    <cellStyle name="Saída 7 2 2 3 2 2 2" xfId="6733"/>
    <cellStyle name="Saída 7 2 2 3 2 2 2 2" xfId="15419"/>
    <cellStyle name="Saída 7 2 2 3 2 2 2 2 2" xfId="27996"/>
    <cellStyle name="Saída 7 2 2 3 2 2 2 2 2 2" xfId="57175"/>
    <cellStyle name="Saída 7 2 2 3 2 2 2 2 3" xfId="44600"/>
    <cellStyle name="Saída 7 2 2 3 2 2 2 3" xfId="23568"/>
    <cellStyle name="Saída 7 2 2 3 2 2 2 3 2" xfId="52747"/>
    <cellStyle name="Saída 7 2 2 3 2 2 2 4" xfId="35916"/>
    <cellStyle name="Saída 7 2 2 3 2 2 3" xfId="10220"/>
    <cellStyle name="Saída 7 2 2 3 2 2 3 2" xfId="17913"/>
    <cellStyle name="Saída 7 2 2 3 2 2 3 2 2" xfId="29437"/>
    <cellStyle name="Saída 7 2 2 3 2 2 3 2 2 2" xfId="58616"/>
    <cellStyle name="Saída 7 2 2 3 2 2 3 2 3" xfId="47094"/>
    <cellStyle name="Saída 7 2 2 3 2 2 3 3" xfId="25009"/>
    <cellStyle name="Saída 7 2 2 3 2 2 3 3 2" xfId="54188"/>
    <cellStyle name="Saída 7 2 2 3 2 2 3 4" xfId="39403"/>
    <cellStyle name="Saída 7 2 2 3 2 2 4" xfId="13156"/>
    <cellStyle name="Saída 7 2 2 3 2 2 4 2" xfId="26556"/>
    <cellStyle name="Saída 7 2 2 3 2 2 4 2 2" xfId="55735"/>
    <cellStyle name="Saída 7 2 2 3 2 2 4 3" xfId="42337"/>
    <cellStyle name="Saída 7 2 2 3 2 2 5" xfId="22128"/>
    <cellStyle name="Saída 7 2 2 3 2 2 5 2" xfId="51307"/>
    <cellStyle name="Saída 7 2 2 3 2 2 6" xfId="32982"/>
    <cellStyle name="Saída 7 2 2 3 2 3" xfId="5293"/>
    <cellStyle name="Saída 7 2 2 3 2 3 2" xfId="14298"/>
    <cellStyle name="Saída 7 2 2 3 2 3 2 2" xfId="27276"/>
    <cellStyle name="Saída 7 2 2 3 2 3 2 2 2" xfId="56455"/>
    <cellStyle name="Saída 7 2 2 3 2 3 2 3" xfId="43479"/>
    <cellStyle name="Saída 7 2 2 3 2 3 3" xfId="22848"/>
    <cellStyle name="Saída 7 2 2 3 2 3 3 2" xfId="52027"/>
    <cellStyle name="Saída 7 2 2 3 2 3 4" xfId="34476"/>
    <cellStyle name="Saída 7 2 2 3 2 4" xfId="10161"/>
    <cellStyle name="Saída 7 2 2 3 2 4 2" xfId="17871"/>
    <cellStyle name="Saída 7 2 2 3 2 4 2 2" xfId="29412"/>
    <cellStyle name="Saída 7 2 2 3 2 4 2 2 2" xfId="58591"/>
    <cellStyle name="Saída 7 2 2 3 2 4 2 3" xfId="47052"/>
    <cellStyle name="Saída 7 2 2 3 2 4 3" xfId="24984"/>
    <cellStyle name="Saída 7 2 2 3 2 4 3 2" xfId="54163"/>
    <cellStyle name="Saída 7 2 2 3 2 4 4" xfId="39344"/>
    <cellStyle name="Saída 7 2 2 3 2 5" xfId="11880"/>
    <cellStyle name="Saída 7 2 2 3 2 5 2" xfId="25836"/>
    <cellStyle name="Saída 7 2 2 3 2 5 2 2" xfId="55015"/>
    <cellStyle name="Saída 7 2 2 3 2 5 3" xfId="41061"/>
    <cellStyle name="Saída 7 2 2 3 2 6" xfId="21408"/>
    <cellStyle name="Saída 7 2 2 3 2 6 2" xfId="50587"/>
    <cellStyle name="Saída 7 2 2 3 2 7" xfId="31182"/>
    <cellStyle name="Saída 7 2 2 3 3" xfId="2899"/>
    <cellStyle name="Saída 7 2 2 3 3 2" xfId="6013"/>
    <cellStyle name="Saída 7 2 2 3 3 2 2" xfId="14859"/>
    <cellStyle name="Saída 7 2 2 3 3 2 2 2" xfId="27636"/>
    <cellStyle name="Saída 7 2 2 3 3 2 2 2 2" xfId="56815"/>
    <cellStyle name="Saída 7 2 2 3 3 2 2 3" xfId="44040"/>
    <cellStyle name="Saída 7 2 2 3 3 2 3" xfId="23208"/>
    <cellStyle name="Saída 7 2 2 3 3 2 3 2" xfId="52387"/>
    <cellStyle name="Saída 7 2 2 3 3 2 4" xfId="35196"/>
    <cellStyle name="Saída 7 2 2 3 3 3" xfId="9171"/>
    <cellStyle name="Saída 7 2 2 3 3 3 2" xfId="17171"/>
    <cellStyle name="Saída 7 2 2 3 3 3 2 2" xfId="29021"/>
    <cellStyle name="Saída 7 2 2 3 3 3 2 2 2" xfId="58200"/>
    <cellStyle name="Saída 7 2 2 3 3 3 2 3" xfId="46352"/>
    <cellStyle name="Saída 7 2 2 3 3 3 3" xfId="24593"/>
    <cellStyle name="Saída 7 2 2 3 3 3 3 2" xfId="53772"/>
    <cellStyle name="Saída 7 2 2 3 3 3 4" xfId="38354"/>
    <cellStyle name="Saída 7 2 2 3 3 4" xfId="12516"/>
    <cellStyle name="Saída 7 2 2 3 3 4 2" xfId="26196"/>
    <cellStyle name="Saída 7 2 2 3 3 4 2 2" xfId="55375"/>
    <cellStyle name="Saída 7 2 2 3 3 4 3" xfId="41697"/>
    <cellStyle name="Saída 7 2 2 3 3 5" xfId="21768"/>
    <cellStyle name="Saída 7 2 2 3 3 5 2" xfId="50947"/>
    <cellStyle name="Saída 7 2 2 3 3 6" xfId="32082"/>
    <cellStyle name="Saída 7 2 2 3 4" xfId="4573"/>
    <cellStyle name="Saída 7 2 2 3 4 2" xfId="13739"/>
    <cellStyle name="Saída 7 2 2 3 4 2 2" xfId="26916"/>
    <cellStyle name="Saída 7 2 2 3 4 2 2 2" xfId="56095"/>
    <cellStyle name="Saída 7 2 2 3 4 2 3" xfId="42920"/>
    <cellStyle name="Saída 7 2 2 3 4 3" xfId="22488"/>
    <cellStyle name="Saída 7 2 2 3 4 3 2" xfId="51667"/>
    <cellStyle name="Saída 7 2 2 3 4 4" xfId="33756"/>
    <cellStyle name="Saída 7 2 2 3 5" xfId="10407"/>
    <cellStyle name="Saída 7 2 2 3 5 2" xfId="18043"/>
    <cellStyle name="Saída 7 2 2 3 5 2 2" xfId="29508"/>
    <cellStyle name="Saída 7 2 2 3 5 2 2 2" xfId="58687"/>
    <cellStyle name="Saída 7 2 2 3 5 2 3" xfId="47224"/>
    <cellStyle name="Saída 7 2 2 3 5 3" xfId="25080"/>
    <cellStyle name="Saída 7 2 2 3 5 3 2" xfId="54259"/>
    <cellStyle name="Saída 7 2 2 3 5 4" xfId="39590"/>
    <cellStyle name="Saída 7 2 2 3 6" xfId="11244"/>
    <cellStyle name="Saída 7 2 2 3 6 2" xfId="25473"/>
    <cellStyle name="Saída 7 2 2 3 6 2 2" xfId="54652"/>
    <cellStyle name="Saída 7 2 2 3 6 3" xfId="40425"/>
    <cellStyle name="Saída 7 2 2 3 7" xfId="21045"/>
    <cellStyle name="Saída 7 2 2 3 7 2" xfId="50224"/>
    <cellStyle name="Saída 7 2 2 3 8" xfId="30279"/>
    <cellStyle name="Saída 7 2 2 4" xfId="1239"/>
    <cellStyle name="Saída 7 2 2 4 2" xfId="2143"/>
    <cellStyle name="Saída 7 2 2 4 2 2" xfId="3943"/>
    <cellStyle name="Saída 7 2 2 4 2 2 2" xfId="6850"/>
    <cellStyle name="Saída 7 2 2 4 2 2 2 2" xfId="15509"/>
    <cellStyle name="Saída 7 2 2 4 2 2 2 2 2" xfId="28059"/>
    <cellStyle name="Saída 7 2 2 4 2 2 2 2 2 2" xfId="57238"/>
    <cellStyle name="Saída 7 2 2 4 2 2 2 2 3" xfId="44690"/>
    <cellStyle name="Saída 7 2 2 4 2 2 2 3" xfId="23631"/>
    <cellStyle name="Saída 7 2 2 4 2 2 2 3 2" xfId="52810"/>
    <cellStyle name="Saída 7 2 2 4 2 2 2 4" xfId="36033"/>
    <cellStyle name="Saída 7 2 2 4 2 2 3" xfId="7137"/>
    <cellStyle name="Saída 7 2 2 4 2 2 3 2" xfId="15727"/>
    <cellStyle name="Saída 7 2 2 4 2 2 3 2 2" xfId="28209"/>
    <cellStyle name="Saída 7 2 2 4 2 2 3 2 2 2" xfId="57388"/>
    <cellStyle name="Saída 7 2 2 4 2 2 3 2 3" xfId="44908"/>
    <cellStyle name="Saída 7 2 2 4 2 2 3 3" xfId="23781"/>
    <cellStyle name="Saída 7 2 2 4 2 2 3 3 2" xfId="52960"/>
    <cellStyle name="Saída 7 2 2 4 2 2 3 4" xfId="36320"/>
    <cellStyle name="Saída 7 2 2 4 2 2 4" xfId="13254"/>
    <cellStyle name="Saída 7 2 2 4 2 2 4 2" xfId="26619"/>
    <cellStyle name="Saída 7 2 2 4 2 2 4 2 2" xfId="55798"/>
    <cellStyle name="Saída 7 2 2 4 2 2 4 3" xfId="42435"/>
    <cellStyle name="Saída 7 2 2 4 2 2 5" xfId="22191"/>
    <cellStyle name="Saída 7 2 2 4 2 2 5 2" xfId="51370"/>
    <cellStyle name="Saída 7 2 2 4 2 2 6" xfId="33126"/>
    <cellStyle name="Saída 7 2 2 4 2 3" xfId="5410"/>
    <cellStyle name="Saída 7 2 2 4 2 3 2" xfId="14387"/>
    <cellStyle name="Saída 7 2 2 4 2 3 2 2" xfId="27339"/>
    <cellStyle name="Saída 7 2 2 4 2 3 2 2 2" xfId="56518"/>
    <cellStyle name="Saída 7 2 2 4 2 3 2 3" xfId="43568"/>
    <cellStyle name="Saída 7 2 2 4 2 3 3" xfId="22911"/>
    <cellStyle name="Saída 7 2 2 4 2 3 3 2" xfId="52090"/>
    <cellStyle name="Saída 7 2 2 4 2 3 4" xfId="34593"/>
    <cellStyle name="Saída 7 2 2 4 2 4" xfId="8084"/>
    <cellStyle name="Saída 7 2 2 4 2 4 2" xfId="16384"/>
    <cellStyle name="Saída 7 2 2 4 2 4 2 2" xfId="28592"/>
    <cellStyle name="Saída 7 2 2 4 2 4 2 2 2" xfId="57771"/>
    <cellStyle name="Saída 7 2 2 4 2 4 2 3" xfId="45565"/>
    <cellStyle name="Saída 7 2 2 4 2 4 3" xfId="24164"/>
    <cellStyle name="Saída 7 2 2 4 2 4 3 2" xfId="53343"/>
    <cellStyle name="Saída 7 2 2 4 2 4 4" xfId="37267"/>
    <cellStyle name="Saída 7 2 2 4 2 5" xfId="11979"/>
    <cellStyle name="Saída 7 2 2 4 2 5 2" xfId="25899"/>
    <cellStyle name="Saída 7 2 2 4 2 5 2 2" xfId="55078"/>
    <cellStyle name="Saída 7 2 2 4 2 5 3" xfId="41160"/>
    <cellStyle name="Saída 7 2 2 4 2 6" xfId="21471"/>
    <cellStyle name="Saída 7 2 2 4 2 6 2" xfId="50650"/>
    <cellStyle name="Saída 7 2 2 4 2 7" xfId="31326"/>
    <cellStyle name="Saída 7 2 2 4 3" xfId="3043"/>
    <cellStyle name="Saída 7 2 2 4 3 2" xfId="6130"/>
    <cellStyle name="Saída 7 2 2 4 3 2 2" xfId="14948"/>
    <cellStyle name="Saída 7 2 2 4 3 2 2 2" xfId="27699"/>
    <cellStyle name="Saída 7 2 2 4 3 2 2 2 2" xfId="56878"/>
    <cellStyle name="Saída 7 2 2 4 3 2 2 3" xfId="44129"/>
    <cellStyle name="Saída 7 2 2 4 3 2 3" xfId="23271"/>
    <cellStyle name="Saída 7 2 2 4 3 2 3 2" xfId="52450"/>
    <cellStyle name="Saída 7 2 2 4 3 2 4" xfId="35313"/>
    <cellStyle name="Saída 7 2 2 4 3 3" xfId="8849"/>
    <cellStyle name="Saída 7 2 2 4 3 3 2" xfId="16939"/>
    <cellStyle name="Saída 7 2 2 4 3 3 2 2" xfId="28891"/>
    <cellStyle name="Saída 7 2 2 4 3 3 2 2 2" xfId="58070"/>
    <cellStyle name="Saída 7 2 2 4 3 3 2 3" xfId="46120"/>
    <cellStyle name="Saída 7 2 2 4 3 3 3" xfId="24463"/>
    <cellStyle name="Saída 7 2 2 4 3 3 3 2" xfId="53642"/>
    <cellStyle name="Saída 7 2 2 4 3 3 4" xfId="38032"/>
    <cellStyle name="Saída 7 2 2 4 3 4" xfId="12615"/>
    <cellStyle name="Saída 7 2 2 4 3 4 2" xfId="26259"/>
    <cellStyle name="Saída 7 2 2 4 3 4 2 2" xfId="55438"/>
    <cellStyle name="Saída 7 2 2 4 3 4 3" xfId="41796"/>
    <cellStyle name="Saída 7 2 2 4 3 5" xfId="21831"/>
    <cellStyle name="Saída 7 2 2 4 3 5 2" xfId="51010"/>
    <cellStyle name="Saída 7 2 2 4 3 6" xfId="32226"/>
    <cellStyle name="Saída 7 2 2 4 4" xfId="4690"/>
    <cellStyle name="Saída 7 2 2 4 4 2" xfId="13828"/>
    <cellStyle name="Saída 7 2 2 4 4 2 2" xfId="26979"/>
    <cellStyle name="Saída 7 2 2 4 4 2 2 2" xfId="56158"/>
    <cellStyle name="Saída 7 2 2 4 4 2 3" xfId="43009"/>
    <cellStyle name="Saída 7 2 2 4 4 3" xfId="22551"/>
    <cellStyle name="Saída 7 2 2 4 4 3 2" xfId="51730"/>
    <cellStyle name="Saída 7 2 2 4 4 4" xfId="33873"/>
    <cellStyle name="Saída 7 2 2 4 5" xfId="8536"/>
    <cellStyle name="Saída 7 2 2 4 5 2" xfId="16705"/>
    <cellStyle name="Saída 7 2 2 4 5 2 2" xfId="28758"/>
    <cellStyle name="Saída 7 2 2 4 5 2 2 2" xfId="57937"/>
    <cellStyle name="Saída 7 2 2 4 5 2 3" xfId="45886"/>
    <cellStyle name="Saída 7 2 2 4 5 3" xfId="24330"/>
    <cellStyle name="Saída 7 2 2 4 5 3 2" xfId="53509"/>
    <cellStyle name="Saída 7 2 2 4 5 4" xfId="37719"/>
    <cellStyle name="Saída 7 2 2 4 6" xfId="11349"/>
    <cellStyle name="Saída 7 2 2 4 6 2" xfId="25539"/>
    <cellStyle name="Saída 7 2 2 4 6 2 2" xfId="54718"/>
    <cellStyle name="Saída 7 2 2 4 6 3" xfId="40530"/>
    <cellStyle name="Saída 7 2 2 4 7" xfId="21111"/>
    <cellStyle name="Saída 7 2 2 4 7 2" xfId="50290"/>
    <cellStyle name="Saída 7 2 2 4 8" xfId="30426"/>
    <cellStyle name="Saída 7 2 2 5" xfId="1385"/>
    <cellStyle name="Saída 7 2 2 5 2" xfId="2287"/>
    <cellStyle name="Saída 7 2 2 5 2 2" xfId="4087"/>
    <cellStyle name="Saída 7 2 2 5 2 2 2" xfId="6967"/>
    <cellStyle name="Saída 7 2 2 5 2 2 2 2" xfId="15599"/>
    <cellStyle name="Saída 7 2 2 5 2 2 2 2 2" xfId="28122"/>
    <cellStyle name="Saída 7 2 2 5 2 2 2 2 2 2" xfId="57301"/>
    <cellStyle name="Saída 7 2 2 5 2 2 2 2 3" xfId="44780"/>
    <cellStyle name="Saída 7 2 2 5 2 2 2 3" xfId="23694"/>
    <cellStyle name="Saída 7 2 2 5 2 2 2 3 2" xfId="52873"/>
    <cellStyle name="Saída 7 2 2 5 2 2 2 4" xfId="36150"/>
    <cellStyle name="Saída 7 2 2 5 2 2 3" xfId="6993"/>
    <cellStyle name="Saída 7 2 2 5 2 2 3 2" xfId="15623"/>
    <cellStyle name="Saída 7 2 2 5 2 2 3 2 2" xfId="28146"/>
    <cellStyle name="Saída 7 2 2 5 2 2 3 2 2 2" xfId="57325"/>
    <cellStyle name="Saída 7 2 2 5 2 2 3 2 3" xfId="44804"/>
    <cellStyle name="Saída 7 2 2 5 2 2 3 3" xfId="23718"/>
    <cellStyle name="Saída 7 2 2 5 2 2 3 3 2" xfId="52897"/>
    <cellStyle name="Saída 7 2 2 5 2 2 3 4" xfId="36176"/>
    <cellStyle name="Saída 7 2 2 5 2 2 4" xfId="13359"/>
    <cellStyle name="Saída 7 2 2 5 2 2 4 2" xfId="26682"/>
    <cellStyle name="Saída 7 2 2 5 2 2 4 2 2" xfId="55861"/>
    <cellStyle name="Saída 7 2 2 5 2 2 4 3" xfId="42540"/>
    <cellStyle name="Saída 7 2 2 5 2 2 5" xfId="22254"/>
    <cellStyle name="Saída 7 2 2 5 2 2 5 2" xfId="51433"/>
    <cellStyle name="Saída 7 2 2 5 2 2 6" xfId="33270"/>
    <cellStyle name="Saída 7 2 2 5 2 3" xfId="5527"/>
    <cellStyle name="Saída 7 2 2 5 2 3 2" xfId="14480"/>
    <cellStyle name="Saída 7 2 2 5 2 3 2 2" xfId="27402"/>
    <cellStyle name="Saída 7 2 2 5 2 3 2 2 2" xfId="56581"/>
    <cellStyle name="Saída 7 2 2 5 2 3 2 3" xfId="43661"/>
    <cellStyle name="Saída 7 2 2 5 2 3 3" xfId="22974"/>
    <cellStyle name="Saída 7 2 2 5 2 3 3 2" xfId="52153"/>
    <cellStyle name="Saída 7 2 2 5 2 3 4" xfId="34710"/>
    <cellStyle name="Saída 7 2 2 5 2 4" xfId="7515"/>
    <cellStyle name="Saída 7 2 2 5 2 4 2" xfId="15987"/>
    <cellStyle name="Saída 7 2 2 5 2 4 2 2" xfId="28371"/>
    <cellStyle name="Saída 7 2 2 5 2 4 2 2 2" xfId="57550"/>
    <cellStyle name="Saída 7 2 2 5 2 4 2 3" xfId="45168"/>
    <cellStyle name="Saída 7 2 2 5 2 4 3" xfId="23943"/>
    <cellStyle name="Saída 7 2 2 5 2 4 3 2" xfId="53122"/>
    <cellStyle name="Saída 7 2 2 5 2 4 4" xfId="36698"/>
    <cellStyle name="Saída 7 2 2 5 2 5" xfId="12080"/>
    <cellStyle name="Saída 7 2 2 5 2 5 2" xfId="25962"/>
    <cellStyle name="Saída 7 2 2 5 2 5 2 2" xfId="55141"/>
    <cellStyle name="Saída 7 2 2 5 2 5 3" xfId="41261"/>
    <cellStyle name="Saída 7 2 2 5 2 6" xfId="21534"/>
    <cellStyle name="Saída 7 2 2 5 2 6 2" xfId="50713"/>
    <cellStyle name="Saída 7 2 2 5 2 7" xfId="31470"/>
    <cellStyle name="Saída 7 2 2 5 3" xfId="3187"/>
    <cellStyle name="Saída 7 2 2 5 3 2" xfId="6247"/>
    <cellStyle name="Saída 7 2 2 5 3 2 2" xfId="15040"/>
    <cellStyle name="Saída 7 2 2 5 3 2 2 2" xfId="27762"/>
    <cellStyle name="Saída 7 2 2 5 3 2 2 2 2" xfId="56941"/>
    <cellStyle name="Saída 7 2 2 5 3 2 2 3" xfId="44221"/>
    <cellStyle name="Saída 7 2 2 5 3 2 3" xfId="23334"/>
    <cellStyle name="Saída 7 2 2 5 3 2 3 2" xfId="52513"/>
    <cellStyle name="Saída 7 2 2 5 3 2 4" xfId="35430"/>
    <cellStyle name="Saída 7 2 2 5 3 3" xfId="7182"/>
    <cellStyle name="Saída 7 2 2 5 3 3 2" xfId="15758"/>
    <cellStyle name="Saída 7 2 2 5 3 3 2 2" xfId="28230"/>
    <cellStyle name="Saída 7 2 2 5 3 3 2 2 2" xfId="57409"/>
    <cellStyle name="Saída 7 2 2 5 3 3 2 3" xfId="44939"/>
    <cellStyle name="Saída 7 2 2 5 3 3 3" xfId="23802"/>
    <cellStyle name="Saída 7 2 2 5 3 3 3 2" xfId="52981"/>
    <cellStyle name="Saída 7 2 2 5 3 3 4" xfId="36365"/>
    <cellStyle name="Saída 7 2 2 5 3 4" xfId="12721"/>
    <cellStyle name="Saída 7 2 2 5 3 4 2" xfId="26322"/>
    <cellStyle name="Saída 7 2 2 5 3 4 2 2" xfId="55501"/>
    <cellStyle name="Saída 7 2 2 5 3 4 3" xfId="41902"/>
    <cellStyle name="Saída 7 2 2 5 3 5" xfId="21894"/>
    <cellStyle name="Saída 7 2 2 5 3 5 2" xfId="51073"/>
    <cellStyle name="Saída 7 2 2 5 3 6" xfId="32370"/>
    <cellStyle name="Saída 7 2 2 5 4" xfId="4807"/>
    <cellStyle name="Saída 7 2 2 5 4 2" xfId="13916"/>
    <cellStyle name="Saída 7 2 2 5 4 2 2" xfId="27042"/>
    <cellStyle name="Saída 7 2 2 5 4 2 2 2" xfId="56221"/>
    <cellStyle name="Saída 7 2 2 5 4 2 3" xfId="43097"/>
    <cellStyle name="Saída 7 2 2 5 4 3" xfId="22614"/>
    <cellStyle name="Saída 7 2 2 5 4 3 2" xfId="51793"/>
    <cellStyle name="Saída 7 2 2 5 4 4" xfId="33990"/>
    <cellStyle name="Saída 7 2 2 5 5" xfId="9677"/>
    <cellStyle name="Saída 7 2 2 5 5 2" xfId="17526"/>
    <cellStyle name="Saída 7 2 2 5 5 2 2" xfId="29220"/>
    <cellStyle name="Saída 7 2 2 5 5 2 2 2" xfId="58399"/>
    <cellStyle name="Saída 7 2 2 5 5 2 3" xfId="46707"/>
    <cellStyle name="Saída 7 2 2 5 5 3" xfId="24792"/>
    <cellStyle name="Saída 7 2 2 5 5 3 2" xfId="53971"/>
    <cellStyle name="Saída 7 2 2 5 5 4" xfId="38860"/>
    <cellStyle name="Saída 7 2 2 5 6" xfId="11449"/>
    <cellStyle name="Saída 7 2 2 5 6 2" xfId="25602"/>
    <cellStyle name="Saída 7 2 2 5 6 2 2" xfId="54781"/>
    <cellStyle name="Saída 7 2 2 5 6 3" xfId="40630"/>
    <cellStyle name="Saída 7 2 2 5 7" xfId="21174"/>
    <cellStyle name="Saída 7 2 2 5 7 2" xfId="50353"/>
    <cellStyle name="Saída 7 2 2 5 8" xfId="30570"/>
    <cellStyle name="Saída 7 2 2 6" xfId="1567"/>
    <cellStyle name="Saída 7 2 2 6 2" xfId="3367"/>
    <cellStyle name="Saída 7 2 2 6 2 2" xfId="6391"/>
    <cellStyle name="Saída 7 2 2 6 2 2 2" xfId="15146"/>
    <cellStyle name="Saída 7 2 2 6 2 2 2 2" xfId="27834"/>
    <cellStyle name="Saída 7 2 2 6 2 2 2 2 2" xfId="57013"/>
    <cellStyle name="Saída 7 2 2 6 2 2 2 3" xfId="44327"/>
    <cellStyle name="Saída 7 2 2 6 2 2 3" xfId="23406"/>
    <cellStyle name="Saída 7 2 2 6 2 2 3 2" xfId="52585"/>
    <cellStyle name="Saída 7 2 2 6 2 2 4" xfId="35574"/>
    <cellStyle name="Saída 7 2 2 6 2 3" xfId="7160"/>
    <cellStyle name="Saída 7 2 2 6 2 3 2" xfId="15740"/>
    <cellStyle name="Saída 7 2 2 6 2 3 2 2" xfId="28217"/>
    <cellStyle name="Saída 7 2 2 6 2 3 2 2 2" xfId="57396"/>
    <cellStyle name="Saída 7 2 2 6 2 3 2 3" xfId="44921"/>
    <cellStyle name="Saída 7 2 2 6 2 3 3" xfId="23789"/>
    <cellStyle name="Saída 7 2 2 6 2 3 3 2" xfId="52968"/>
    <cellStyle name="Saída 7 2 2 6 2 3 4" xfId="36343"/>
    <cellStyle name="Saída 7 2 2 6 2 4" xfId="12843"/>
    <cellStyle name="Saída 7 2 2 6 2 4 2" xfId="26394"/>
    <cellStyle name="Saída 7 2 2 6 2 4 2 2" xfId="55573"/>
    <cellStyle name="Saída 7 2 2 6 2 4 3" xfId="42024"/>
    <cellStyle name="Saída 7 2 2 6 2 5" xfId="21966"/>
    <cellStyle name="Saída 7 2 2 6 2 5 2" xfId="51145"/>
    <cellStyle name="Saída 7 2 2 6 2 6" xfId="32550"/>
    <cellStyle name="Saída 7 2 2 6 3" xfId="4951"/>
    <cellStyle name="Saída 7 2 2 6 3 2" xfId="14025"/>
    <cellStyle name="Saída 7 2 2 6 3 2 2" xfId="27114"/>
    <cellStyle name="Saída 7 2 2 6 3 2 2 2" xfId="56293"/>
    <cellStyle name="Saída 7 2 2 6 3 2 3" xfId="43206"/>
    <cellStyle name="Saída 7 2 2 6 3 3" xfId="22686"/>
    <cellStyle name="Saída 7 2 2 6 3 3 2" xfId="51865"/>
    <cellStyle name="Saída 7 2 2 6 3 4" xfId="34134"/>
    <cellStyle name="Saída 7 2 2 6 4" xfId="8671"/>
    <cellStyle name="Saída 7 2 2 6 4 2" xfId="16803"/>
    <cellStyle name="Saída 7 2 2 6 4 2 2" xfId="28815"/>
    <cellStyle name="Saída 7 2 2 6 4 2 2 2" xfId="57994"/>
    <cellStyle name="Saída 7 2 2 6 4 2 3" xfId="45984"/>
    <cellStyle name="Saída 7 2 2 6 4 3" xfId="24387"/>
    <cellStyle name="Saída 7 2 2 6 4 3 2" xfId="53566"/>
    <cellStyle name="Saída 7 2 2 6 4 4" xfId="37854"/>
    <cellStyle name="Saída 7 2 2 6 5" xfId="11572"/>
    <cellStyle name="Saída 7 2 2 6 5 2" xfId="25674"/>
    <cellStyle name="Saída 7 2 2 6 5 2 2" xfId="54853"/>
    <cellStyle name="Saída 7 2 2 6 5 3" xfId="40753"/>
    <cellStyle name="Saída 7 2 2 6 6" xfId="21246"/>
    <cellStyle name="Saída 7 2 2 6 6 2" xfId="50425"/>
    <cellStyle name="Saída 7 2 2 6 7" xfId="30750"/>
    <cellStyle name="Saída 7 2 2 7" xfId="2467"/>
    <cellStyle name="Saída 7 2 2 7 2" xfId="5671"/>
    <cellStyle name="Saída 7 2 2 7 2 2" xfId="14593"/>
    <cellStyle name="Saída 7 2 2 7 2 2 2" xfId="27474"/>
    <cellStyle name="Saída 7 2 2 7 2 2 2 2" xfId="56653"/>
    <cellStyle name="Saída 7 2 2 7 2 2 3" xfId="43774"/>
    <cellStyle name="Saída 7 2 2 7 2 3" xfId="23046"/>
    <cellStyle name="Saída 7 2 2 7 2 3 2" xfId="52225"/>
    <cellStyle name="Saída 7 2 2 7 2 4" xfId="34854"/>
    <cellStyle name="Saída 7 2 2 7 3" xfId="10197"/>
    <cellStyle name="Saída 7 2 2 7 3 2" xfId="17899"/>
    <cellStyle name="Saída 7 2 2 7 3 2 2" xfId="29427"/>
    <cellStyle name="Saída 7 2 2 7 3 2 2 2" xfId="58606"/>
    <cellStyle name="Saída 7 2 2 7 3 2 3" xfId="47080"/>
    <cellStyle name="Saída 7 2 2 7 3 3" xfId="24999"/>
    <cellStyle name="Saída 7 2 2 7 3 3 2" xfId="54178"/>
    <cellStyle name="Saída 7 2 2 7 3 4" xfId="39380"/>
    <cellStyle name="Saída 7 2 2 7 4" xfId="12209"/>
    <cellStyle name="Saída 7 2 2 7 4 2" xfId="26034"/>
    <cellStyle name="Saída 7 2 2 7 4 2 2" xfId="55213"/>
    <cellStyle name="Saída 7 2 2 7 4 3" xfId="41390"/>
    <cellStyle name="Saída 7 2 2 7 5" xfId="21606"/>
    <cellStyle name="Saída 7 2 2 7 5 2" xfId="50785"/>
    <cellStyle name="Saída 7 2 2 7 6" xfId="31650"/>
    <cellStyle name="Saída 7 2 2 8" xfId="4231"/>
    <cellStyle name="Saída 7 2 2 8 2" xfId="13474"/>
    <cellStyle name="Saída 7 2 2 8 2 2" xfId="26754"/>
    <cellStyle name="Saída 7 2 2 8 2 2 2" xfId="55933"/>
    <cellStyle name="Saída 7 2 2 8 2 3" xfId="42655"/>
    <cellStyle name="Saída 7 2 2 8 3" xfId="22326"/>
    <cellStyle name="Saída 7 2 2 8 3 2" xfId="51505"/>
    <cellStyle name="Saída 7 2 2 8 4" xfId="33414"/>
    <cellStyle name="Saída 7 2 2 9" xfId="8222"/>
    <cellStyle name="Saída 7 2 2 9 2" xfId="16484"/>
    <cellStyle name="Saída 7 2 2 9 2 2" xfId="28644"/>
    <cellStyle name="Saída 7 2 2 9 2 2 2" xfId="57823"/>
    <cellStyle name="Saída 7 2 2 9 2 3" xfId="45665"/>
    <cellStyle name="Saída 7 2 2 9 3" xfId="24216"/>
    <cellStyle name="Saída 7 2 2 9 3 2" xfId="53395"/>
    <cellStyle name="Saída 7 2 2 9 4" xfId="37405"/>
    <cellStyle name="Saída 7 2 3" xfId="807"/>
    <cellStyle name="Saída 7 2 3 2" xfId="1745"/>
    <cellStyle name="Saída 7 2 3 2 2" xfId="3545"/>
    <cellStyle name="Saída 7 2 3 2 2 2" xfId="6533"/>
    <cellStyle name="Saída 7 2 3 2 2 2 2" xfId="15262"/>
    <cellStyle name="Saída 7 2 3 2 2 2 2 2" xfId="27886"/>
    <cellStyle name="Saída 7 2 3 2 2 2 2 2 2" xfId="57065"/>
    <cellStyle name="Saída 7 2 3 2 2 2 2 3" xfId="44443"/>
    <cellStyle name="Saída 7 2 3 2 2 2 3" xfId="23458"/>
    <cellStyle name="Saída 7 2 3 2 2 2 3 2" xfId="52637"/>
    <cellStyle name="Saída 7 2 3 2 2 2 4" xfId="35716"/>
    <cellStyle name="Saída 7 2 3 2 2 3" xfId="8433"/>
    <cellStyle name="Saída 7 2 3 2 2 3 2" xfId="16635"/>
    <cellStyle name="Saída 7 2 3 2 2 3 2 2" xfId="28722"/>
    <cellStyle name="Saída 7 2 3 2 2 3 2 2 2" xfId="57901"/>
    <cellStyle name="Saída 7 2 3 2 2 3 2 3" xfId="45816"/>
    <cellStyle name="Saída 7 2 3 2 2 3 3" xfId="24294"/>
    <cellStyle name="Saída 7 2 3 2 2 3 3 2" xfId="53473"/>
    <cellStyle name="Saída 7 2 3 2 2 3 4" xfId="37616"/>
    <cellStyle name="Saída 7 2 3 2 2 4" xfId="12973"/>
    <cellStyle name="Saída 7 2 3 2 2 4 2" xfId="26446"/>
    <cellStyle name="Saída 7 2 3 2 2 4 2 2" xfId="55625"/>
    <cellStyle name="Saída 7 2 3 2 2 4 3" xfId="42154"/>
    <cellStyle name="Saída 7 2 3 2 2 5" xfId="22018"/>
    <cellStyle name="Saída 7 2 3 2 2 5 2" xfId="51197"/>
    <cellStyle name="Saída 7 2 3 2 2 6" xfId="32728"/>
    <cellStyle name="Saída 7 2 3 2 3" xfId="5093"/>
    <cellStyle name="Saída 7 2 3 2 3 2" xfId="14138"/>
    <cellStyle name="Saída 7 2 3 2 3 2 2" xfId="27166"/>
    <cellStyle name="Saída 7 2 3 2 3 2 2 2" xfId="56345"/>
    <cellStyle name="Saída 7 2 3 2 3 2 3" xfId="43319"/>
    <cellStyle name="Saída 7 2 3 2 3 3" xfId="22738"/>
    <cellStyle name="Saída 7 2 3 2 3 3 2" xfId="51917"/>
    <cellStyle name="Saída 7 2 3 2 3 4" xfId="34276"/>
    <cellStyle name="Saída 7 2 3 2 4" xfId="10282"/>
    <cellStyle name="Saída 7 2 3 2 4 2" xfId="17957"/>
    <cellStyle name="Saída 7 2 3 2 4 2 2" xfId="29463"/>
    <cellStyle name="Saída 7 2 3 2 4 2 2 2" xfId="58642"/>
    <cellStyle name="Saída 7 2 3 2 4 2 3" xfId="47138"/>
    <cellStyle name="Saída 7 2 3 2 4 3" xfId="25035"/>
    <cellStyle name="Saída 7 2 3 2 4 3 2" xfId="54214"/>
    <cellStyle name="Saída 7 2 3 2 4 4" xfId="39465"/>
    <cellStyle name="Saída 7 2 3 2 5" xfId="11699"/>
    <cellStyle name="Saída 7 2 3 2 5 2" xfId="25726"/>
    <cellStyle name="Saída 7 2 3 2 5 2 2" xfId="54905"/>
    <cellStyle name="Saída 7 2 3 2 5 3" xfId="40880"/>
    <cellStyle name="Saída 7 2 3 2 6" xfId="21298"/>
    <cellStyle name="Saída 7 2 3 2 6 2" xfId="50477"/>
    <cellStyle name="Saída 7 2 3 2 7" xfId="30928"/>
    <cellStyle name="Saída 7 2 3 3" xfId="2645"/>
    <cellStyle name="Saída 7 2 3 3 2" xfId="5813"/>
    <cellStyle name="Saída 7 2 3 3 2 2" xfId="14703"/>
    <cellStyle name="Saída 7 2 3 3 2 2 2" xfId="27526"/>
    <cellStyle name="Saída 7 2 3 3 2 2 2 2" xfId="56705"/>
    <cellStyle name="Saída 7 2 3 3 2 2 3" xfId="43884"/>
    <cellStyle name="Saída 7 2 3 3 2 3" xfId="23098"/>
    <cellStyle name="Saída 7 2 3 3 2 3 2" xfId="52277"/>
    <cellStyle name="Saída 7 2 3 3 2 4" xfId="34996"/>
    <cellStyle name="Saída 7 2 3 3 3" xfId="9506"/>
    <cellStyle name="Saída 7 2 3 3 3 2" xfId="17406"/>
    <cellStyle name="Saída 7 2 3 3 3 2 2" xfId="29155"/>
    <cellStyle name="Saída 7 2 3 3 3 2 2 2" xfId="58334"/>
    <cellStyle name="Saída 7 2 3 3 3 2 3" xfId="46587"/>
    <cellStyle name="Saída 7 2 3 3 3 3" xfId="24727"/>
    <cellStyle name="Saída 7 2 3 3 3 3 2" xfId="53906"/>
    <cellStyle name="Saída 7 2 3 3 3 4" xfId="38689"/>
    <cellStyle name="Saída 7 2 3 3 4" xfId="12335"/>
    <cellStyle name="Saída 7 2 3 3 4 2" xfId="26086"/>
    <cellStyle name="Saída 7 2 3 3 4 2 2" xfId="55265"/>
    <cellStyle name="Saída 7 2 3 3 4 3" xfId="41516"/>
    <cellStyle name="Saída 7 2 3 3 5" xfId="21658"/>
    <cellStyle name="Saída 7 2 3 3 5 2" xfId="50837"/>
    <cellStyle name="Saída 7 2 3 3 6" xfId="31828"/>
    <cellStyle name="Saída 7 2 3 4" xfId="4373"/>
    <cellStyle name="Saída 7 2 3 4 2" xfId="13579"/>
    <cellStyle name="Saída 7 2 3 4 2 2" xfId="26806"/>
    <cellStyle name="Saída 7 2 3 4 2 2 2" xfId="55985"/>
    <cellStyle name="Saída 7 2 3 4 2 3" xfId="42760"/>
    <cellStyle name="Saída 7 2 3 4 3" xfId="22378"/>
    <cellStyle name="Saída 7 2 3 4 3 2" xfId="51557"/>
    <cellStyle name="Saída 7 2 3 4 4" xfId="33556"/>
    <cellStyle name="Saída 7 2 3 5" xfId="8955"/>
    <cellStyle name="Saída 7 2 3 5 2" xfId="17017"/>
    <cellStyle name="Saída 7 2 3 5 2 2" xfId="28930"/>
    <cellStyle name="Saída 7 2 3 5 2 2 2" xfId="58109"/>
    <cellStyle name="Saída 7 2 3 5 2 3" xfId="46198"/>
    <cellStyle name="Saída 7 2 3 5 3" xfId="24502"/>
    <cellStyle name="Saída 7 2 3 5 3 2" xfId="53681"/>
    <cellStyle name="Saída 7 2 3 5 4" xfId="38138"/>
    <cellStyle name="Saída 7 2 3 6" xfId="11038"/>
    <cellStyle name="Saída 7 2 3 6 2" xfId="25342"/>
    <cellStyle name="Saída 7 2 3 6 2 2" xfId="54521"/>
    <cellStyle name="Saída 7 2 3 6 3" xfId="40219"/>
    <cellStyle name="Saída 7 2 3 7" xfId="20914"/>
    <cellStyle name="Saída 7 2 3 7 2" xfId="50093"/>
    <cellStyle name="Saída 7 2 3 8" xfId="30004"/>
    <cellStyle name="Saída 7 2 4" xfId="999"/>
    <cellStyle name="Saída 7 2 4 2" xfId="1909"/>
    <cellStyle name="Saída 7 2 4 2 2" xfId="3709"/>
    <cellStyle name="Saída 7 2 4 2 2 2" xfId="6661"/>
    <cellStyle name="Saída 7 2 4 2 2 2 2" xfId="15362"/>
    <cellStyle name="Saída 7 2 4 2 2 2 2 2" xfId="27960"/>
    <cellStyle name="Saída 7 2 4 2 2 2 2 2 2" xfId="57139"/>
    <cellStyle name="Saída 7 2 4 2 2 2 2 3" xfId="44543"/>
    <cellStyle name="Saída 7 2 4 2 2 2 3" xfId="23532"/>
    <cellStyle name="Saída 7 2 4 2 2 2 3 2" xfId="52711"/>
    <cellStyle name="Saída 7 2 4 2 2 2 4" xfId="35844"/>
    <cellStyle name="Saída 7 2 4 2 2 3" xfId="8304"/>
    <cellStyle name="Saída 7 2 4 2 2 3 2" xfId="16542"/>
    <cellStyle name="Saída 7 2 4 2 2 3 2 2" xfId="28675"/>
    <cellStyle name="Saída 7 2 4 2 2 3 2 2 2" xfId="57854"/>
    <cellStyle name="Saída 7 2 4 2 2 3 2 3" xfId="45723"/>
    <cellStyle name="Saída 7 2 4 2 2 3 3" xfId="24247"/>
    <cellStyle name="Saída 7 2 4 2 2 3 3 2" xfId="53426"/>
    <cellStyle name="Saída 7 2 4 2 2 3 4" xfId="37487"/>
    <cellStyle name="Saída 7 2 4 2 2 4" xfId="13093"/>
    <cellStyle name="Saída 7 2 4 2 2 4 2" xfId="26520"/>
    <cellStyle name="Saída 7 2 4 2 2 4 2 2" xfId="55699"/>
    <cellStyle name="Saída 7 2 4 2 2 4 3" xfId="42274"/>
    <cellStyle name="Saída 7 2 4 2 2 5" xfId="22092"/>
    <cellStyle name="Saída 7 2 4 2 2 5 2" xfId="51271"/>
    <cellStyle name="Saída 7 2 4 2 2 6" xfId="32892"/>
    <cellStyle name="Saída 7 2 4 2 3" xfId="5221"/>
    <cellStyle name="Saída 7 2 4 2 3 2" xfId="14240"/>
    <cellStyle name="Saída 7 2 4 2 3 2 2" xfId="27240"/>
    <cellStyle name="Saída 7 2 4 2 3 2 2 2" xfId="56419"/>
    <cellStyle name="Saída 7 2 4 2 3 2 3" xfId="43421"/>
    <cellStyle name="Saída 7 2 4 2 3 3" xfId="22812"/>
    <cellStyle name="Saída 7 2 4 2 3 3 2" xfId="51991"/>
    <cellStyle name="Saída 7 2 4 2 3 4" xfId="34404"/>
    <cellStyle name="Saída 7 2 4 2 4" xfId="10139"/>
    <cellStyle name="Saída 7 2 4 2 4 2" xfId="17852"/>
    <cellStyle name="Saída 7 2 4 2 4 2 2" xfId="29402"/>
    <cellStyle name="Saída 7 2 4 2 4 2 2 2" xfId="58581"/>
    <cellStyle name="Saída 7 2 4 2 4 2 3" xfId="47033"/>
    <cellStyle name="Saída 7 2 4 2 4 3" xfId="24974"/>
    <cellStyle name="Saída 7 2 4 2 4 3 2" xfId="54153"/>
    <cellStyle name="Saída 7 2 4 2 4 4" xfId="39322"/>
    <cellStyle name="Saída 7 2 4 2 5" xfId="11817"/>
    <cellStyle name="Saída 7 2 4 2 5 2" xfId="25800"/>
    <cellStyle name="Saída 7 2 4 2 5 2 2" xfId="54979"/>
    <cellStyle name="Saída 7 2 4 2 5 3" xfId="40998"/>
    <cellStyle name="Saída 7 2 4 2 6" xfId="21372"/>
    <cellStyle name="Saída 7 2 4 2 6 2" xfId="50551"/>
    <cellStyle name="Saída 7 2 4 2 7" xfId="31092"/>
    <cellStyle name="Saída 7 2 4 3" xfId="2809"/>
    <cellStyle name="Saída 7 2 4 3 2" xfId="5941"/>
    <cellStyle name="Saída 7 2 4 3 2 2" xfId="14804"/>
    <cellStyle name="Saída 7 2 4 3 2 2 2" xfId="27600"/>
    <cellStyle name="Saída 7 2 4 3 2 2 2 2" xfId="56779"/>
    <cellStyle name="Saída 7 2 4 3 2 2 3" xfId="43985"/>
    <cellStyle name="Saída 7 2 4 3 2 3" xfId="23172"/>
    <cellStyle name="Saída 7 2 4 3 2 3 2" xfId="52351"/>
    <cellStyle name="Saída 7 2 4 3 2 4" xfId="35124"/>
    <cellStyle name="Saída 7 2 4 3 3" xfId="9365"/>
    <cellStyle name="Saída 7 2 4 3 3 2" xfId="17312"/>
    <cellStyle name="Saída 7 2 4 3 3 2 2" xfId="29095"/>
    <cellStyle name="Saída 7 2 4 3 3 2 2 2" xfId="58274"/>
    <cellStyle name="Saída 7 2 4 3 3 2 3" xfId="46493"/>
    <cellStyle name="Saída 7 2 4 3 3 3" xfId="24667"/>
    <cellStyle name="Saída 7 2 4 3 3 3 2" xfId="53846"/>
    <cellStyle name="Saída 7 2 4 3 3 4" xfId="38548"/>
    <cellStyle name="Saída 7 2 4 3 4" xfId="12454"/>
    <cellStyle name="Saída 7 2 4 3 4 2" xfId="26160"/>
    <cellStyle name="Saída 7 2 4 3 4 2 2" xfId="55339"/>
    <cellStyle name="Saída 7 2 4 3 4 3" xfId="41635"/>
    <cellStyle name="Saída 7 2 4 3 5" xfId="21732"/>
    <cellStyle name="Saída 7 2 4 3 5 2" xfId="50911"/>
    <cellStyle name="Saída 7 2 4 3 6" xfId="31992"/>
    <cellStyle name="Saída 7 2 4 4" xfId="4501"/>
    <cellStyle name="Saída 7 2 4 4 2" xfId="13683"/>
    <cellStyle name="Saída 7 2 4 4 2 2" xfId="26880"/>
    <cellStyle name="Saída 7 2 4 4 2 2 2" xfId="56059"/>
    <cellStyle name="Saída 7 2 4 4 2 3" xfId="42864"/>
    <cellStyle name="Saída 7 2 4 4 3" xfId="22452"/>
    <cellStyle name="Saída 7 2 4 4 3 2" xfId="51631"/>
    <cellStyle name="Saída 7 2 4 4 4" xfId="33684"/>
    <cellStyle name="Saída 7 2 4 5" xfId="8539"/>
    <cellStyle name="Saída 7 2 4 5 2" xfId="16707"/>
    <cellStyle name="Saída 7 2 4 5 2 2" xfId="28760"/>
    <cellStyle name="Saída 7 2 4 5 2 2 2" xfId="57939"/>
    <cellStyle name="Saída 7 2 4 5 2 3" xfId="45888"/>
    <cellStyle name="Saída 7 2 4 5 3" xfId="24332"/>
    <cellStyle name="Saída 7 2 4 5 3 2" xfId="53511"/>
    <cellStyle name="Saída 7 2 4 5 4" xfId="37722"/>
    <cellStyle name="Saída 7 2 4 6" xfId="11180"/>
    <cellStyle name="Saída 7 2 4 6 2" xfId="25437"/>
    <cellStyle name="Saída 7 2 4 6 2 2" xfId="54616"/>
    <cellStyle name="Saída 7 2 4 6 3" xfId="40361"/>
    <cellStyle name="Saída 7 2 4 7" xfId="21009"/>
    <cellStyle name="Saída 7 2 4 7 2" xfId="50188"/>
    <cellStyle name="Saída 7 2 4 8" xfId="30189"/>
    <cellStyle name="Saída 7 2 5" xfId="1149"/>
    <cellStyle name="Saída 7 2 5 2" xfId="2053"/>
    <cellStyle name="Saída 7 2 5 2 2" xfId="3853"/>
    <cellStyle name="Saída 7 2 5 2 2 2" xfId="6778"/>
    <cellStyle name="Saída 7 2 5 2 2 2 2" xfId="15454"/>
    <cellStyle name="Saída 7 2 5 2 2 2 2 2" xfId="28023"/>
    <cellStyle name="Saída 7 2 5 2 2 2 2 2 2" xfId="57202"/>
    <cellStyle name="Saída 7 2 5 2 2 2 2 3" xfId="44635"/>
    <cellStyle name="Saída 7 2 5 2 2 2 3" xfId="23595"/>
    <cellStyle name="Saída 7 2 5 2 2 2 3 2" xfId="52774"/>
    <cellStyle name="Saída 7 2 5 2 2 2 4" xfId="35961"/>
    <cellStyle name="Saída 7 2 5 2 2 3" xfId="8448"/>
    <cellStyle name="Saída 7 2 5 2 2 3 2" xfId="16645"/>
    <cellStyle name="Saída 7 2 5 2 2 3 2 2" xfId="28726"/>
    <cellStyle name="Saída 7 2 5 2 2 3 2 2 2" xfId="57905"/>
    <cellStyle name="Saída 7 2 5 2 2 3 2 3" xfId="45826"/>
    <cellStyle name="Saída 7 2 5 2 2 3 3" xfId="24298"/>
    <cellStyle name="Saída 7 2 5 2 2 3 3 2" xfId="53477"/>
    <cellStyle name="Saída 7 2 5 2 2 3 4" xfId="37631"/>
    <cellStyle name="Saída 7 2 5 2 2 4" xfId="13193"/>
    <cellStyle name="Saída 7 2 5 2 2 4 2" xfId="26583"/>
    <cellStyle name="Saída 7 2 5 2 2 4 2 2" xfId="55762"/>
    <cellStyle name="Saída 7 2 5 2 2 4 3" xfId="42374"/>
    <cellStyle name="Saída 7 2 5 2 2 5" xfId="22155"/>
    <cellStyle name="Saída 7 2 5 2 2 5 2" xfId="51334"/>
    <cellStyle name="Saída 7 2 5 2 2 6" xfId="33036"/>
    <cellStyle name="Saída 7 2 5 2 3" xfId="5338"/>
    <cellStyle name="Saída 7 2 5 2 3 2" xfId="14333"/>
    <cellStyle name="Saída 7 2 5 2 3 2 2" xfId="27303"/>
    <cellStyle name="Saída 7 2 5 2 3 2 2 2" xfId="56482"/>
    <cellStyle name="Saída 7 2 5 2 3 2 3" xfId="43514"/>
    <cellStyle name="Saída 7 2 5 2 3 3" xfId="22875"/>
    <cellStyle name="Saída 7 2 5 2 3 3 2" xfId="52054"/>
    <cellStyle name="Saída 7 2 5 2 3 4" xfId="34521"/>
    <cellStyle name="Saída 7 2 5 2 4" xfId="9132"/>
    <cellStyle name="Saída 7 2 5 2 4 2" xfId="17140"/>
    <cellStyle name="Saída 7 2 5 2 4 2 2" xfId="29004"/>
    <cellStyle name="Saída 7 2 5 2 4 2 2 2" xfId="58183"/>
    <cellStyle name="Saída 7 2 5 2 4 2 3" xfId="46321"/>
    <cellStyle name="Saída 7 2 5 2 4 3" xfId="24576"/>
    <cellStyle name="Saída 7 2 5 2 4 3 2" xfId="53755"/>
    <cellStyle name="Saída 7 2 5 2 4 4" xfId="38315"/>
    <cellStyle name="Saída 7 2 5 2 5" xfId="11918"/>
    <cellStyle name="Saída 7 2 5 2 5 2" xfId="25863"/>
    <cellStyle name="Saída 7 2 5 2 5 2 2" xfId="55042"/>
    <cellStyle name="Saída 7 2 5 2 5 3" xfId="41099"/>
    <cellStyle name="Saída 7 2 5 2 6" xfId="21435"/>
    <cellStyle name="Saída 7 2 5 2 6 2" xfId="50614"/>
    <cellStyle name="Saída 7 2 5 2 7" xfId="31236"/>
    <cellStyle name="Saída 7 2 5 3" xfId="2953"/>
    <cellStyle name="Saída 7 2 5 3 2" xfId="6058"/>
    <cellStyle name="Saída 7 2 5 3 2 2" xfId="14895"/>
    <cellStyle name="Saída 7 2 5 3 2 2 2" xfId="27663"/>
    <cellStyle name="Saída 7 2 5 3 2 2 2 2" xfId="56842"/>
    <cellStyle name="Saída 7 2 5 3 2 2 3" xfId="44076"/>
    <cellStyle name="Saída 7 2 5 3 2 3" xfId="23235"/>
    <cellStyle name="Saída 7 2 5 3 2 3 2" xfId="52414"/>
    <cellStyle name="Saída 7 2 5 3 2 4" xfId="35241"/>
    <cellStyle name="Saída 7 2 5 3 3" xfId="7708"/>
    <cellStyle name="Saída 7 2 5 3 3 2" xfId="16121"/>
    <cellStyle name="Saída 7 2 5 3 3 2 2" xfId="28444"/>
    <cellStyle name="Saída 7 2 5 3 3 2 2 2" xfId="57623"/>
    <cellStyle name="Saída 7 2 5 3 3 2 3" xfId="45302"/>
    <cellStyle name="Saída 7 2 5 3 3 3" xfId="24016"/>
    <cellStyle name="Saída 7 2 5 3 3 3 2" xfId="53195"/>
    <cellStyle name="Saída 7 2 5 3 3 4" xfId="36891"/>
    <cellStyle name="Saída 7 2 5 3 4" xfId="12557"/>
    <cellStyle name="Saída 7 2 5 3 4 2" xfId="26223"/>
    <cellStyle name="Saída 7 2 5 3 4 2 2" xfId="55402"/>
    <cellStyle name="Saída 7 2 5 3 4 3" xfId="41738"/>
    <cellStyle name="Saída 7 2 5 3 5" xfId="21795"/>
    <cellStyle name="Saída 7 2 5 3 5 2" xfId="50974"/>
    <cellStyle name="Saída 7 2 5 3 6" xfId="32136"/>
    <cellStyle name="Saída 7 2 5 4" xfId="4618"/>
    <cellStyle name="Saída 7 2 5 4 2" xfId="13776"/>
    <cellStyle name="Saída 7 2 5 4 2 2" xfId="26943"/>
    <cellStyle name="Saída 7 2 5 4 2 2 2" xfId="56122"/>
    <cellStyle name="Saída 7 2 5 4 2 3" xfId="42957"/>
    <cellStyle name="Saída 7 2 5 4 3" xfId="22515"/>
    <cellStyle name="Saída 7 2 5 4 3 2" xfId="51694"/>
    <cellStyle name="Saída 7 2 5 4 4" xfId="33801"/>
    <cellStyle name="Saída 7 2 5 5" xfId="9561"/>
    <cellStyle name="Saída 7 2 5 5 2" xfId="17445"/>
    <cellStyle name="Saída 7 2 5 5 2 2" xfId="29176"/>
    <cellStyle name="Saída 7 2 5 5 2 2 2" xfId="58355"/>
    <cellStyle name="Saída 7 2 5 5 2 3" xfId="46626"/>
    <cellStyle name="Saída 7 2 5 5 3" xfId="24748"/>
    <cellStyle name="Saída 7 2 5 5 3 2" xfId="53927"/>
    <cellStyle name="Saída 7 2 5 5 4" xfId="38744"/>
    <cellStyle name="Saída 7 2 5 6" xfId="11286"/>
    <cellStyle name="Saída 7 2 5 6 2" xfId="25503"/>
    <cellStyle name="Saída 7 2 5 6 2 2" xfId="54682"/>
    <cellStyle name="Saída 7 2 5 6 3" xfId="40467"/>
    <cellStyle name="Saída 7 2 5 7" xfId="21075"/>
    <cellStyle name="Saída 7 2 5 7 2" xfId="50254"/>
    <cellStyle name="Saída 7 2 5 8" xfId="30336"/>
    <cellStyle name="Saída 7 2 6" xfId="1295"/>
    <cellStyle name="Saída 7 2 6 2" xfId="2197"/>
    <cellStyle name="Saída 7 2 6 2 2" xfId="3997"/>
    <cellStyle name="Saída 7 2 6 2 2 2" xfId="6895"/>
    <cellStyle name="Saída 7 2 6 2 2 2 2" xfId="15549"/>
    <cellStyle name="Saída 7 2 6 2 2 2 2 2" xfId="28086"/>
    <cellStyle name="Saída 7 2 6 2 2 2 2 2 2" xfId="57265"/>
    <cellStyle name="Saída 7 2 6 2 2 2 2 3" xfId="44730"/>
    <cellStyle name="Saída 7 2 6 2 2 2 3" xfId="23658"/>
    <cellStyle name="Saída 7 2 6 2 2 2 3 2" xfId="52837"/>
    <cellStyle name="Saída 7 2 6 2 2 2 4" xfId="36078"/>
    <cellStyle name="Saída 7 2 6 2 2 3" xfId="7083"/>
    <cellStyle name="Saída 7 2 6 2 2 3 2" xfId="15683"/>
    <cellStyle name="Saída 7 2 6 2 2 3 2 2" xfId="28182"/>
    <cellStyle name="Saída 7 2 6 2 2 3 2 2 2" xfId="57361"/>
    <cellStyle name="Saída 7 2 6 2 2 3 2 3" xfId="44864"/>
    <cellStyle name="Saída 7 2 6 2 2 3 3" xfId="23754"/>
    <cellStyle name="Saída 7 2 6 2 2 3 3 2" xfId="52933"/>
    <cellStyle name="Saída 7 2 6 2 2 3 4" xfId="36266"/>
    <cellStyle name="Saída 7 2 6 2 2 4" xfId="13298"/>
    <cellStyle name="Saída 7 2 6 2 2 4 2" xfId="26646"/>
    <cellStyle name="Saída 7 2 6 2 2 4 2 2" xfId="55825"/>
    <cellStyle name="Saída 7 2 6 2 2 4 3" xfId="42479"/>
    <cellStyle name="Saída 7 2 6 2 2 5" xfId="22218"/>
    <cellStyle name="Saída 7 2 6 2 2 5 2" xfId="51397"/>
    <cellStyle name="Saída 7 2 6 2 2 6" xfId="33180"/>
    <cellStyle name="Saída 7 2 6 2 3" xfId="5455"/>
    <cellStyle name="Saída 7 2 6 2 3 2" xfId="14429"/>
    <cellStyle name="Saída 7 2 6 2 3 2 2" xfId="27366"/>
    <cellStyle name="Saída 7 2 6 2 3 2 2 2" xfId="56545"/>
    <cellStyle name="Saída 7 2 6 2 3 2 3" xfId="43610"/>
    <cellStyle name="Saída 7 2 6 2 3 3" xfId="22938"/>
    <cellStyle name="Saída 7 2 6 2 3 3 2" xfId="52117"/>
    <cellStyle name="Saída 7 2 6 2 3 4" xfId="34638"/>
    <cellStyle name="Saída 7 2 6 2 4" xfId="9667"/>
    <cellStyle name="Saída 7 2 6 2 4 2" xfId="17519"/>
    <cellStyle name="Saída 7 2 6 2 4 2 2" xfId="29217"/>
    <cellStyle name="Saída 7 2 6 2 4 2 2 2" xfId="58396"/>
    <cellStyle name="Saída 7 2 6 2 4 2 3" xfId="46700"/>
    <cellStyle name="Saída 7 2 6 2 4 3" xfId="24789"/>
    <cellStyle name="Saída 7 2 6 2 4 3 2" xfId="53968"/>
    <cellStyle name="Saída 7 2 6 2 4 4" xfId="38850"/>
    <cellStyle name="Saída 7 2 6 2 5" xfId="12022"/>
    <cellStyle name="Saída 7 2 6 2 5 2" xfId="25926"/>
    <cellStyle name="Saída 7 2 6 2 5 2 2" xfId="55105"/>
    <cellStyle name="Saída 7 2 6 2 5 3" xfId="41203"/>
    <cellStyle name="Saída 7 2 6 2 6" xfId="21498"/>
    <cellStyle name="Saída 7 2 6 2 6 2" xfId="50677"/>
    <cellStyle name="Saída 7 2 6 2 7" xfId="31380"/>
    <cellStyle name="Saída 7 2 6 3" xfId="3097"/>
    <cellStyle name="Saída 7 2 6 3 2" xfId="6175"/>
    <cellStyle name="Saída 7 2 6 3 2 2" xfId="14990"/>
    <cellStyle name="Saída 7 2 6 3 2 2 2" xfId="27726"/>
    <cellStyle name="Saída 7 2 6 3 2 2 2 2" xfId="56905"/>
    <cellStyle name="Saída 7 2 6 3 2 2 3" xfId="44171"/>
    <cellStyle name="Saída 7 2 6 3 2 3" xfId="23298"/>
    <cellStyle name="Saída 7 2 6 3 2 3 2" xfId="52477"/>
    <cellStyle name="Saída 7 2 6 3 2 4" xfId="35358"/>
    <cellStyle name="Saída 7 2 6 3 3" xfId="8273"/>
    <cellStyle name="Saída 7 2 6 3 3 2" xfId="16522"/>
    <cellStyle name="Saída 7 2 6 3 3 2 2" xfId="28665"/>
    <cellStyle name="Saída 7 2 6 3 3 2 2 2" xfId="57844"/>
    <cellStyle name="Saída 7 2 6 3 3 2 3" xfId="45703"/>
    <cellStyle name="Saída 7 2 6 3 3 3" xfId="24237"/>
    <cellStyle name="Saída 7 2 6 3 3 3 2" xfId="53416"/>
    <cellStyle name="Saída 7 2 6 3 3 4" xfId="37456"/>
    <cellStyle name="Saída 7 2 6 3 4" xfId="12660"/>
    <cellStyle name="Saída 7 2 6 3 4 2" xfId="26286"/>
    <cellStyle name="Saída 7 2 6 3 4 2 2" xfId="55465"/>
    <cellStyle name="Saída 7 2 6 3 4 3" xfId="41841"/>
    <cellStyle name="Saída 7 2 6 3 5" xfId="21858"/>
    <cellStyle name="Saída 7 2 6 3 5 2" xfId="51037"/>
    <cellStyle name="Saída 7 2 6 3 6" xfId="32280"/>
    <cellStyle name="Saída 7 2 6 4" xfId="4735"/>
    <cellStyle name="Saída 7 2 6 4 2" xfId="13867"/>
    <cellStyle name="Saída 7 2 6 4 2 2" xfId="27006"/>
    <cellStyle name="Saída 7 2 6 4 2 2 2" xfId="56185"/>
    <cellStyle name="Saída 7 2 6 4 2 3" xfId="43048"/>
    <cellStyle name="Saída 7 2 6 4 3" xfId="22578"/>
    <cellStyle name="Saída 7 2 6 4 3 2" xfId="51757"/>
    <cellStyle name="Saída 7 2 6 4 4" xfId="33918"/>
    <cellStyle name="Saída 7 2 6 5" xfId="8712"/>
    <cellStyle name="Saída 7 2 6 5 2" xfId="16836"/>
    <cellStyle name="Saída 7 2 6 5 2 2" xfId="28837"/>
    <cellStyle name="Saída 7 2 6 5 2 2 2" xfId="58016"/>
    <cellStyle name="Saída 7 2 6 5 2 3" xfId="46017"/>
    <cellStyle name="Saída 7 2 6 5 3" xfId="24409"/>
    <cellStyle name="Saída 7 2 6 5 3 2" xfId="53588"/>
    <cellStyle name="Saída 7 2 6 5 4" xfId="37895"/>
    <cellStyle name="Saída 7 2 6 6" xfId="11392"/>
    <cellStyle name="Saída 7 2 6 6 2" xfId="25566"/>
    <cellStyle name="Saída 7 2 6 6 2 2" xfId="54745"/>
    <cellStyle name="Saída 7 2 6 6 3" xfId="40573"/>
    <cellStyle name="Saída 7 2 6 7" xfId="21138"/>
    <cellStyle name="Saída 7 2 6 7 2" xfId="50317"/>
    <cellStyle name="Saída 7 2 6 8" xfId="30480"/>
    <cellStyle name="Saída 7 2 7" xfId="1477"/>
    <cellStyle name="Saída 7 2 7 2" xfId="3277"/>
    <cellStyle name="Saída 7 2 7 2 2" xfId="6319"/>
    <cellStyle name="Saída 7 2 7 2 2 2" xfId="15093"/>
    <cellStyle name="Saída 7 2 7 2 2 2 2" xfId="27798"/>
    <cellStyle name="Saída 7 2 7 2 2 2 2 2" xfId="56977"/>
    <cellStyle name="Saída 7 2 7 2 2 2 3" xfId="44274"/>
    <cellStyle name="Saída 7 2 7 2 2 3" xfId="23370"/>
    <cellStyle name="Saída 7 2 7 2 2 3 2" xfId="52549"/>
    <cellStyle name="Saída 7 2 7 2 2 4" xfId="35502"/>
    <cellStyle name="Saída 7 2 7 2 3" xfId="9499"/>
    <cellStyle name="Saída 7 2 7 2 3 2" xfId="17402"/>
    <cellStyle name="Saída 7 2 7 2 3 2 2" xfId="29152"/>
    <cellStyle name="Saída 7 2 7 2 3 2 2 2" xfId="58331"/>
    <cellStyle name="Saída 7 2 7 2 3 2 3" xfId="46583"/>
    <cellStyle name="Saída 7 2 7 2 3 3" xfId="24724"/>
    <cellStyle name="Saída 7 2 7 2 3 3 2" xfId="53903"/>
    <cellStyle name="Saída 7 2 7 2 3 4" xfId="38682"/>
    <cellStyle name="Saída 7 2 7 2 4" xfId="12784"/>
    <cellStyle name="Saída 7 2 7 2 4 2" xfId="26358"/>
    <cellStyle name="Saída 7 2 7 2 4 2 2" xfId="55537"/>
    <cellStyle name="Saída 7 2 7 2 4 3" xfId="41965"/>
    <cellStyle name="Saída 7 2 7 2 5" xfId="21930"/>
    <cellStyle name="Saída 7 2 7 2 5 2" xfId="51109"/>
    <cellStyle name="Saída 7 2 7 2 6" xfId="32460"/>
    <cellStyle name="Saída 7 2 7 3" xfId="4879"/>
    <cellStyle name="Saída 7 2 7 3 2" xfId="13969"/>
    <cellStyle name="Saída 7 2 7 3 2 2" xfId="27078"/>
    <cellStyle name="Saída 7 2 7 3 2 2 2" xfId="56257"/>
    <cellStyle name="Saída 7 2 7 3 2 3" xfId="43150"/>
    <cellStyle name="Saída 7 2 7 3 3" xfId="22650"/>
    <cellStyle name="Saída 7 2 7 3 3 2" xfId="51829"/>
    <cellStyle name="Saída 7 2 7 3 4" xfId="34062"/>
    <cellStyle name="Saída 7 2 7 4" xfId="9303"/>
    <cellStyle name="Saída 7 2 7 4 2" xfId="17265"/>
    <cellStyle name="Saída 7 2 7 4 2 2" xfId="29068"/>
    <cellStyle name="Saída 7 2 7 4 2 2 2" xfId="58247"/>
    <cellStyle name="Saída 7 2 7 4 2 3" xfId="46446"/>
    <cellStyle name="Saída 7 2 7 4 3" xfId="24640"/>
    <cellStyle name="Saída 7 2 7 4 3 2" xfId="53819"/>
    <cellStyle name="Saída 7 2 7 4 4" xfId="38486"/>
    <cellStyle name="Saída 7 2 7 5" xfId="11514"/>
    <cellStyle name="Saída 7 2 7 5 2" xfId="25638"/>
    <cellStyle name="Saída 7 2 7 5 2 2" xfId="54817"/>
    <cellStyle name="Saída 7 2 7 5 3" xfId="40695"/>
    <cellStyle name="Saída 7 2 7 6" xfId="21210"/>
    <cellStyle name="Saída 7 2 7 6 2" xfId="50389"/>
    <cellStyle name="Saída 7 2 7 7" xfId="30660"/>
    <cellStyle name="Saída 7 2 8" xfId="2377"/>
    <cellStyle name="Saída 7 2 8 2" xfId="5599"/>
    <cellStyle name="Saída 7 2 8 2 2" xfId="14534"/>
    <cellStyle name="Saída 7 2 8 2 2 2" xfId="27438"/>
    <cellStyle name="Saída 7 2 8 2 2 2 2" xfId="56617"/>
    <cellStyle name="Saída 7 2 8 2 2 3" xfId="43715"/>
    <cellStyle name="Saída 7 2 8 2 3" xfId="23010"/>
    <cellStyle name="Saída 7 2 8 2 3 2" xfId="52189"/>
    <cellStyle name="Saída 7 2 8 2 4" xfId="34782"/>
    <cellStyle name="Saída 7 2 8 3" xfId="7981"/>
    <cellStyle name="Saída 7 2 8 3 2" xfId="16313"/>
    <cellStyle name="Saída 7 2 8 3 2 2" xfId="28549"/>
    <cellStyle name="Saída 7 2 8 3 2 2 2" xfId="57728"/>
    <cellStyle name="Saída 7 2 8 3 2 3" xfId="45494"/>
    <cellStyle name="Saída 7 2 8 3 3" xfId="24121"/>
    <cellStyle name="Saída 7 2 8 3 3 2" xfId="53300"/>
    <cellStyle name="Saída 7 2 8 3 4" xfId="37164"/>
    <cellStyle name="Saída 7 2 8 4" xfId="12143"/>
    <cellStyle name="Saída 7 2 8 4 2" xfId="25998"/>
    <cellStyle name="Saída 7 2 8 4 2 2" xfId="55177"/>
    <cellStyle name="Saída 7 2 8 4 3" xfId="41324"/>
    <cellStyle name="Saída 7 2 8 5" xfId="21570"/>
    <cellStyle name="Saída 7 2 8 5 2" xfId="50749"/>
    <cellStyle name="Saída 7 2 8 6" xfId="31560"/>
    <cellStyle name="Saída 7 2 9" xfId="4159"/>
    <cellStyle name="Saída 7 2 9 2" xfId="13412"/>
    <cellStyle name="Saída 7 2 9 2 2" xfId="26718"/>
    <cellStyle name="Saída 7 2 9 2 2 2" xfId="55897"/>
    <cellStyle name="Saída 7 2 9 2 3" xfId="42593"/>
    <cellStyle name="Saída 7 2 9 3" xfId="22290"/>
    <cellStyle name="Saída 7 2 9 3 2" xfId="51469"/>
    <cellStyle name="Saída 7 2 9 4" xfId="33342"/>
    <cellStyle name="Saída 7 3" xfId="499"/>
    <cellStyle name="Saída 7 3 10" xfId="10797"/>
    <cellStyle name="Saída 7 3 10 2" xfId="25196"/>
    <cellStyle name="Saída 7 3 10 2 2" xfId="54375"/>
    <cellStyle name="Saída 7 3 10 3" xfId="39978"/>
    <cellStyle name="Saída 7 3 11" xfId="20768"/>
    <cellStyle name="Saída 7 3 11 2" xfId="49947"/>
    <cellStyle name="Saída 7 3 12" xfId="29705"/>
    <cellStyle name="Saída 7 3 2" xfId="852"/>
    <cellStyle name="Saída 7 3 2 2" xfId="1790"/>
    <cellStyle name="Saída 7 3 2 2 2" xfId="3590"/>
    <cellStyle name="Saída 7 3 2 2 2 2" xfId="6569"/>
    <cellStyle name="Saída 7 3 2 2 2 2 2" xfId="15286"/>
    <cellStyle name="Saída 7 3 2 2 2 2 2 2" xfId="27904"/>
    <cellStyle name="Saída 7 3 2 2 2 2 2 2 2" xfId="57083"/>
    <cellStyle name="Saída 7 3 2 2 2 2 2 3" xfId="44467"/>
    <cellStyle name="Saída 7 3 2 2 2 2 3" xfId="23476"/>
    <cellStyle name="Saída 7 3 2 2 2 2 3 2" xfId="52655"/>
    <cellStyle name="Saída 7 3 2 2 2 2 4" xfId="35752"/>
    <cellStyle name="Saída 7 3 2 2 2 3" xfId="10499"/>
    <cellStyle name="Saída 7 3 2 2 2 3 2" xfId="18106"/>
    <cellStyle name="Saída 7 3 2 2 2 3 2 2" xfId="29542"/>
    <cellStyle name="Saída 7 3 2 2 2 3 2 2 2" xfId="58721"/>
    <cellStyle name="Saída 7 3 2 2 2 3 2 3" xfId="47287"/>
    <cellStyle name="Saída 7 3 2 2 2 3 3" xfId="25114"/>
    <cellStyle name="Saída 7 3 2 2 2 3 3 2" xfId="54293"/>
    <cellStyle name="Saída 7 3 2 2 2 3 4" xfId="39682"/>
    <cellStyle name="Saída 7 3 2 2 2 4" xfId="13002"/>
    <cellStyle name="Saída 7 3 2 2 2 4 2" xfId="26464"/>
    <cellStyle name="Saída 7 3 2 2 2 4 2 2" xfId="55643"/>
    <cellStyle name="Saída 7 3 2 2 2 4 3" xfId="42183"/>
    <cellStyle name="Saída 7 3 2 2 2 5" xfId="22036"/>
    <cellStyle name="Saída 7 3 2 2 2 5 2" xfId="51215"/>
    <cellStyle name="Saída 7 3 2 2 2 6" xfId="32773"/>
    <cellStyle name="Saída 7 3 2 2 3" xfId="5129"/>
    <cellStyle name="Saída 7 3 2 2 3 2" xfId="14163"/>
    <cellStyle name="Saída 7 3 2 2 3 2 2" xfId="27184"/>
    <cellStyle name="Saída 7 3 2 2 3 2 2 2" xfId="56363"/>
    <cellStyle name="Saída 7 3 2 2 3 2 3" xfId="43344"/>
    <cellStyle name="Saída 7 3 2 2 3 3" xfId="22756"/>
    <cellStyle name="Saída 7 3 2 2 3 3 2" xfId="51935"/>
    <cellStyle name="Saída 7 3 2 2 3 4" xfId="34312"/>
    <cellStyle name="Saída 7 3 2 2 4" xfId="10102"/>
    <cellStyle name="Saída 7 3 2 2 4 2" xfId="17829"/>
    <cellStyle name="Saída 7 3 2 2 4 2 2" xfId="29389"/>
    <cellStyle name="Saída 7 3 2 2 4 2 2 2" xfId="58568"/>
    <cellStyle name="Saída 7 3 2 2 4 2 3" xfId="47010"/>
    <cellStyle name="Saída 7 3 2 2 4 3" xfId="24961"/>
    <cellStyle name="Saída 7 3 2 2 4 3 2" xfId="54140"/>
    <cellStyle name="Saída 7 3 2 2 4 4" xfId="39285"/>
    <cellStyle name="Saída 7 3 2 2 5" xfId="11728"/>
    <cellStyle name="Saída 7 3 2 2 5 2" xfId="25744"/>
    <cellStyle name="Saída 7 3 2 2 5 2 2" xfId="54923"/>
    <cellStyle name="Saída 7 3 2 2 5 3" xfId="40909"/>
    <cellStyle name="Saída 7 3 2 2 6" xfId="21316"/>
    <cellStyle name="Saída 7 3 2 2 6 2" xfId="50495"/>
    <cellStyle name="Saída 7 3 2 2 7" xfId="30973"/>
    <cellStyle name="Saída 7 3 2 3" xfId="2690"/>
    <cellStyle name="Saída 7 3 2 3 2" xfId="5849"/>
    <cellStyle name="Saída 7 3 2 3 2 2" xfId="14730"/>
    <cellStyle name="Saída 7 3 2 3 2 2 2" xfId="27544"/>
    <cellStyle name="Saída 7 3 2 3 2 2 2 2" xfId="56723"/>
    <cellStyle name="Saída 7 3 2 3 2 2 3" xfId="43911"/>
    <cellStyle name="Saída 7 3 2 3 2 3" xfId="23116"/>
    <cellStyle name="Saída 7 3 2 3 2 3 2" xfId="52295"/>
    <cellStyle name="Saída 7 3 2 3 2 4" xfId="35032"/>
    <cellStyle name="Saída 7 3 2 3 3" xfId="9327"/>
    <cellStyle name="Saída 7 3 2 3 3 2" xfId="17285"/>
    <cellStyle name="Saída 7 3 2 3 3 2 2" xfId="29080"/>
    <cellStyle name="Saída 7 3 2 3 3 2 2 2" xfId="58259"/>
    <cellStyle name="Saída 7 3 2 3 3 2 3" xfId="46466"/>
    <cellStyle name="Saída 7 3 2 3 3 3" xfId="24652"/>
    <cellStyle name="Saída 7 3 2 3 3 3 2" xfId="53831"/>
    <cellStyle name="Saída 7 3 2 3 3 4" xfId="38510"/>
    <cellStyle name="Saída 7 3 2 3 4" xfId="12365"/>
    <cellStyle name="Saída 7 3 2 3 4 2" xfId="26104"/>
    <cellStyle name="Saída 7 3 2 3 4 2 2" xfId="55283"/>
    <cellStyle name="Saída 7 3 2 3 4 3" xfId="41546"/>
    <cellStyle name="Saída 7 3 2 3 5" xfId="21676"/>
    <cellStyle name="Saída 7 3 2 3 5 2" xfId="50855"/>
    <cellStyle name="Saída 7 3 2 3 6" xfId="31873"/>
    <cellStyle name="Saída 7 3 2 4" xfId="4409"/>
    <cellStyle name="Saída 7 3 2 4 2" xfId="13607"/>
    <cellStyle name="Saída 7 3 2 4 2 2" xfId="26824"/>
    <cellStyle name="Saída 7 3 2 4 2 2 2" xfId="56003"/>
    <cellStyle name="Saída 7 3 2 4 2 3" xfId="42788"/>
    <cellStyle name="Saída 7 3 2 4 3" xfId="22396"/>
    <cellStyle name="Saída 7 3 2 4 3 2" xfId="51575"/>
    <cellStyle name="Saída 7 3 2 4 4" xfId="33592"/>
    <cellStyle name="Saída 7 3 2 5" xfId="9524"/>
    <cellStyle name="Saída 7 3 2 5 2" xfId="17420"/>
    <cellStyle name="Saída 7 3 2 5 2 2" xfId="29163"/>
    <cellStyle name="Saída 7 3 2 5 2 2 2" xfId="58342"/>
    <cellStyle name="Saída 7 3 2 5 2 3" xfId="46601"/>
    <cellStyle name="Saída 7 3 2 5 3" xfId="24735"/>
    <cellStyle name="Saída 7 3 2 5 3 2" xfId="53914"/>
    <cellStyle name="Saída 7 3 2 5 4" xfId="38707"/>
    <cellStyle name="Saída 7 3 2 6" xfId="11067"/>
    <cellStyle name="Saída 7 3 2 6 2" xfId="25360"/>
    <cellStyle name="Saída 7 3 2 6 2 2" xfId="54539"/>
    <cellStyle name="Saída 7 3 2 6 3" xfId="40248"/>
    <cellStyle name="Saída 7 3 2 7" xfId="20932"/>
    <cellStyle name="Saída 7 3 2 7 2" xfId="50111"/>
    <cellStyle name="Saída 7 3 2 8" xfId="30049"/>
    <cellStyle name="Saída 7 3 3" xfId="1044"/>
    <cellStyle name="Saída 7 3 3 2" xfId="1954"/>
    <cellStyle name="Saída 7 3 3 2 2" xfId="3754"/>
    <cellStyle name="Saída 7 3 3 2 2 2" xfId="6697"/>
    <cellStyle name="Saída 7 3 3 2 2 2 2" xfId="15391"/>
    <cellStyle name="Saída 7 3 3 2 2 2 2 2" xfId="27978"/>
    <cellStyle name="Saída 7 3 3 2 2 2 2 2 2" xfId="57157"/>
    <cellStyle name="Saída 7 3 3 2 2 2 2 3" xfId="44572"/>
    <cellStyle name="Saída 7 3 3 2 2 2 3" xfId="23550"/>
    <cellStyle name="Saída 7 3 3 2 2 2 3 2" xfId="52729"/>
    <cellStyle name="Saída 7 3 3 2 2 2 4" xfId="35880"/>
    <cellStyle name="Saída 7 3 3 2 2 3" xfId="10377"/>
    <cellStyle name="Saída 7 3 3 2 2 3 2" xfId="18019"/>
    <cellStyle name="Saída 7 3 3 2 2 3 2 2" xfId="29495"/>
    <cellStyle name="Saída 7 3 3 2 2 3 2 2 2" xfId="58674"/>
    <cellStyle name="Saída 7 3 3 2 2 3 2 3" xfId="47200"/>
    <cellStyle name="Saída 7 3 3 2 2 3 3" xfId="25067"/>
    <cellStyle name="Saída 7 3 3 2 2 3 3 2" xfId="54246"/>
    <cellStyle name="Saída 7 3 3 2 2 3 4" xfId="39560"/>
    <cellStyle name="Saída 7 3 3 2 2 4" xfId="13124"/>
    <cellStyle name="Saída 7 3 3 2 2 4 2" xfId="26538"/>
    <cellStyle name="Saída 7 3 3 2 2 4 2 2" xfId="55717"/>
    <cellStyle name="Saída 7 3 3 2 2 4 3" xfId="42305"/>
    <cellStyle name="Saída 7 3 3 2 2 5" xfId="22110"/>
    <cellStyle name="Saída 7 3 3 2 2 5 2" xfId="51289"/>
    <cellStyle name="Saída 7 3 3 2 2 6" xfId="32937"/>
    <cellStyle name="Saída 7 3 3 2 3" xfId="5257"/>
    <cellStyle name="Saída 7 3 3 2 3 2" xfId="14270"/>
    <cellStyle name="Saída 7 3 3 2 3 2 2" xfId="27258"/>
    <cellStyle name="Saída 7 3 3 2 3 2 2 2" xfId="56437"/>
    <cellStyle name="Saída 7 3 3 2 3 2 3" xfId="43451"/>
    <cellStyle name="Saída 7 3 3 2 3 3" xfId="22830"/>
    <cellStyle name="Saída 7 3 3 2 3 3 2" xfId="52009"/>
    <cellStyle name="Saída 7 3 3 2 3 4" xfId="34440"/>
    <cellStyle name="Saída 7 3 3 2 4" xfId="9057"/>
    <cellStyle name="Saída 7 3 3 2 4 2" xfId="17094"/>
    <cellStyle name="Saída 7 3 3 2 4 2 2" xfId="28977"/>
    <cellStyle name="Saída 7 3 3 2 4 2 2 2" xfId="58156"/>
    <cellStyle name="Saída 7 3 3 2 4 2 3" xfId="46275"/>
    <cellStyle name="Saída 7 3 3 2 4 3" xfId="24549"/>
    <cellStyle name="Saída 7 3 3 2 4 3 2" xfId="53728"/>
    <cellStyle name="Saída 7 3 3 2 4 4" xfId="38240"/>
    <cellStyle name="Saída 7 3 3 2 5" xfId="11848"/>
    <cellStyle name="Saída 7 3 3 2 5 2" xfId="25818"/>
    <cellStyle name="Saída 7 3 3 2 5 2 2" xfId="54997"/>
    <cellStyle name="Saída 7 3 3 2 5 3" xfId="41029"/>
    <cellStyle name="Saída 7 3 3 2 6" xfId="21390"/>
    <cellStyle name="Saída 7 3 3 2 6 2" xfId="50569"/>
    <cellStyle name="Saída 7 3 3 2 7" xfId="31137"/>
    <cellStyle name="Saída 7 3 3 3" xfId="2854"/>
    <cellStyle name="Saída 7 3 3 3 2" xfId="5977"/>
    <cellStyle name="Saída 7 3 3 3 2 2" xfId="14834"/>
    <cellStyle name="Saída 7 3 3 3 2 2 2" xfId="27618"/>
    <cellStyle name="Saída 7 3 3 3 2 2 2 2" xfId="56797"/>
    <cellStyle name="Saída 7 3 3 3 2 2 3" xfId="44015"/>
    <cellStyle name="Saída 7 3 3 3 2 3" xfId="23190"/>
    <cellStyle name="Saída 7 3 3 3 2 3 2" xfId="52369"/>
    <cellStyle name="Saída 7 3 3 3 2 4" xfId="35160"/>
    <cellStyle name="Saída 7 3 3 3 3" xfId="7420"/>
    <cellStyle name="Saída 7 3 3 3 3 2" xfId="15924"/>
    <cellStyle name="Saída 7 3 3 3 3 2 2" xfId="28333"/>
    <cellStyle name="Saída 7 3 3 3 3 2 2 2" xfId="57512"/>
    <cellStyle name="Saída 7 3 3 3 3 2 3" xfId="45105"/>
    <cellStyle name="Saída 7 3 3 3 3 3" xfId="23905"/>
    <cellStyle name="Saída 7 3 3 3 3 3 2" xfId="53084"/>
    <cellStyle name="Saída 7 3 3 3 3 4" xfId="36603"/>
    <cellStyle name="Saída 7 3 3 3 4" xfId="12487"/>
    <cellStyle name="Saída 7 3 3 3 4 2" xfId="26178"/>
    <cellStyle name="Saída 7 3 3 3 4 2 2" xfId="55357"/>
    <cellStyle name="Saída 7 3 3 3 4 3" xfId="41668"/>
    <cellStyle name="Saída 7 3 3 3 5" xfId="21750"/>
    <cellStyle name="Saída 7 3 3 3 5 2" xfId="50929"/>
    <cellStyle name="Saída 7 3 3 3 6" xfId="32037"/>
    <cellStyle name="Saída 7 3 3 4" xfId="4537"/>
    <cellStyle name="Saída 7 3 3 4 2" xfId="13713"/>
    <cellStyle name="Saída 7 3 3 4 2 2" xfId="26898"/>
    <cellStyle name="Saída 7 3 3 4 2 2 2" xfId="56077"/>
    <cellStyle name="Saída 7 3 3 4 2 3" xfId="42894"/>
    <cellStyle name="Saída 7 3 3 4 3" xfId="22470"/>
    <cellStyle name="Saída 7 3 3 4 3 2" xfId="51649"/>
    <cellStyle name="Saída 7 3 3 4 4" xfId="33720"/>
    <cellStyle name="Saída 7 3 3 5" xfId="8334"/>
    <cellStyle name="Saída 7 3 3 5 2" xfId="16566"/>
    <cellStyle name="Saída 7 3 3 5 2 2" xfId="28686"/>
    <cellStyle name="Saída 7 3 3 5 2 2 2" xfId="57865"/>
    <cellStyle name="Saída 7 3 3 5 2 3" xfId="45747"/>
    <cellStyle name="Saída 7 3 3 5 3" xfId="24258"/>
    <cellStyle name="Saída 7 3 3 5 3 2" xfId="53437"/>
    <cellStyle name="Saída 7 3 3 5 4" xfId="37517"/>
    <cellStyle name="Saída 7 3 3 6" xfId="11211"/>
    <cellStyle name="Saída 7 3 3 6 2" xfId="25455"/>
    <cellStyle name="Saída 7 3 3 6 2 2" xfId="54634"/>
    <cellStyle name="Saída 7 3 3 6 3" xfId="40392"/>
    <cellStyle name="Saída 7 3 3 7" xfId="21027"/>
    <cellStyle name="Saída 7 3 3 7 2" xfId="50206"/>
    <cellStyle name="Saída 7 3 3 8" xfId="30234"/>
    <cellStyle name="Saída 7 3 4" xfId="1194"/>
    <cellStyle name="Saída 7 3 4 2" xfId="2098"/>
    <cellStyle name="Saída 7 3 4 2 2" xfId="3898"/>
    <cellStyle name="Saída 7 3 4 2 2 2" xfId="6814"/>
    <cellStyle name="Saída 7 3 4 2 2 2 2" xfId="15484"/>
    <cellStyle name="Saída 7 3 4 2 2 2 2 2" xfId="28041"/>
    <cellStyle name="Saída 7 3 4 2 2 2 2 2 2" xfId="57220"/>
    <cellStyle name="Saída 7 3 4 2 2 2 2 3" xfId="44665"/>
    <cellStyle name="Saída 7 3 4 2 2 2 3" xfId="23613"/>
    <cellStyle name="Saída 7 3 4 2 2 2 3 2" xfId="52792"/>
    <cellStyle name="Saída 7 3 4 2 2 2 4" xfId="35997"/>
    <cellStyle name="Saída 7 3 4 2 2 3" xfId="9413"/>
    <cellStyle name="Saída 7 3 4 2 2 3 2" xfId="17342"/>
    <cellStyle name="Saída 7 3 4 2 2 3 2 2" xfId="29115"/>
    <cellStyle name="Saída 7 3 4 2 2 3 2 2 2" xfId="58294"/>
    <cellStyle name="Saída 7 3 4 2 2 3 2 3" xfId="46523"/>
    <cellStyle name="Saída 7 3 4 2 2 3 3" xfId="24687"/>
    <cellStyle name="Saída 7 3 4 2 2 3 3 2" xfId="53866"/>
    <cellStyle name="Saída 7 3 4 2 2 3 4" xfId="38596"/>
    <cellStyle name="Saída 7 3 4 2 2 4" xfId="13226"/>
    <cellStyle name="Saída 7 3 4 2 2 4 2" xfId="26601"/>
    <cellStyle name="Saída 7 3 4 2 2 4 2 2" xfId="55780"/>
    <cellStyle name="Saída 7 3 4 2 2 4 3" xfId="42407"/>
    <cellStyle name="Saída 7 3 4 2 2 5" xfId="22173"/>
    <cellStyle name="Saída 7 3 4 2 2 5 2" xfId="51352"/>
    <cellStyle name="Saída 7 3 4 2 2 6" xfId="33081"/>
    <cellStyle name="Saída 7 3 4 2 3" xfId="5374"/>
    <cellStyle name="Saída 7 3 4 2 3 2" xfId="14362"/>
    <cellStyle name="Saída 7 3 4 2 3 2 2" xfId="27321"/>
    <cellStyle name="Saída 7 3 4 2 3 2 2 2" xfId="56500"/>
    <cellStyle name="Saída 7 3 4 2 3 2 3" xfId="43543"/>
    <cellStyle name="Saída 7 3 4 2 3 3" xfId="22893"/>
    <cellStyle name="Saída 7 3 4 2 3 3 2" xfId="52072"/>
    <cellStyle name="Saída 7 3 4 2 3 4" xfId="34557"/>
    <cellStyle name="Saída 7 3 4 2 4" xfId="10475"/>
    <cellStyle name="Saída 7 3 4 2 4 2" xfId="18092"/>
    <cellStyle name="Saída 7 3 4 2 4 2 2" xfId="29533"/>
    <cellStyle name="Saída 7 3 4 2 4 2 2 2" xfId="58712"/>
    <cellStyle name="Saída 7 3 4 2 4 2 3" xfId="47273"/>
    <cellStyle name="Saída 7 3 4 2 4 3" xfId="25105"/>
    <cellStyle name="Saída 7 3 4 2 4 3 2" xfId="54284"/>
    <cellStyle name="Saída 7 3 4 2 4 4" xfId="39658"/>
    <cellStyle name="Saída 7 3 4 2 5" xfId="11952"/>
    <cellStyle name="Saída 7 3 4 2 5 2" xfId="25881"/>
    <cellStyle name="Saída 7 3 4 2 5 2 2" xfId="55060"/>
    <cellStyle name="Saída 7 3 4 2 5 3" xfId="41133"/>
    <cellStyle name="Saída 7 3 4 2 6" xfId="21453"/>
    <cellStyle name="Saída 7 3 4 2 6 2" xfId="50632"/>
    <cellStyle name="Saída 7 3 4 2 7" xfId="31281"/>
    <cellStyle name="Saída 7 3 4 3" xfId="2998"/>
    <cellStyle name="Saída 7 3 4 3 2" xfId="6094"/>
    <cellStyle name="Saída 7 3 4 3 2 2" xfId="14923"/>
    <cellStyle name="Saída 7 3 4 3 2 2 2" xfId="27681"/>
    <cellStyle name="Saída 7 3 4 3 2 2 2 2" xfId="56860"/>
    <cellStyle name="Saída 7 3 4 3 2 2 3" xfId="44104"/>
    <cellStyle name="Saída 7 3 4 3 2 3" xfId="23253"/>
    <cellStyle name="Saída 7 3 4 3 2 3 2" xfId="52432"/>
    <cellStyle name="Saída 7 3 4 3 2 4" xfId="35277"/>
    <cellStyle name="Saída 7 3 4 3 3" xfId="9697"/>
    <cellStyle name="Saída 7 3 4 3 3 2" xfId="17542"/>
    <cellStyle name="Saída 7 3 4 3 3 2 2" xfId="29228"/>
    <cellStyle name="Saída 7 3 4 3 3 2 2 2" xfId="58407"/>
    <cellStyle name="Saída 7 3 4 3 3 2 3" xfId="46723"/>
    <cellStyle name="Saída 7 3 4 3 3 3" xfId="24800"/>
    <cellStyle name="Saída 7 3 4 3 3 3 2" xfId="53979"/>
    <cellStyle name="Saída 7 3 4 3 3 4" xfId="38880"/>
    <cellStyle name="Saída 7 3 4 3 4" xfId="12587"/>
    <cellStyle name="Saída 7 3 4 3 4 2" xfId="26241"/>
    <cellStyle name="Saída 7 3 4 3 4 2 2" xfId="55420"/>
    <cellStyle name="Saída 7 3 4 3 4 3" xfId="41768"/>
    <cellStyle name="Saída 7 3 4 3 5" xfId="21813"/>
    <cellStyle name="Saída 7 3 4 3 5 2" xfId="50992"/>
    <cellStyle name="Saída 7 3 4 3 6" xfId="32181"/>
    <cellStyle name="Saída 7 3 4 4" xfId="4654"/>
    <cellStyle name="Saída 7 3 4 4 2" xfId="13803"/>
    <cellStyle name="Saída 7 3 4 4 2 2" xfId="26961"/>
    <cellStyle name="Saída 7 3 4 4 2 2 2" xfId="56140"/>
    <cellStyle name="Saída 7 3 4 4 2 3" xfId="42984"/>
    <cellStyle name="Saída 7 3 4 4 3" xfId="22533"/>
    <cellStyle name="Saída 7 3 4 4 3 2" xfId="51712"/>
    <cellStyle name="Saída 7 3 4 4 4" xfId="33837"/>
    <cellStyle name="Saída 7 3 4 5" xfId="9152"/>
    <cellStyle name="Saída 7 3 4 5 2" xfId="17155"/>
    <cellStyle name="Saída 7 3 4 5 2 2" xfId="29012"/>
    <cellStyle name="Saída 7 3 4 5 2 2 2" xfId="58191"/>
    <cellStyle name="Saída 7 3 4 5 2 3" xfId="46336"/>
    <cellStyle name="Saída 7 3 4 5 3" xfId="24584"/>
    <cellStyle name="Saída 7 3 4 5 3 2" xfId="53763"/>
    <cellStyle name="Saída 7 3 4 5 4" xfId="38335"/>
    <cellStyle name="Saída 7 3 4 6" xfId="11321"/>
    <cellStyle name="Saída 7 3 4 6 2" xfId="25521"/>
    <cellStyle name="Saída 7 3 4 6 2 2" xfId="54700"/>
    <cellStyle name="Saída 7 3 4 6 3" xfId="40502"/>
    <cellStyle name="Saída 7 3 4 7" xfId="21093"/>
    <cellStyle name="Saída 7 3 4 7 2" xfId="50272"/>
    <cellStyle name="Saída 7 3 4 8" xfId="30381"/>
    <cellStyle name="Saída 7 3 5" xfId="1340"/>
    <cellStyle name="Saída 7 3 5 2" xfId="2242"/>
    <cellStyle name="Saída 7 3 5 2 2" xfId="4042"/>
    <cellStyle name="Saída 7 3 5 2 2 2" xfId="6931"/>
    <cellStyle name="Saída 7 3 5 2 2 2 2" xfId="15574"/>
    <cellStyle name="Saída 7 3 5 2 2 2 2 2" xfId="28104"/>
    <cellStyle name="Saída 7 3 5 2 2 2 2 2 2" xfId="57283"/>
    <cellStyle name="Saída 7 3 5 2 2 2 2 3" xfId="44755"/>
    <cellStyle name="Saída 7 3 5 2 2 2 3" xfId="23676"/>
    <cellStyle name="Saída 7 3 5 2 2 2 3 2" xfId="52855"/>
    <cellStyle name="Saída 7 3 5 2 2 2 4" xfId="36114"/>
    <cellStyle name="Saída 7 3 5 2 2 3" xfId="7038"/>
    <cellStyle name="Saída 7 3 5 2 2 3 2" xfId="15655"/>
    <cellStyle name="Saída 7 3 5 2 2 3 2 2" xfId="28164"/>
    <cellStyle name="Saída 7 3 5 2 2 3 2 2 2" xfId="57343"/>
    <cellStyle name="Saída 7 3 5 2 2 3 2 3" xfId="44836"/>
    <cellStyle name="Saída 7 3 5 2 2 3 3" xfId="23736"/>
    <cellStyle name="Saída 7 3 5 2 2 3 3 2" xfId="52915"/>
    <cellStyle name="Saída 7 3 5 2 2 3 4" xfId="36221"/>
    <cellStyle name="Saída 7 3 5 2 2 4" xfId="13328"/>
    <cellStyle name="Saída 7 3 5 2 2 4 2" xfId="26664"/>
    <cellStyle name="Saída 7 3 5 2 2 4 2 2" xfId="55843"/>
    <cellStyle name="Saída 7 3 5 2 2 4 3" xfId="42509"/>
    <cellStyle name="Saída 7 3 5 2 2 5" xfId="22236"/>
    <cellStyle name="Saída 7 3 5 2 2 5 2" xfId="51415"/>
    <cellStyle name="Saída 7 3 5 2 2 6" xfId="33225"/>
    <cellStyle name="Saída 7 3 5 2 3" xfId="5491"/>
    <cellStyle name="Saída 7 3 5 2 3 2" xfId="14454"/>
    <cellStyle name="Saída 7 3 5 2 3 2 2" xfId="27384"/>
    <cellStyle name="Saída 7 3 5 2 3 2 2 2" xfId="56563"/>
    <cellStyle name="Saída 7 3 5 2 3 2 3" xfId="43635"/>
    <cellStyle name="Saída 7 3 5 2 3 3" xfId="22956"/>
    <cellStyle name="Saída 7 3 5 2 3 3 2" xfId="52135"/>
    <cellStyle name="Saída 7 3 5 2 3 4" xfId="34674"/>
    <cellStyle name="Saída 7 3 5 2 4" xfId="7301"/>
    <cellStyle name="Saída 7 3 5 2 4 2" xfId="15841"/>
    <cellStyle name="Saída 7 3 5 2 4 2 2" xfId="28280"/>
    <cellStyle name="Saída 7 3 5 2 4 2 2 2" xfId="57459"/>
    <cellStyle name="Saída 7 3 5 2 4 2 3" xfId="45022"/>
    <cellStyle name="Saída 7 3 5 2 4 3" xfId="23852"/>
    <cellStyle name="Saída 7 3 5 2 4 3 2" xfId="53031"/>
    <cellStyle name="Saída 7 3 5 2 4 4" xfId="36484"/>
    <cellStyle name="Saída 7 3 5 2 5" xfId="12051"/>
    <cellStyle name="Saída 7 3 5 2 5 2" xfId="25944"/>
    <cellStyle name="Saída 7 3 5 2 5 2 2" xfId="55123"/>
    <cellStyle name="Saída 7 3 5 2 5 3" xfId="41232"/>
    <cellStyle name="Saída 7 3 5 2 6" xfId="21516"/>
    <cellStyle name="Saída 7 3 5 2 6 2" xfId="50695"/>
    <cellStyle name="Saída 7 3 5 2 7" xfId="31425"/>
    <cellStyle name="Saída 7 3 5 3" xfId="3142"/>
    <cellStyle name="Saída 7 3 5 3 2" xfId="6211"/>
    <cellStyle name="Saída 7 3 5 3 2 2" xfId="15014"/>
    <cellStyle name="Saída 7 3 5 3 2 2 2" xfId="27744"/>
    <cellStyle name="Saída 7 3 5 3 2 2 2 2" xfId="56923"/>
    <cellStyle name="Saída 7 3 5 3 2 2 3" xfId="44195"/>
    <cellStyle name="Saída 7 3 5 3 2 3" xfId="23316"/>
    <cellStyle name="Saída 7 3 5 3 2 3 2" xfId="52495"/>
    <cellStyle name="Saída 7 3 5 3 2 4" xfId="35394"/>
    <cellStyle name="Saída 7 3 5 3 3" xfId="7227"/>
    <cellStyle name="Saída 7 3 5 3 3 2" xfId="15789"/>
    <cellStyle name="Saída 7 3 5 3 3 2 2" xfId="28248"/>
    <cellStyle name="Saída 7 3 5 3 3 2 2 2" xfId="57427"/>
    <cellStyle name="Saída 7 3 5 3 3 2 3" xfId="44970"/>
    <cellStyle name="Saída 7 3 5 3 3 3" xfId="23820"/>
    <cellStyle name="Saída 7 3 5 3 3 3 2" xfId="52999"/>
    <cellStyle name="Saída 7 3 5 3 3 4" xfId="36410"/>
    <cellStyle name="Saída 7 3 5 3 4" xfId="12689"/>
    <cellStyle name="Saída 7 3 5 3 4 2" xfId="26304"/>
    <cellStyle name="Saída 7 3 5 3 4 2 2" xfId="55483"/>
    <cellStyle name="Saída 7 3 5 3 4 3" xfId="41870"/>
    <cellStyle name="Saída 7 3 5 3 5" xfId="21876"/>
    <cellStyle name="Saída 7 3 5 3 5 2" xfId="51055"/>
    <cellStyle name="Saída 7 3 5 3 6" xfId="32325"/>
    <cellStyle name="Saída 7 3 5 4" xfId="4771"/>
    <cellStyle name="Saída 7 3 5 4 2" xfId="13891"/>
    <cellStyle name="Saída 7 3 5 4 2 2" xfId="27024"/>
    <cellStyle name="Saída 7 3 5 4 2 2 2" xfId="56203"/>
    <cellStyle name="Saída 7 3 5 4 2 3" xfId="43072"/>
    <cellStyle name="Saída 7 3 5 4 3" xfId="22596"/>
    <cellStyle name="Saída 7 3 5 4 3 2" xfId="51775"/>
    <cellStyle name="Saída 7 3 5 4 4" xfId="33954"/>
    <cellStyle name="Saída 7 3 5 5" xfId="7475"/>
    <cellStyle name="Saída 7 3 5 5 2" xfId="15959"/>
    <cellStyle name="Saída 7 3 5 5 2 2" xfId="28355"/>
    <cellStyle name="Saída 7 3 5 5 2 2 2" xfId="57534"/>
    <cellStyle name="Saída 7 3 5 5 2 3" xfId="45140"/>
    <cellStyle name="Saída 7 3 5 5 3" xfId="23927"/>
    <cellStyle name="Saída 7 3 5 5 3 2" xfId="53106"/>
    <cellStyle name="Saída 7 3 5 5 4" xfId="36658"/>
    <cellStyle name="Saída 7 3 5 6" xfId="11420"/>
    <cellStyle name="Saída 7 3 5 6 2" xfId="25584"/>
    <cellStyle name="Saída 7 3 5 6 2 2" xfId="54763"/>
    <cellStyle name="Saída 7 3 5 6 3" xfId="40601"/>
    <cellStyle name="Saída 7 3 5 7" xfId="21156"/>
    <cellStyle name="Saída 7 3 5 7 2" xfId="50335"/>
    <cellStyle name="Saída 7 3 5 8" xfId="30525"/>
    <cellStyle name="Saída 7 3 6" xfId="1522"/>
    <cellStyle name="Saída 7 3 6 2" xfId="3322"/>
    <cellStyle name="Saída 7 3 6 2 2" xfId="6355"/>
    <cellStyle name="Saída 7 3 6 2 2 2" xfId="15117"/>
    <cellStyle name="Saída 7 3 6 2 2 2 2" xfId="27816"/>
    <cellStyle name="Saída 7 3 6 2 2 2 2 2" xfId="56995"/>
    <cellStyle name="Saída 7 3 6 2 2 2 3" xfId="44298"/>
    <cellStyle name="Saída 7 3 6 2 2 3" xfId="23388"/>
    <cellStyle name="Saída 7 3 6 2 2 3 2" xfId="52567"/>
    <cellStyle name="Saída 7 3 6 2 2 4" xfId="35538"/>
    <cellStyle name="Saída 7 3 6 2 3" xfId="9320"/>
    <cellStyle name="Saída 7 3 6 2 3 2" xfId="17281"/>
    <cellStyle name="Saída 7 3 6 2 3 2 2" xfId="29076"/>
    <cellStyle name="Saída 7 3 6 2 3 2 2 2" xfId="58255"/>
    <cellStyle name="Saída 7 3 6 2 3 2 3" xfId="46462"/>
    <cellStyle name="Saída 7 3 6 2 3 3" xfId="24648"/>
    <cellStyle name="Saída 7 3 6 2 3 3 2" xfId="53827"/>
    <cellStyle name="Saída 7 3 6 2 3 4" xfId="38503"/>
    <cellStyle name="Saída 7 3 6 2 4" xfId="12813"/>
    <cellStyle name="Saída 7 3 6 2 4 2" xfId="26376"/>
    <cellStyle name="Saída 7 3 6 2 4 2 2" xfId="55555"/>
    <cellStyle name="Saída 7 3 6 2 4 3" xfId="41994"/>
    <cellStyle name="Saída 7 3 6 2 5" xfId="21948"/>
    <cellStyle name="Saída 7 3 6 2 5 2" xfId="51127"/>
    <cellStyle name="Saída 7 3 6 2 6" xfId="32505"/>
    <cellStyle name="Saída 7 3 6 3" xfId="4915"/>
    <cellStyle name="Saída 7 3 6 3 2" xfId="13996"/>
    <cellStyle name="Saída 7 3 6 3 2 2" xfId="27096"/>
    <cellStyle name="Saída 7 3 6 3 2 2 2" xfId="56275"/>
    <cellStyle name="Saída 7 3 6 3 2 3" xfId="43177"/>
    <cellStyle name="Saída 7 3 6 3 3" xfId="22668"/>
    <cellStyle name="Saída 7 3 6 3 3 2" xfId="51847"/>
    <cellStyle name="Saída 7 3 6 3 4" xfId="34098"/>
    <cellStyle name="Saída 7 3 6 4" xfId="9263"/>
    <cellStyle name="Saída 7 3 6 4 2" xfId="17239"/>
    <cellStyle name="Saída 7 3 6 4 2 2" xfId="29054"/>
    <cellStyle name="Saída 7 3 6 4 2 2 2" xfId="58233"/>
    <cellStyle name="Saída 7 3 6 4 2 3" xfId="46420"/>
    <cellStyle name="Saída 7 3 6 4 3" xfId="24626"/>
    <cellStyle name="Saída 7 3 6 4 3 2" xfId="53805"/>
    <cellStyle name="Saída 7 3 6 4 4" xfId="38446"/>
    <cellStyle name="Saída 7 3 6 5" xfId="11541"/>
    <cellStyle name="Saída 7 3 6 5 2" xfId="25656"/>
    <cellStyle name="Saída 7 3 6 5 2 2" xfId="54835"/>
    <cellStyle name="Saída 7 3 6 5 3" xfId="40722"/>
    <cellStyle name="Saída 7 3 6 6" xfId="21228"/>
    <cellStyle name="Saída 7 3 6 6 2" xfId="50407"/>
    <cellStyle name="Saída 7 3 6 7" xfId="30705"/>
    <cellStyle name="Saída 7 3 7" xfId="2422"/>
    <cellStyle name="Saída 7 3 7 2" xfId="5635"/>
    <cellStyle name="Saída 7 3 7 2 2" xfId="14563"/>
    <cellStyle name="Saída 7 3 7 2 2 2" xfId="27456"/>
    <cellStyle name="Saída 7 3 7 2 2 2 2" xfId="56635"/>
    <cellStyle name="Saída 7 3 7 2 2 3" xfId="43744"/>
    <cellStyle name="Saída 7 3 7 2 3" xfId="23028"/>
    <cellStyle name="Saída 7 3 7 2 3 2" xfId="52207"/>
    <cellStyle name="Saída 7 3 7 2 4" xfId="34818"/>
    <cellStyle name="Saída 7 3 7 3" xfId="7532"/>
    <cellStyle name="Saída 7 3 7 3 2" xfId="15998"/>
    <cellStyle name="Saída 7 3 7 3 2 2" xfId="28378"/>
    <cellStyle name="Saída 7 3 7 3 2 2 2" xfId="57557"/>
    <cellStyle name="Saída 7 3 7 3 2 3" xfId="45179"/>
    <cellStyle name="Saída 7 3 7 3 3" xfId="23950"/>
    <cellStyle name="Saída 7 3 7 3 3 2" xfId="53129"/>
    <cellStyle name="Saída 7 3 7 3 4" xfId="36715"/>
    <cellStyle name="Saída 7 3 7 4" xfId="12175"/>
    <cellStyle name="Saída 7 3 7 4 2" xfId="26016"/>
    <cellStyle name="Saída 7 3 7 4 2 2" xfId="55195"/>
    <cellStyle name="Saída 7 3 7 4 3" xfId="41356"/>
    <cellStyle name="Saída 7 3 7 5" xfId="21588"/>
    <cellStyle name="Saída 7 3 7 5 2" xfId="50767"/>
    <cellStyle name="Saída 7 3 7 6" xfId="31605"/>
    <cellStyle name="Saída 7 3 8" xfId="4195"/>
    <cellStyle name="Saída 7 3 8 2" xfId="13444"/>
    <cellStyle name="Saída 7 3 8 2 2" xfId="26736"/>
    <cellStyle name="Saída 7 3 8 2 2 2" xfId="55915"/>
    <cellStyle name="Saída 7 3 8 2 3" xfId="42625"/>
    <cellStyle name="Saída 7 3 8 3" xfId="22308"/>
    <cellStyle name="Saída 7 3 8 3 2" xfId="51487"/>
    <cellStyle name="Saída 7 3 8 4" xfId="33378"/>
    <cellStyle name="Saída 7 3 9" xfId="9111"/>
    <cellStyle name="Saída 7 3 9 2" xfId="17128"/>
    <cellStyle name="Saída 7 3 9 2 2" xfId="28997"/>
    <cellStyle name="Saída 7 3 9 2 2 2" xfId="58176"/>
    <cellStyle name="Saída 7 3 9 2 3" xfId="46309"/>
    <cellStyle name="Saída 7 3 9 3" xfId="24569"/>
    <cellStyle name="Saída 7 3 9 3 2" xfId="53748"/>
    <cellStyle name="Saída 7 3 9 4" xfId="38294"/>
    <cellStyle name="Saída 7 4" xfId="720"/>
    <cellStyle name="Saída 7 4 2" xfId="1682"/>
    <cellStyle name="Saída 7 4 2 2" xfId="3482"/>
    <cellStyle name="Saída 7 4 2 2 2" xfId="6488"/>
    <cellStyle name="Saída 7 4 2 2 2 2" xfId="15222"/>
    <cellStyle name="Saída 7 4 2 2 2 2 2" xfId="27859"/>
    <cellStyle name="Saída 7 4 2 2 2 2 2 2" xfId="57038"/>
    <cellStyle name="Saída 7 4 2 2 2 2 3" xfId="44403"/>
    <cellStyle name="Saída 7 4 2 2 2 3" xfId="23431"/>
    <cellStyle name="Saída 7 4 2 2 2 3 2" xfId="52610"/>
    <cellStyle name="Saída 7 4 2 2 2 4" xfId="35671"/>
    <cellStyle name="Saída 7 4 2 2 3" xfId="9318"/>
    <cellStyle name="Saída 7 4 2 2 3 2" xfId="17279"/>
    <cellStyle name="Saída 7 4 2 2 3 2 2" xfId="29075"/>
    <cellStyle name="Saída 7 4 2 2 3 2 2 2" xfId="58254"/>
    <cellStyle name="Saída 7 4 2 2 3 2 3" xfId="46460"/>
    <cellStyle name="Saída 7 4 2 2 3 3" xfId="24647"/>
    <cellStyle name="Saída 7 4 2 2 3 3 2" xfId="53826"/>
    <cellStyle name="Saída 7 4 2 2 3 4" xfId="38501"/>
    <cellStyle name="Saída 7 4 2 2 4" xfId="12926"/>
    <cellStyle name="Saída 7 4 2 2 4 2" xfId="26419"/>
    <cellStyle name="Saída 7 4 2 2 4 2 2" xfId="55598"/>
    <cellStyle name="Saída 7 4 2 2 4 3" xfId="42107"/>
    <cellStyle name="Saída 7 4 2 2 5" xfId="21991"/>
    <cellStyle name="Saída 7 4 2 2 5 2" xfId="51170"/>
    <cellStyle name="Saída 7 4 2 2 6" xfId="32665"/>
    <cellStyle name="Saída 7 4 2 3" xfId="5048"/>
    <cellStyle name="Saída 7 4 2 3 2" xfId="14098"/>
    <cellStyle name="Saída 7 4 2 3 2 2" xfId="27139"/>
    <cellStyle name="Saída 7 4 2 3 2 2 2" xfId="56318"/>
    <cellStyle name="Saída 7 4 2 3 2 3" xfId="43279"/>
    <cellStyle name="Saída 7 4 2 3 3" xfId="22711"/>
    <cellStyle name="Saída 7 4 2 3 3 2" xfId="51890"/>
    <cellStyle name="Saída 7 4 2 3 4" xfId="34231"/>
    <cellStyle name="Saída 7 4 2 4" xfId="9261"/>
    <cellStyle name="Saída 7 4 2 4 2" xfId="17237"/>
    <cellStyle name="Saída 7 4 2 4 2 2" xfId="29053"/>
    <cellStyle name="Saída 7 4 2 4 2 2 2" xfId="58232"/>
    <cellStyle name="Saída 7 4 2 4 2 3" xfId="46418"/>
    <cellStyle name="Saída 7 4 2 4 3" xfId="24625"/>
    <cellStyle name="Saída 7 4 2 4 3 2" xfId="53804"/>
    <cellStyle name="Saída 7 4 2 4 4" xfId="38444"/>
    <cellStyle name="Saída 7 4 2 5" xfId="11653"/>
    <cellStyle name="Saída 7 4 2 5 2" xfId="25699"/>
    <cellStyle name="Saída 7 4 2 5 2 2" xfId="54878"/>
    <cellStyle name="Saída 7 4 2 5 3" xfId="40834"/>
    <cellStyle name="Saída 7 4 2 6" xfId="21271"/>
    <cellStyle name="Saída 7 4 2 6 2" xfId="50450"/>
    <cellStyle name="Saída 7 4 2 7" xfId="30865"/>
    <cellStyle name="Saída 7 4 3" xfId="2582"/>
    <cellStyle name="Saída 7 4 3 2" xfId="5768"/>
    <cellStyle name="Saída 7 4 3 2 2" xfId="14663"/>
    <cellStyle name="Saída 7 4 3 2 2 2" xfId="27499"/>
    <cellStyle name="Saída 7 4 3 2 2 2 2" xfId="56678"/>
    <cellStyle name="Saída 7 4 3 2 2 3" xfId="43844"/>
    <cellStyle name="Saída 7 4 3 2 3" xfId="23071"/>
    <cellStyle name="Saída 7 4 3 2 3 2" xfId="52250"/>
    <cellStyle name="Saída 7 4 3 2 4" xfId="34951"/>
    <cellStyle name="Saída 7 4 3 3" xfId="7534"/>
    <cellStyle name="Saída 7 4 3 3 2" xfId="16000"/>
    <cellStyle name="Saída 7 4 3 3 2 2" xfId="28379"/>
    <cellStyle name="Saída 7 4 3 3 2 2 2" xfId="57558"/>
    <cellStyle name="Saída 7 4 3 3 2 3" xfId="45181"/>
    <cellStyle name="Saída 7 4 3 3 3" xfId="23951"/>
    <cellStyle name="Saída 7 4 3 3 3 2" xfId="53130"/>
    <cellStyle name="Saída 7 4 3 3 4" xfId="36717"/>
    <cellStyle name="Saída 7 4 3 4" xfId="12288"/>
    <cellStyle name="Saída 7 4 3 4 2" xfId="26059"/>
    <cellStyle name="Saída 7 4 3 4 2 2" xfId="55238"/>
    <cellStyle name="Saída 7 4 3 4 3" xfId="41469"/>
    <cellStyle name="Saída 7 4 3 5" xfId="21631"/>
    <cellStyle name="Saída 7 4 3 5 2" xfId="50810"/>
    <cellStyle name="Saída 7 4 3 6" xfId="31765"/>
    <cellStyle name="Saída 7 4 4" xfId="4328"/>
    <cellStyle name="Saída 7 4 4 2" xfId="13542"/>
    <cellStyle name="Saída 7 4 4 2 2" xfId="26779"/>
    <cellStyle name="Saída 7 4 4 2 2 2" xfId="55958"/>
    <cellStyle name="Saída 7 4 4 2 3" xfId="42723"/>
    <cellStyle name="Saída 7 4 4 3" xfId="22351"/>
    <cellStyle name="Saída 7 4 4 3 2" xfId="51530"/>
    <cellStyle name="Saída 7 4 4 4" xfId="33511"/>
    <cellStyle name="Saída 7 4 5" xfId="7365"/>
    <cellStyle name="Saída 7 4 5 2" xfId="15886"/>
    <cellStyle name="Saída 7 4 5 2 2" xfId="28310"/>
    <cellStyle name="Saída 7 4 5 2 2 2" xfId="57489"/>
    <cellStyle name="Saída 7 4 5 2 3" xfId="45067"/>
    <cellStyle name="Saída 7 4 5 3" xfId="23882"/>
    <cellStyle name="Saída 7 4 5 3 2" xfId="53061"/>
    <cellStyle name="Saída 7 4 5 4" xfId="36548"/>
    <cellStyle name="Saída 7 4 6" xfId="10970"/>
    <cellStyle name="Saída 7 4 6 2" xfId="25294"/>
    <cellStyle name="Saída 7 4 6 2 2" xfId="54473"/>
    <cellStyle name="Saída 7 4 6 3" xfId="40151"/>
    <cellStyle name="Saída 7 4 7" xfId="20866"/>
    <cellStyle name="Saída 7 4 7 2" xfId="50045"/>
    <cellStyle name="Saída 7 4 8" xfId="29920"/>
    <cellStyle name="Saída 7 5" xfId="558"/>
    <cellStyle name="Saída 7 5 2" xfId="1579"/>
    <cellStyle name="Saída 7 5 2 2" xfId="3379"/>
    <cellStyle name="Saída 7 5 2 2 2" xfId="6403"/>
    <cellStyle name="Saída 7 5 2 2 2 2" xfId="15158"/>
    <cellStyle name="Saída 7 5 2 2 2 2 2" xfId="27846"/>
    <cellStyle name="Saída 7 5 2 2 2 2 2 2" xfId="57025"/>
    <cellStyle name="Saída 7 5 2 2 2 2 3" xfId="44339"/>
    <cellStyle name="Saída 7 5 2 2 2 3" xfId="23418"/>
    <cellStyle name="Saída 7 5 2 2 2 3 2" xfId="52597"/>
    <cellStyle name="Saída 7 5 2 2 2 4" xfId="35586"/>
    <cellStyle name="Saída 7 5 2 2 3" xfId="9194"/>
    <cellStyle name="Saída 7 5 2 2 3 2" xfId="17190"/>
    <cellStyle name="Saída 7 5 2 2 3 2 2" xfId="29028"/>
    <cellStyle name="Saída 7 5 2 2 3 2 2 2" xfId="58207"/>
    <cellStyle name="Saída 7 5 2 2 3 2 3" xfId="46371"/>
    <cellStyle name="Saída 7 5 2 2 3 3" xfId="24600"/>
    <cellStyle name="Saída 7 5 2 2 3 3 2" xfId="53779"/>
    <cellStyle name="Saída 7 5 2 2 3 4" xfId="38377"/>
    <cellStyle name="Saída 7 5 2 2 4" xfId="12855"/>
    <cellStyle name="Saída 7 5 2 2 4 2" xfId="26406"/>
    <cellStyle name="Saída 7 5 2 2 4 2 2" xfId="55585"/>
    <cellStyle name="Saída 7 5 2 2 4 3" xfId="42036"/>
    <cellStyle name="Saída 7 5 2 2 5" xfId="21978"/>
    <cellStyle name="Saída 7 5 2 2 5 2" xfId="51157"/>
    <cellStyle name="Saída 7 5 2 2 6" xfId="32562"/>
    <cellStyle name="Saída 7 5 2 3" xfId="4963"/>
    <cellStyle name="Saída 7 5 2 3 2" xfId="14037"/>
    <cellStyle name="Saída 7 5 2 3 2 2" xfId="27126"/>
    <cellStyle name="Saída 7 5 2 3 2 2 2" xfId="56305"/>
    <cellStyle name="Saída 7 5 2 3 2 3" xfId="43218"/>
    <cellStyle name="Saída 7 5 2 3 3" xfId="22698"/>
    <cellStyle name="Saída 7 5 2 3 3 2" xfId="51877"/>
    <cellStyle name="Saída 7 5 2 3 4" xfId="34146"/>
    <cellStyle name="Saída 7 5 2 4" xfId="8211"/>
    <cellStyle name="Saída 7 5 2 4 2" xfId="16476"/>
    <cellStyle name="Saída 7 5 2 4 2 2" xfId="28638"/>
    <cellStyle name="Saída 7 5 2 4 2 2 2" xfId="57817"/>
    <cellStyle name="Saída 7 5 2 4 2 3" xfId="45657"/>
    <cellStyle name="Saída 7 5 2 4 3" xfId="24210"/>
    <cellStyle name="Saída 7 5 2 4 3 2" xfId="53389"/>
    <cellStyle name="Saída 7 5 2 4 4" xfId="37394"/>
    <cellStyle name="Saída 7 5 2 5" xfId="11584"/>
    <cellStyle name="Saída 7 5 2 5 2" xfId="25686"/>
    <cellStyle name="Saída 7 5 2 5 2 2" xfId="54865"/>
    <cellStyle name="Saída 7 5 2 5 3" xfId="40765"/>
    <cellStyle name="Saída 7 5 2 6" xfId="21258"/>
    <cellStyle name="Saída 7 5 2 6 2" xfId="50437"/>
    <cellStyle name="Saída 7 5 2 7" xfId="30762"/>
    <cellStyle name="Saída 7 5 3" xfId="2479"/>
    <cellStyle name="Saída 7 5 3 2" xfId="5683"/>
    <cellStyle name="Saída 7 5 3 2 2" xfId="14605"/>
    <cellStyle name="Saída 7 5 3 2 2 2" xfId="27486"/>
    <cellStyle name="Saída 7 5 3 2 2 2 2" xfId="56665"/>
    <cellStyle name="Saída 7 5 3 2 2 3" xfId="43786"/>
    <cellStyle name="Saída 7 5 3 2 3" xfId="23058"/>
    <cellStyle name="Saída 7 5 3 2 3 2" xfId="52237"/>
    <cellStyle name="Saída 7 5 3 2 4" xfId="34866"/>
    <cellStyle name="Saída 7 5 3 3" xfId="8976"/>
    <cellStyle name="Saída 7 5 3 3 2" xfId="17034"/>
    <cellStyle name="Saída 7 5 3 3 2 2" xfId="28940"/>
    <cellStyle name="Saída 7 5 3 3 2 2 2" xfId="58119"/>
    <cellStyle name="Saída 7 5 3 3 2 3" xfId="46215"/>
    <cellStyle name="Saída 7 5 3 3 3" xfId="24512"/>
    <cellStyle name="Saída 7 5 3 3 3 2" xfId="53691"/>
    <cellStyle name="Saída 7 5 3 3 4" xfId="38159"/>
    <cellStyle name="Saída 7 5 3 4" xfId="12221"/>
    <cellStyle name="Saída 7 5 3 4 2" xfId="26046"/>
    <cellStyle name="Saída 7 5 3 4 2 2" xfId="55225"/>
    <cellStyle name="Saída 7 5 3 4 3" xfId="41402"/>
    <cellStyle name="Saída 7 5 3 5" xfId="21618"/>
    <cellStyle name="Saída 7 5 3 5 2" xfId="50797"/>
    <cellStyle name="Saída 7 5 3 6" xfId="31662"/>
    <cellStyle name="Saída 7 5 4" xfId="4243"/>
    <cellStyle name="Saída 7 5 4 2" xfId="13486"/>
    <cellStyle name="Saída 7 5 4 2 2" xfId="26766"/>
    <cellStyle name="Saída 7 5 4 2 2 2" xfId="55945"/>
    <cellStyle name="Saída 7 5 4 2 3" xfId="42667"/>
    <cellStyle name="Saída 7 5 4 3" xfId="22338"/>
    <cellStyle name="Saída 7 5 4 3 2" xfId="51517"/>
    <cellStyle name="Saída 7 5 4 4" xfId="33426"/>
    <cellStyle name="Saída 7 5 5" xfId="7406"/>
    <cellStyle name="Saída 7 5 5 2" xfId="15915"/>
    <cellStyle name="Saída 7 5 5 2 2" xfId="28328"/>
    <cellStyle name="Saída 7 5 5 2 2 2" xfId="57507"/>
    <cellStyle name="Saída 7 5 5 2 3" xfId="45096"/>
    <cellStyle name="Saída 7 5 5 3" xfId="23900"/>
    <cellStyle name="Saída 7 5 5 3 2" xfId="53079"/>
    <cellStyle name="Saída 7 5 5 4" xfId="36589"/>
    <cellStyle name="Saída 7 5 6" xfId="10844"/>
    <cellStyle name="Saída 7 5 6 2" xfId="25227"/>
    <cellStyle name="Saída 7 5 6 2 2" xfId="54406"/>
    <cellStyle name="Saída 7 5 6 3" xfId="40025"/>
    <cellStyle name="Saída 7 5 7" xfId="20799"/>
    <cellStyle name="Saída 7 5 7 2" xfId="49978"/>
    <cellStyle name="Saída 7 5 8" xfId="29763"/>
    <cellStyle name="Saída 7 6" xfId="759"/>
    <cellStyle name="Saída 7 6 2" xfId="1700"/>
    <cellStyle name="Saída 7 6 2 2" xfId="3500"/>
    <cellStyle name="Saída 7 6 2 2 2" xfId="6497"/>
    <cellStyle name="Saída 7 6 2 2 2 2" xfId="15231"/>
    <cellStyle name="Saída 7 6 2 2 2 2 2" xfId="27868"/>
    <cellStyle name="Saída 7 6 2 2 2 2 2 2" xfId="57047"/>
    <cellStyle name="Saída 7 6 2 2 2 2 3" xfId="44412"/>
    <cellStyle name="Saída 7 6 2 2 2 3" xfId="23440"/>
    <cellStyle name="Saída 7 6 2 2 2 3 2" xfId="52619"/>
    <cellStyle name="Saída 7 6 2 2 2 4" xfId="35680"/>
    <cellStyle name="Saída 7 6 2 2 3" xfId="8650"/>
    <cellStyle name="Saída 7 6 2 2 3 2" xfId="16790"/>
    <cellStyle name="Saída 7 6 2 2 3 2 2" xfId="28809"/>
    <cellStyle name="Saída 7 6 2 2 3 2 2 2" xfId="57988"/>
    <cellStyle name="Saída 7 6 2 2 3 2 3" xfId="45971"/>
    <cellStyle name="Saída 7 6 2 2 3 3" xfId="24381"/>
    <cellStyle name="Saída 7 6 2 2 3 3 2" xfId="53560"/>
    <cellStyle name="Saída 7 6 2 2 3 4" xfId="37833"/>
    <cellStyle name="Saída 7 6 2 2 4" xfId="12937"/>
    <cellStyle name="Saída 7 6 2 2 4 2" xfId="26428"/>
    <cellStyle name="Saída 7 6 2 2 4 2 2" xfId="55607"/>
    <cellStyle name="Saída 7 6 2 2 4 3" xfId="42118"/>
    <cellStyle name="Saída 7 6 2 2 5" xfId="22000"/>
    <cellStyle name="Saída 7 6 2 2 5 2" xfId="51179"/>
    <cellStyle name="Saída 7 6 2 2 6" xfId="32683"/>
    <cellStyle name="Saída 7 6 2 3" xfId="5057"/>
    <cellStyle name="Saída 7 6 2 3 2" xfId="14107"/>
    <cellStyle name="Saída 7 6 2 3 2 2" xfId="27148"/>
    <cellStyle name="Saída 7 6 2 3 2 2 2" xfId="56327"/>
    <cellStyle name="Saída 7 6 2 3 2 3" xfId="43288"/>
    <cellStyle name="Saída 7 6 2 3 3" xfId="22720"/>
    <cellStyle name="Saída 7 6 2 3 3 2" xfId="51899"/>
    <cellStyle name="Saída 7 6 2 3 4" xfId="34240"/>
    <cellStyle name="Saída 7 6 2 4" xfId="8170"/>
    <cellStyle name="Saída 7 6 2 4 2" xfId="16444"/>
    <cellStyle name="Saída 7 6 2 4 2 2" xfId="28623"/>
    <cellStyle name="Saída 7 6 2 4 2 2 2" xfId="57802"/>
    <cellStyle name="Saída 7 6 2 4 2 3" xfId="45625"/>
    <cellStyle name="Saída 7 6 2 4 3" xfId="24195"/>
    <cellStyle name="Saída 7 6 2 4 3 2" xfId="53374"/>
    <cellStyle name="Saída 7 6 2 4 4" xfId="37353"/>
    <cellStyle name="Saída 7 6 2 5" xfId="11664"/>
    <cellStyle name="Saída 7 6 2 5 2" xfId="25708"/>
    <cellStyle name="Saída 7 6 2 5 2 2" xfId="54887"/>
    <cellStyle name="Saída 7 6 2 5 3" xfId="40845"/>
    <cellStyle name="Saída 7 6 2 6" xfId="21280"/>
    <cellStyle name="Saída 7 6 2 6 2" xfId="50459"/>
    <cellStyle name="Saída 7 6 2 7" xfId="30883"/>
    <cellStyle name="Saída 7 6 3" xfId="2600"/>
    <cellStyle name="Saída 7 6 3 2" xfId="5777"/>
    <cellStyle name="Saída 7 6 3 2 2" xfId="14672"/>
    <cellStyle name="Saída 7 6 3 2 2 2" xfId="27508"/>
    <cellStyle name="Saída 7 6 3 2 2 2 2" xfId="56687"/>
    <cellStyle name="Saída 7 6 3 2 2 3" xfId="43853"/>
    <cellStyle name="Saída 7 6 3 2 3" xfId="23080"/>
    <cellStyle name="Saída 7 6 3 2 3 2" xfId="52259"/>
    <cellStyle name="Saída 7 6 3 2 4" xfId="34960"/>
    <cellStyle name="Saída 7 6 3 3" xfId="8935"/>
    <cellStyle name="Saída 7 6 3 3 2" xfId="17001"/>
    <cellStyle name="Saída 7 6 3 3 2 2" xfId="28924"/>
    <cellStyle name="Saída 7 6 3 3 2 2 2" xfId="58103"/>
    <cellStyle name="Saída 7 6 3 3 2 3" xfId="46182"/>
    <cellStyle name="Saída 7 6 3 3 3" xfId="24496"/>
    <cellStyle name="Saída 7 6 3 3 3 2" xfId="53675"/>
    <cellStyle name="Saída 7 6 3 3 4" xfId="38118"/>
    <cellStyle name="Saída 7 6 3 4" xfId="12299"/>
    <cellStyle name="Saída 7 6 3 4 2" xfId="26068"/>
    <cellStyle name="Saída 7 6 3 4 2 2" xfId="55247"/>
    <cellStyle name="Saída 7 6 3 4 3" xfId="41480"/>
    <cellStyle name="Saída 7 6 3 5" xfId="21640"/>
    <cellStyle name="Saída 7 6 3 5 2" xfId="50819"/>
    <cellStyle name="Saída 7 6 3 6" xfId="31783"/>
    <cellStyle name="Saída 7 6 4" xfId="4337"/>
    <cellStyle name="Saída 7 6 4 2" xfId="13551"/>
    <cellStyle name="Saída 7 6 4 2 2" xfId="26788"/>
    <cellStyle name="Saída 7 6 4 2 2 2" xfId="55967"/>
    <cellStyle name="Saída 7 6 4 2 3" xfId="42732"/>
    <cellStyle name="Saída 7 6 4 3" xfId="22360"/>
    <cellStyle name="Saída 7 6 4 3 2" xfId="51539"/>
    <cellStyle name="Saída 7 6 4 4" xfId="33520"/>
    <cellStyle name="Saída 7 6 5" xfId="7347"/>
    <cellStyle name="Saída 7 6 5 2" xfId="15874"/>
    <cellStyle name="Saída 7 6 5 2 2" xfId="28301"/>
    <cellStyle name="Saída 7 6 5 2 2 2" xfId="57480"/>
    <cellStyle name="Saída 7 6 5 2 3" xfId="45055"/>
    <cellStyle name="Saída 7 6 5 3" xfId="23873"/>
    <cellStyle name="Saída 7 6 5 3 2" xfId="53052"/>
    <cellStyle name="Saída 7 6 5 4" xfId="36530"/>
    <cellStyle name="Saída 7 6 6" xfId="11001"/>
    <cellStyle name="Saída 7 6 6 2" xfId="25322"/>
    <cellStyle name="Saída 7 6 6 2 2" xfId="54501"/>
    <cellStyle name="Saída 7 6 6 3" xfId="40182"/>
    <cellStyle name="Saída 7 6 7" xfId="20894"/>
    <cellStyle name="Saída 7 6 7 2" xfId="50073"/>
    <cellStyle name="Saída 7 6 8" xfId="29957"/>
    <cellStyle name="Saída 7 7" xfId="951"/>
    <cellStyle name="Saída 7 7 2" xfId="1864"/>
    <cellStyle name="Saída 7 7 2 2" xfId="3664"/>
    <cellStyle name="Saída 7 7 2 2 2" xfId="6625"/>
    <cellStyle name="Saída 7 7 2 2 2 2" xfId="15337"/>
    <cellStyle name="Saída 7 7 2 2 2 2 2" xfId="27942"/>
    <cellStyle name="Saída 7 7 2 2 2 2 2 2" xfId="57121"/>
    <cellStyle name="Saída 7 7 2 2 2 2 3" xfId="44518"/>
    <cellStyle name="Saída 7 7 2 2 2 3" xfId="23514"/>
    <cellStyle name="Saída 7 7 2 2 2 3 2" xfId="52693"/>
    <cellStyle name="Saída 7 7 2 2 2 4" xfId="35808"/>
    <cellStyle name="Saída 7 7 2 2 3" xfId="8509"/>
    <cellStyle name="Saída 7 7 2 2 3 2" xfId="16687"/>
    <cellStyle name="Saída 7 7 2 2 3 2 2" xfId="28750"/>
    <cellStyle name="Saída 7 7 2 2 3 2 2 2" xfId="57929"/>
    <cellStyle name="Saída 7 7 2 2 3 2 3" xfId="45868"/>
    <cellStyle name="Saída 7 7 2 2 3 3" xfId="24322"/>
    <cellStyle name="Saída 7 7 2 2 3 3 2" xfId="53501"/>
    <cellStyle name="Saída 7 7 2 2 3 4" xfId="37692"/>
    <cellStyle name="Saída 7 7 2 2 4" xfId="13058"/>
    <cellStyle name="Saída 7 7 2 2 4 2" xfId="26502"/>
    <cellStyle name="Saída 7 7 2 2 4 2 2" xfId="55681"/>
    <cellStyle name="Saída 7 7 2 2 4 3" xfId="42239"/>
    <cellStyle name="Saída 7 7 2 2 5" xfId="22074"/>
    <cellStyle name="Saída 7 7 2 2 5 2" xfId="51253"/>
    <cellStyle name="Saída 7 7 2 2 6" xfId="32847"/>
    <cellStyle name="Saída 7 7 2 3" xfId="5185"/>
    <cellStyle name="Saída 7 7 2 3 2" xfId="14215"/>
    <cellStyle name="Saída 7 7 2 3 2 2" xfId="27222"/>
    <cellStyle name="Saída 7 7 2 3 2 2 2" xfId="56401"/>
    <cellStyle name="Saída 7 7 2 3 2 3" xfId="43396"/>
    <cellStyle name="Saída 7 7 2 3 3" xfId="22794"/>
    <cellStyle name="Saída 7 7 2 3 3 2" xfId="51973"/>
    <cellStyle name="Saída 7 7 2 3 4" xfId="34368"/>
    <cellStyle name="Saída 7 7 2 4" xfId="8048"/>
    <cellStyle name="Saída 7 7 2 4 2" xfId="16359"/>
    <cellStyle name="Saída 7 7 2 4 2 2" xfId="28576"/>
    <cellStyle name="Saída 7 7 2 4 2 2 2" xfId="57755"/>
    <cellStyle name="Saída 7 7 2 4 2 3" xfId="45540"/>
    <cellStyle name="Saída 7 7 2 4 3" xfId="24148"/>
    <cellStyle name="Saída 7 7 2 4 3 2" xfId="53327"/>
    <cellStyle name="Saída 7 7 2 4 4" xfId="37231"/>
    <cellStyle name="Saída 7 7 2 5" xfId="11783"/>
    <cellStyle name="Saída 7 7 2 5 2" xfId="25782"/>
    <cellStyle name="Saída 7 7 2 5 2 2" xfId="54961"/>
    <cellStyle name="Saída 7 7 2 5 3" xfId="40964"/>
    <cellStyle name="Saída 7 7 2 6" xfId="21354"/>
    <cellStyle name="Saída 7 7 2 6 2" xfId="50533"/>
    <cellStyle name="Saída 7 7 2 7" xfId="31047"/>
    <cellStyle name="Saída 7 7 3" xfId="2764"/>
    <cellStyle name="Saída 7 7 3 2" xfId="5905"/>
    <cellStyle name="Saída 7 7 3 2 2" xfId="14780"/>
    <cellStyle name="Saída 7 7 3 2 2 2" xfId="27582"/>
    <cellStyle name="Saída 7 7 3 2 2 2 2" xfId="56761"/>
    <cellStyle name="Saída 7 7 3 2 2 3" xfId="43961"/>
    <cellStyle name="Saída 7 7 3 2 3" xfId="23154"/>
    <cellStyle name="Saída 7 7 3 2 3 2" xfId="52333"/>
    <cellStyle name="Saída 7 7 3 2 4" xfId="35088"/>
    <cellStyle name="Saída 7 7 3 3" xfId="8813"/>
    <cellStyle name="Saída 7 7 3 3 2" xfId="16909"/>
    <cellStyle name="Saída 7 7 3 3 2 2" xfId="28876"/>
    <cellStyle name="Saída 7 7 3 3 2 2 2" xfId="58055"/>
    <cellStyle name="Saída 7 7 3 3 2 3" xfId="46090"/>
    <cellStyle name="Saída 7 7 3 3 3" xfId="24448"/>
    <cellStyle name="Saída 7 7 3 3 3 2" xfId="53627"/>
    <cellStyle name="Saída 7 7 3 3 4" xfId="37996"/>
    <cellStyle name="Saída 7 7 3 4" xfId="12423"/>
    <cellStyle name="Saída 7 7 3 4 2" xfId="26142"/>
    <cellStyle name="Saída 7 7 3 4 2 2" xfId="55321"/>
    <cellStyle name="Saída 7 7 3 4 3" xfId="41604"/>
    <cellStyle name="Saída 7 7 3 5" xfId="21714"/>
    <cellStyle name="Saída 7 7 3 5 2" xfId="50893"/>
    <cellStyle name="Saída 7 7 3 6" xfId="31947"/>
    <cellStyle name="Saída 7 7 4" xfId="4465"/>
    <cellStyle name="Saída 7 7 4 2" xfId="13658"/>
    <cellStyle name="Saída 7 7 4 2 2" xfId="26862"/>
    <cellStyle name="Saída 7 7 4 2 2 2" xfId="56041"/>
    <cellStyle name="Saída 7 7 4 2 3" xfId="42839"/>
    <cellStyle name="Saída 7 7 4 3" xfId="22434"/>
    <cellStyle name="Saída 7 7 4 3 2" xfId="51613"/>
    <cellStyle name="Saída 7 7 4 4" xfId="33648"/>
    <cellStyle name="Saída 7 7 5" xfId="10036"/>
    <cellStyle name="Saída 7 7 5 2" xfId="17787"/>
    <cellStyle name="Saída 7 7 5 2 2" xfId="29363"/>
    <cellStyle name="Saída 7 7 5 2 2 2" xfId="58542"/>
    <cellStyle name="Saída 7 7 5 2 3" xfId="46968"/>
    <cellStyle name="Saída 7 7 5 3" xfId="24935"/>
    <cellStyle name="Saída 7 7 5 3 2" xfId="54114"/>
    <cellStyle name="Saída 7 7 5 4" xfId="39219"/>
    <cellStyle name="Saída 7 7 6" xfId="11146"/>
    <cellStyle name="Saída 7 7 6 2" xfId="25417"/>
    <cellStyle name="Saída 7 7 6 2 2" xfId="54596"/>
    <cellStyle name="Saída 7 7 6 3" xfId="40327"/>
    <cellStyle name="Saída 7 7 7" xfId="20989"/>
    <cellStyle name="Saída 7 7 7 2" xfId="50168"/>
    <cellStyle name="Saída 7 7 8" xfId="30142"/>
    <cellStyle name="Saída 7 8" xfId="1432"/>
    <cellStyle name="Saída 7 8 2" xfId="3232"/>
    <cellStyle name="Saída 7 8 2 2" xfId="6283"/>
    <cellStyle name="Saída 7 8 2 2 2" xfId="15066"/>
    <cellStyle name="Saída 7 8 2 2 2 2" xfId="27780"/>
    <cellStyle name="Saída 7 8 2 2 2 2 2" xfId="56959"/>
    <cellStyle name="Saída 7 8 2 2 2 3" xfId="44247"/>
    <cellStyle name="Saída 7 8 2 2 3" xfId="23352"/>
    <cellStyle name="Saída 7 8 2 2 3 2" xfId="52531"/>
    <cellStyle name="Saída 7 8 2 2 4" xfId="35466"/>
    <cellStyle name="Saída 7 8 2 3" xfId="8928"/>
    <cellStyle name="Saída 7 8 2 3 2" xfId="16995"/>
    <cellStyle name="Saída 7 8 2 3 2 2" xfId="28921"/>
    <cellStyle name="Saída 7 8 2 3 2 2 2" xfId="58100"/>
    <cellStyle name="Saída 7 8 2 3 2 3" xfId="46176"/>
    <cellStyle name="Saída 7 8 2 3 3" xfId="24493"/>
    <cellStyle name="Saída 7 8 2 3 3 2" xfId="53672"/>
    <cellStyle name="Saída 7 8 2 3 4" xfId="38111"/>
    <cellStyle name="Saída 7 8 2 4" xfId="12751"/>
    <cellStyle name="Saída 7 8 2 4 2" xfId="26340"/>
    <cellStyle name="Saída 7 8 2 4 2 2" xfId="55519"/>
    <cellStyle name="Saída 7 8 2 4 3" xfId="41932"/>
    <cellStyle name="Saída 7 8 2 5" xfId="21912"/>
    <cellStyle name="Saída 7 8 2 5 2" xfId="51091"/>
    <cellStyle name="Saída 7 8 2 6" xfId="32415"/>
    <cellStyle name="Saída 7 8 3" xfId="4843"/>
    <cellStyle name="Saída 7 8 3 2" xfId="13942"/>
    <cellStyle name="Saída 7 8 3 2 2" xfId="27060"/>
    <cellStyle name="Saída 7 8 3 2 2 2" xfId="56239"/>
    <cellStyle name="Saída 7 8 3 2 3" xfId="43123"/>
    <cellStyle name="Saída 7 8 3 3" xfId="22632"/>
    <cellStyle name="Saída 7 8 3 3 2" xfId="51811"/>
    <cellStyle name="Saída 7 8 3 4" xfId="34026"/>
    <cellStyle name="Saída 7 8 4" xfId="8494"/>
    <cellStyle name="Saída 7 8 4 2" xfId="16677"/>
    <cellStyle name="Saída 7 8 4 2 2" xfId="28744"/>
    <cellStyle name="Saída 7 8 4 2 2 2" xfId="57923"/>
    <cellStyle name="Saída 7 8 4 2 3" xfId="45858"/>
    <cellStyle name="Saída 7 8 4 3" xfId="24316"/>
    <cellStyle name="Saída 7 8 4 3 2" xfId="53495"/>
    <cellStyle name="Saída 7 8 4 4" xfId="37677"/>
    <cellStyle name="Saída 7 8 5" xfId="11480"/>
    <cellStyle name="Saída 7 8 5 2" xfId="25620"/>
    <cellStyle name="Saída 7 8 5 2 2" xfId="54799"/>
    <cellStyle name="Saída 7 8 5 3" xfId="40661"/>
    <cellStyle name="Saída 7 8 6" xfId="21192"/>
    <cellStyle name="Saída 7 8 6 2" xfId="50371"/>
    <cellStyle name="Saída 7 8 7" xfId="30615"/>
    <cellStyle name="Saída 7 9" xfId="2332"/>
    <cellStyle name="Saída 7 9 2" xfId="5563"/>
    <cellStyle name="Saída 7 9 2 2" xfId="14508"/>
    <cellStyle name="Saída 7 9 2 2 2" xfId="27420"/>
    <cellStyle name="Saída 7 9 2 2 2 2" xfId="56599"/>
    <cellStyle name="Saída 7 9 2 2 3" xfId="43689"/>
    <cellStyle name="Saída 7 9 2 3" xfId="22992"/>
    <cellStyle name="Saída 7 9 2 3 2" xfId="52171"/>
    <cellStyle name="Saída 7 9 2 4" xfId="34746"/>
    <cellStyle name="Saída 7 9 3" xfId="7612"/>
    <cellStyle name="Saída 7 9 3 2" xfId="16054"/>
    <cellStyle name="Saída 7 9 3 2 2" xfId="28404"/>
    <cellStyle name="Saída 7 9 3 2 2 2" xfId="57583"/>
    <cellStyle name="Saída 7 9 3 2 3" xfId="45235"/>
    <cellStyle name="Saída 7 9 3 3" xfId="23976"/>
    <cellStyle name="Saída 7 9 3 3 2" xfId="53155"/>
    <cellStyle name="Saída 7 9 3 4" xfId="36795"/>
    <cellStyle name="Saída 7 9 4" xfId="12112"/>
    <cellStyle name="Saída 7 9 4 2" xfId="25980"/>
    <cellStyle name="Saída 7 9 4 2 2" xfId="55159"/>
    <cellStyle name="Saída 7 9 4 3" xfId="41293"/>
    <cellStyle name="Saída 7 9 5" xfId="21552"/>
    <cellStyle name="Saída 7 9 5 2" xfId="50731"/>
    <cellStyle name="Saída 7 9 6" xfId="31515"/>
    <cellStyle name="Saída 8" xfId="347"/>
    <cellStyle name="Saída 8 10" xfId="4124"/>
    <cellStyle name="Saída 8 10 2" xfId="13388"/>
    <cellStyle name="Saída 8 10 2 2" xfId="26701"/>
    <cellStyle name="Saída 8 10 2 2 2" xfId="55880"/>
    <cellStyle name="Saída 8 10 2 3" xfId="42569"/>
    <cellStyle name="Saída 8 10 3" xfId="22273"/>
    <cellStyle name="Saída 8 10 3 2" xfId="51452"/>
    <cellStyle name="Saída 8 10 4" xfId="33307"/>
    <cellStyle name="Saída 8 11" xfId="10735"/>
    <cellStyle name="Saída 8 11 2" xfId="25161"/>
    <cellStyle name="Saída 8 11 2 2" xfId="54340"/>
    <cellStyle name="Saída 8 11 3" xfId="39916"/>
    <cellStyle name="Saída 8 12" xfId="20733"/>
    <cellStyle name="Saída 8 12 2" xfId="49912"/>
    <cellStyle name="Saída 8 13" xfId="58753"/>
    <cellStyle name="Saída 8 14" xfId="29616"/>
    <cellStyle name="Saída 8 2" xfId="455"/>
    <cellStyle name="Saída 8 2 10" xfId="10078"/>
    <cellStyle name="Saída 8 2 10 2" xfId="17811"/>
    <cellStyle name="Saída 8 2 10 2 2" xfId="29376"/>
    <cellStyle name="Saída 8 2 10 2 2 2" xfId="58555"/>
    <cellStyle name="Saída 8 2 10 2 3" xfId="46992"/>
    <cellStyle name="Saída 8 2 10 3" xfId="24948"/>
    <cellStyle name="Saída 8 2 10 3 2" xfId="54127"/>
    <cellStyle name="Saída 8 2 10 4" xfId="39261"/>
    <cellStyle name="Saída 8 2 11" xfId="10769"/>
    <cellStyle name="Saída 8 2 11 2" xfId="25179"/>
    <cellStyle name="Saída 8 2 11 2 2" xfId="54358"/>
    <cellStyle name="Saída 8 2 11 3" xfId="39950"/>
    <cellStyle name="Saída 8 2 12" xfId="20751"/>
    <cellStyle name="Saída 8 2 12 2" xfId="49930"/>
    <cellStyle name="Saída 8 2 13" xfId="58798"/>
    <cellStyle name="Saída 8 2 14" xfId="29661"/>
    <cellStyle name="Saída 8 2 2" xfId="545"/>
    <cellStyle name="Saída 8 2 2 10" xfId="10832"/>
    <cellStyle name="Saída 8 2 2 10 2" xfId="25215"/>
    <cellStyle name="Saída 8 2 2 10 2 2" xfId="54394"/>
    <cellStyle name="Saída 8 2 2 10 3" xfId="40013"/>
    <cellStyle name="Saída 8 2 2 11" xfId="20787"/>
    <cellStyle name="Saída 8 2 2 11 2" xfId="49966"/>
    <cellStyle name="Saída 8 2 2 12" xfId="29751"/>
    <cellStyle name="Saída 8 2 2 2" xfId="898"/>
    <cellStyle name="Saída 8 2 2 2 2" xfId="1836"/>
    <cellStyle name="Saída 8 2 2 2 2 2" xfId="3636"/>
    <cellStyle name="Saída 8 2 2 2 2 2 2" xfId="6606"/>
    <cellStyle name="Saída 8 2 2 2 2 2 2 2" xfId="15318"/>
    <cellStyle name="Saída 8 2 2 2 2 2 2 2 2" xfId="27923"/>
    <cellStyle name="Saída 8 2 2 2 2 2 2 2 2 2" xfId="57102"/>
    <cellStyle name="Saída 8 2 2 2 2 2 2 2 3" xfId="44499"/>
    <cellStyle name="Saída 8 2 2 2 2 2 2 3" xfId="23495"/>
    <cellStyle name="Saída 8 2 2 2 2 2 2 3 2" xfId="52674"/>
    <cellStyle name="Saída 8 2 2 2 2 2 2 4" xfId="35789"/>
    <cellStyle name="Saída 8 2 2 2 2 2 3" xfId="8803"/>
    <cellStyle name="Saída 8 2 2 2 2 2 3 2" xfId="16901"/>
    <cellStyle name="Saída 8 2 2 2 2 2 3 2 2" xfId="28870"/>
    <cellStyle name="Saída 8 2 2 2 2 2 3 2 2 2" xfId="58049"/>
    <cellStyle name="Saída 8 2 2 2 2 2 3 2 3" xfId="46082"/>
    <cellStyle name="Saída 8 2 2 2 2 2 3 3" xfId="24442"/>
    <cellStyle name="Saída 8 2 2 2 2 2 3 3 2" xfId="53621"/>
    <cellStyle name="Saída 8 2 2 2 2 2 3 4" xfId="37986"/>
    <cellStyle name="Saída 8 2 2 2 2 2 4" xfId="13037"/>
    <cellStyle name="Saída 8 2 2 2 2 2 4 2" xfId="26483"/>
    <cellStyle name="Saída 8 2 2 2 2 2 4 2 2" xfId="55662"/>
    <cellStyle name="Saída 8 2 2 2 2 2 4 3" xfId="42218"/>
    <cellStyle name="Saída 8 2 2 2 2 2 5" xfId="22055"/>
    <cellStyle name="Saída 8 2 2 2 2 2 5 2" xfId="51234"/>
    <cellStyle name="Saída 8 2 2 2 2 2 6" xfId="32819"/>
    <cellStyle name="Saída 8 2 2 2 2 3" xfId="5166"/>
    <cellStyle name="Saída 8 2 2 2 2 3 2" xfId="14196"/>
    <cellStyle name="Saída 8 2 2 2 2 3 2 2" xfId="27203"/>
    <cellStyle name="Saída 8 2 2 2 2 3 2 2 2" xfId="56382"/>
    <cellStyle name="Saída 8 2 2 2 2 3 2 3" xfId="43377"/>
    <cellStyle name="Saída 8 2 2 2 2 3 3" xfId="22775"/>
    <cellStyle name="Saída 8 2 2 2 2 3 3 2" xfId="51954"/>
    <cellStyle name="Saída 8 2 2 2 2 3 4" xfId="34349"/>
    <cellStyle name="Saída 8 2 2 2 2 4" xfId="9787"/>
    <cellStyle name="Saída 8 2 2 2 2 4 2" xfId="17614"/>
    <cellStyle name="Saída 8 2 2 2 2 4 2 2" xfId="29267"/>
    <cellStyle name="Saída 8 2 2 2 2 4 2 2 2" xfId="58446"/>
    <cellStyle name="Saída 8 2 2 2 2 4 2 3" xfId="46795"/>
    <cellStyle name="Saída 8 2 2 2 2 4 3" xfId="24839"/>
    <cellStyle name="Saída 8 2 2 2 2 4 3 2" xfId="54018"/>
    <cellStyle name="Saída 8 2 2 2 2 4 4" xfId="38970"/>
    <cellStyle name="Saída 8 2 2 2 2 5" xfId="11761"/>
    <cellStyle name="Saída 8 2 2 2 2 5 2" xfId="25763"/>
    <cellStyle name="Saída 8 2 2 2 2 5 2 2" xfId="54942"/>
    <cellStyle name="Saída 8 2 2 2 2 5 3" xfId="40942"/>
    <cellStyle name="Saída 8 2 2 2 2 6" xfId="21335"/>
    <cellStyle name="Saída 8 2 2 2 2 6 2" xfId="50514"/>
    <cellStyle name="Saída 8 2 2 2 2 7" xfId="31019"/>
    <cellStyle name="Saída 8 2 2 2 3" xfId="2736"/>
    <cellStyle name="Saída 8 2 2 2 3 2" xfId="5886"/>
    <cellStyle name="Saída 8 2 2 2 3 2 2" xfId="14761"/>
    <cellStyle name="Saída 8 2 2 2 3 2 2 2" xfId="27563"/>
    <cellStyle name="Saída 8 2 2 2 3 2 2 2 2" xfId="56742"/>
    <cellStyle name="Saída 8 2 2 2 3 2 2 3" xfId="43942"/>
    <cellStyle name="Saída 8 2 2 2 3 2 3" xfId="23135"/>
    <cellStyle name="Saída 8 2 2 2 3 2 3 2" xfId="52314"/>
    <cellStyle name="Saída 8 2 2 2 3 2 4" xfId="35069"/>
    <cellStyle name="Saída 8 2 2 2 3 3" xfId="9011"/>
    <cellStyle name="Saída 8 2 2 2 3 3 2" xfId="17062"/>
    <cellStyle name="Saída 8 2 2 2 3 3 2 2" xfId="28957"/>
    <cellStyle name="Saída 8 2 2 2 3 3 2 2 2" xfId="58136"/>
    <cellStyle name="Saída 8 2 2 2 3 3 2 3" xfId="46243"/>
    <cellStyle name="Saída 8 2 2 2 3 3 3" xfId="24529"/>
    <cellStyle name="Saída 8 2 2 2 3 3 3 2" xfId="53708"/>
    <cellStyle name="Saída 8 2 2 2 3 3 4" xfId="38194"/>
    <cellStyle name="Saída 8 2 2 2 3 4" xfId="12402"/>
    <cellStyle name="Saída 8 2 2 2 3 4 2" xfId="26123"/>
    <cellStyle name="Saída 8 2 2 2 3 4 2 2" xfId="55302"/>
    <cellStyle name="Saída 8 2 2 2 3 4 3" xfId="41583"/>
    <cellStyle name="Saída 8 2 2 2 3 5" xfId="21695"/>
    <cellStyle name="Saída 8 2 2 2 3 5 2" xfId="50874"/>
    <cellStyle name="Saída 8 2 2 2 3 6" xfId="31919"/>
    <cellStyle name="Saída 8 2 2 2 4" xfId="4446"/>
    <cellStyle name="Saída 8 2 2 2 4 2" xfId="13639"/>
    <cellStyle name="Saída 8 2 2 2 4 2 2" xfId="26843"/>
    <cellStyle name="Saída 8 2 2 2 4 2 2 2" xfId="56022"/>
    <cellStyle name="Saída 8 2 2 2 4 2 3" xfId="42820"/>
    <cellStyle name="Saída 8 2 2 2 4 3" xfId="22415"/>
    <cellStyle name="Saída 8 2 2 2 4 3 2" xfId="51594"/>
    <cellStyle name="Saída 8 2 2 2 4 4" xfId="33629"/>
    <cellStyle name="Saída 8 2 2 2 5" xfId="10113"/>
    <cellStyle name="Saída 8 2 2 2 5 2" xfId="17836"/>
    <cellStyle name="Saída 8 2 2 2 5 2 2" xfId="29392"/>
    <cellStyle name="Saída 8 2 2 2 5 2 2 2" xfId="58571"/>
    <cellStyle name="Saída 8 2 2 2 5 2 3" xfId="47017"/>
    <cellStyle name="Saída 8 2 2 2 5 3" xfId="24964"/>
    <cellStyle name="Saída 8 2 2 2 5 3 2" xfId="54143"/>
    <cellStyle name="Saída 8 2 2 2 5 4" xfId="39296"/>
    <cellStyle name="Saída 8 2 2 2 6" xfId="11102"/>
    <cellStyle name="Saída 8 2 2 2 6 2" xfId="25379"/>
    <cellStyle name="Saída 8 2 2 2 6 2 2" xfId="54558"/>
    <cellStyle name="Saída 8 2 2 2 6 3" xfId="40283"/>
    <cellStyle name="Saída 8 2 2 2 7" xfId="20951"/>
    <cellStyle name="Saída 8 2 2 2 7 2" xfId="50130"/>
    <cellStyle name="Saída 8 2 2 2 8" xfId="30095"/>
    <cellStyle name="Saída 8 2 2 3" xfId="1090"/>
    <cellStyle name="Saída 8 2 2 3 2" xfId="2000"/>
    <cellStyle name="Saída 8 2 2 3 2 2" xfId="3800"/>
    <cellStyle name="Saída 8 2 2 3 2 2 2" xfId="6734"/>
    <cellStyle name="Saída 8 2 2 3 2 2 2 2" xfId="15420"/>
    <cellStyle name="Saída 8 2 2 3 2 2 2 2 2" xfId="27997"/>
    <cellStyle name="Saída 8 2 2 3 2 2 2 2 2 2" xfId="57176"/>
    <cellStyle name="Saída 8 2 2 3 2 2 2 2 3" xfId="44601"/>
    <cellStyle name="Saída 8 2 2 3 2 2 2 3" xfId="23569"/>
    <cellStyle name="Saída 8 2 2 3 2 2 2 3 2" xfId="52748"/>
    <cellStyle name="Saída 8 2 2 3 2 2 2 4" xfId="35917"/>
    <cellStyle name="Saída 8 2 2 3 2 2 3" xfId="8684"/>
    <cellStyle name="Saída 8 2 2 3 2 2 3 2" xfId="16814"/>
    <cellStyle name="Saída 8 2 2 3 2 2 3 2 2" xfId="28822"/>
    <cellStyle name="Saída 8 2 2 3 2 2 3 2 2 2" xfId="58001"/>
    <cellStyle name="Saída 8 2 2 3 2 2 3 2 3" xfId="45995"/>
    <cellStyle name="Saída 8 2 2 3 2 2 3 3" xfId="24394"/>
    <cellStyle name="Saída 8 2 2 3 2 2 3 3 2" xfId="53573"/>
    <cellStyle name="Saída 8 2 2 3 2 2 3 4" xfId="37867"/>
    <cellStyle name="Saída 8 2 2 3 2 2 4" xfId="13157"/>
    <cellStyle name="Saída 8 2 2 3 2 2 4 2" xfId="26557"/>
    <cellStyle name="Saída 8 2 2 3 2 2 4 2 2" xfId="55736"/>
    <cellStyle name="Saída 8 2 2 3 2 2 4 3" xfId="42338"/>
    <cellStyle name="Saída 8 2 2 3 2 2 5" xfId="22129"/>
    <cellStyle name="Saída 8 2 2 3 2 2 5 2" xfId="51308"/>
    <cellStyle name="Saída 8 2 2 3 2 2 6" xfId="32983"/>
    <cellStyle name="Saída 8 2 2 3 2 3" xfId="5294"/>
    <cellStyle name="Saída 8 2 2 3 2 3 2" xfId="14299"/>
    <cellStyle name="Saída 8 2 2 3 2 3 2 2" xfId="27277"/>
    <cellStyle name="Saída 8 2 2 3 2 3 2 2 2" xfId="56456"/>
    <cellStyle name="Saída 8 2 2 3 2 3 2 3" xfId="43480"/>
    <cellStyle name="Saída 8 2 2 3 2 3 3" xfId="22849"/>
    <cellStyle name="Saída 8 2 2 3 2 3 3 2" xfId="52028"/>
    <cellStyle name="Saída 8 2 2 3 2 3 4" xfId="34477"/>
    <cellStyle name="Saída 8 2 2 3 2 4" xfId="8626"/>
    <cellStyle name="Saída 8 2 2 3 2 4 2" xfId="16771"/>
    <cellStyle name="Saída 8 2 2 3 2 4 2 2" xfId="28796"/>
    <cellStyle name="Saída 8 2 2 3 2 4 2 2 2" xfId="57975"/>
    <cellStyle name="Saída 8 2 2 3 2 4 2 3" xfId="45952"/>
    <cellStyle name="Saída 8 2 2 3 2 4 3" xfId="24368"/>
    <cellStyle name="Saída 8 2 2 3 2 4 3 2" xfId="53547"/>
    <cellStyle name="Saída 8 2 2 3 2 4 4" xfId="37809"/>
    <cellStyle name="Saída 8 2 2 3 2 5" xfId="11881"/>
    <cellStyle name="Saída 8 2 2 3 2 5 2" xfId="25837"/>
    <cellStyle name="Saída 8 2 2 3 2 5 2 2" xfId="55016"/>
    <cellStyle name="Saída 8 2 2 3 2 5 3" xfId="41062"/>
    <cellStyle name="Saída 8 2 2 3 2 6" xfId="21409"/>
    <cellStyle name="Saída 8 2 2 3 2 6 2" xfId="50588"/>
    <cellStyle name="Saída 8 2 2 3 2 7" xfId="31183"/>
    <cellStyle name="Saída 8 2 2 3 3" xfId="2900"/>
    <cellStyle name="Saída 8 2 2 3 3 2" xfId="6014"/>
    <cellStyle name="Saída 8 2 2 3 3 2 2" xfId="14860"/>
    <cellStyle name="Saída 8 2 2 3 3 2 2 2" xfId="27637"/>
    <cellStyle name="Saída 8 2 2 3 3 2 2 2 2" xfId="56816"/>
    <cellStyle name="Saída 8 2 2 3 3 2 2 3" xfId="44041"/>
    <cellStyle name="Saída 8 2 2 3 3 2 3" xfId="23209"/>
    <cellStyle name="Saída 8 2 2 3 3 2 3 2" xfId="52388"/>
    <cellStyle name="Saída 8 2 2 3 3 2 4" xfId="35197"/>
    <cellStyle name="Saída 8 2 2 3 3 3" xfId="9937"/>
    <cellStyle name="Saída 8 2 2 3 3 3 2" xfId="17718"/>
    <cellStyle name="Saída 8 2 2 3 3 3 2 2" xfId="29325"/>
    <cellStyle name="Saída 8 2 2 3 3 3 2 2 2" xfId="58504"/>
    <cellStyle name="Saída 8 2 2 3 3 3 2 3" xfId="46899"/>
    <cellStyle name="Saída 8 2 2 3 3 3 3" xfId="24897"/>
    <cellStyle name="Saída 8 2 2 3 3 3 3 2" xfId="54076"/>
    <cellStyle name="Saída 8 2 2 3 3 3 4" xfId="39120"/>
    <cellStyle name="Saída 8 2 2 3 3 4" xfId="12517"/>
    <cellStyle name="Saída 8 2 2 3 3 4 2" xfId="26197"/>
    <cellStyle name="Saída 8 2 2 3 3 4 2 2" xfId="55376"/>
    <cellStyle name="Saída 8 2 2 3 3 4 3" xfId="41698"/>
    <cellStyle name="Saída 8 2 2 3 3 5" xfId="21769"/>
    <cellStyle name="Saída 8 2 2 3 3 5 2" xfId="50948"/>
    <cellStyle name="Saída 8 2 2 3 3 6" xfId="32083"/>
    <cellStyle name="Saída 8 2 2 3 4" xfId="4574"/>
    <cellStyle name="Saída 8 2 2 3 4 2" xfId="13740"/>
    <cellStyle name="Saída 8 2 2 3 4 2 2" xfId="26917"/>
    <cellStyle name="Saída 8 2 2 3 4 2 2 2" xfId="56096"/>
    <cellStyle name="Saída 8 2 2 3 4 2 3" xfId="42921"/>
    <cellStyle name="Saída 8 2 2 3 4 3" xfId="22489"/>
    <cellStyle name="Saída 8 2 2 3 4 3 2" xfId="51668"/>
    <cellStyle name="Saída 8 2 2 3 4 4" xfId="33757"/>
    <cellStyle name="Saída 8 2 2 3 5" xfId="8871"/>
    <cellStyle name="Saída 8 2 2 3 5 2" xfId="16956"/>
    <cellStyle name="Saída 8 2 2 3 5 2 2" xfId="28901"/>
    <cellStyle name="Saída 8 2 2 3 5 2 2 2" xfId="58080"/>
    <cellStyle name="Saída 8 2 2 3 5 2 3" xfId="46137"/>
    <cellStyle name="Saída 8 2 2 3 5 3" xfId="24473"/>
    <cellStyle name="Saída 8 2 2 3 5 3 2" xfId="53652"/>
    <cellStyle name="Saída 8 2 2 3 5 4" xfId="38054"/>
    <cellStyle name="Saída 8 2 2 3 6" xfId="11245"/>
    <cellStyle name="Saída 8 2 2 3 6 2" xfId="25474"/>
    <cellStyle name="Saída 8 2 2 3 6 2 2" xfId="54653"/>
    <cellStyle name="Saída 8 2 2 3 6 3" xfId="40426"/>
    <cellStyle name="Saída 8 2 2 3 7" xfId="21046"/>
    <cellStyle name="Saída 8 2 2 3 7 2" xfId="50225"/>
    <cellStyle name="Saída 8 2 2 3 8" xfId="30280"/>
    <cellStyle name="Saída 8 2 2 4" xfId="1240"/>
    <cellStyle name="Saída 8 2 2 4 2" xfId="2144"/>
    <cellStyle name="Saída 8 2 2 4 2 2" xfId="3944"/>
    <cellStyle name="Saída 8 2 2 4 2 2 2" xfId="6851"/>
    <cellStyle name="Saída 8 2 2 4 2 2 2 2" xfId="15510"/>
    <cellStyle name="Saída 8 2 2 4 2 2 2 2 2" xfId="28060"/>
    <cellStyle name="Saída 8 2 2 4 2 2 2 2 2 2" xfId="57239"/>
    <cellStyle name="Saída 8 2 2 4 2 2 2 2 3" xfId="44691"/>
    <cellStyle name="Saída 8 2 2 4 2 2 2 3" xfId="23632"/>
    <cellStyle name="Saída 8 2 2 4 2 2 2 3 2" xfId="52811"/>
    <cellStyle name="Saída 8 2 2 4 2 2 2 4" xfId="36034"/>
    <cellStyle name="Saída 8 2 2 4 2 2 3" xfId="7136"/>
    <cellStyle name="Saída 8 2 2 4 2 2 3 2" xfId="15726"/>
    <cellStyle name="Saída 8 2 2 4 2 2 3 2 2" xfId="28208"/>
    <cellStyle name="Saída 8 2 2 4 2 2 3 2 2 2" xfId="57387"/>
    <cellStyle name="Saída 8 2 2 4 2 2 3 2 3" xfId="44907"/>
    <cellStyle name="Saída 8 2 2 4 2 2 3 3" xfId="23780"/>
    <cellStyle name="Saída 8 2 2 4 2 2 3 3 2" xfId="52959"/>
    <cellStyle name="Saída 8 2 2 4 2 2 3 4" xfId="36319"/>
    <cellStyle name="Saída 8 2 2 4 2 2 4" xfId="13255"/>
    <cellStyle name="Saída 8 2 2 4 2 2 4 2" xfId="26620"/>
    <cellStyle name="Saída 8 2 2 4 2 2 4 2 2" xfId="55799"/>
    <cellStyle name="Saída 8 2 2 4 2 2 4 3" xfId="42436"/>
    <cellStyle name="Saída 8 2 2 4 2 2 5" xfId="22192"/>
    <cellStyle name="Saída 8 2 2 4 2 2 5 2" xfId="51371"/>
    <cellStyle name="Saída 8 2 2 4 2 2 6" xfId="33127"/>
    <cellStyle name="Saída 8 2 2 4 2 3" xfId="5411"/>
    <cellStyle name="Saída 8 2 2 4 2 3 2" xfId="14388"/>
    <cellStyle name="Saída 8 2 2 4 2 3 2 2" xfId="27340"/>
    <cellStyle name="Saída 8 2 2 4 2 3 2 2 2" xfId="56519"/>
    <cellStyle name="Saída 8 2 2 4 2 3 2 3" xfId="43569"/>
    <cellStyle name="Saída 8 2 2 4 2 3 3" xfId="22912"/>
    <cellStyle name="Saída 8 2 2 4 2 3 3 2" xfId="52091"/>
    <cellStyle name="Saída 8 2 2 4 2 3 4" xfId="34594"/>
    <cellStyle name="Saída 8 2 2 4 2 4" xfId="9510"/>
    <cellStyle name="Saída 8 2 2 4 2 4 2" xfId="17410"/>
    <cellStyle name="Saída 8 2 2 4 2 4 2 2" xfId="29157"/>
    <cellStyle name="Saída 8 2 2 4 2 4 2 2 2" xfId="58336"/>
    <cellStyle name="Saída 8 2 2 4 2 4 2 3" xfId="46591"/>
    <cellStyle name="Saída 8 2 2 4 2 4 3" xfId="24729"/>
    <cellStyle name="Saída 8 2 2 4 2 4 3 2" xfId="53908"/>
    <cellStyle name="Saída 8 2 2 4 2 4 4" xfId="38693"/>
    <cellStyle name="Saída 8 2 2 4 2 5" xfId="11980"/>
    <cellStyle name="Saída 8 2 2 4 2 5 2" xfId="25900"/>
    <cellStyle name="Saída 8 2 2 4 2 5 2 2" xfId="55079"/>
    <cellStyle name="Saída 8 2 2 4 2 5 3" xfId="41161"/>
    <cellStyle name="Saída 8 2 2 4 2 6" xfId="21472"/>
    <cellStyle name="Saída 8 2 2 4 2 6 2" xfId="50651"/>
    <cellStyle name="Saída 8 2 2 4 2 7" xfId="31327"/>
    <cellStyle name="Saída 8 2 2 4 3" xfId="3044"/>
    <cellStyle name="Saída 8 2 2 4 3 2" xfId="6131"/>
    <cellStyle name="Saída 8 2 2 4 3 2 2" xfId="14949"/>
    <cellStyle name="Saída 8 2 2 4 3 2 2 2" xfId="27700"/>
    <cellStyle name="Saída 8 2 2 4 3 2 2 2 2" xfId="56879"/>
    <cellStyle name="Saída 8 2 2 4 3 2 2 3" xfId="44130"/>
    <cellStyle name="Saída 8 2 2 4 3 2 3" xfId="23272"/>
    <cellStyle name="Saída 8 2 2 4 3 2 3 2" xfId="52451"/>
    <cellStyle name="Saída 8 2 2 4 3 2 4" xfId="35314"/>
    <cellStyle name="Saída 8 2 2 4 3 3" xfId="8075"/>
    <cellStyle name="Saída 8 2 2 4 3 3 2" xfId="16378"/>
    <cellStyle name="Saída 8 2 2 4 3 3 2 2" xfId="28587"/>
    <cellStyle name="Saída 8 2 2 4 3 3 2 2 2" xfId="57766"/>
    <cellStyle name="Saída 8 2 2 4 3 3 2 3" xfId="45559"/>
    <cellStyle name="Saída 8 2 2 4 3 3 3" xfId="24159"/>
    <cellStyle name="Saída 8 2 2 4 3 3 3 2" xfId="53338"/>
    <cellStyle name="Saída 8 2 2 4 3 3 4" xfId="37258"/>
    <cellStyle name="Saída 8 2 2 4 3 4" xfId="12616"/>
    <cellStyle name="Saída 8 2 2 4 3 4 2" xfId="26260"/>
    <cellStyle name="Saída 8 2 2 4 3 4 2 2" xfId="55439"/>
    <cellStyle name="Saída 8 2 2 4 3 4 3" xfId="41797"/>
    <cellStyle name="Saída 8 2 2 4 3 5" xfId="21832"/>
    <cellStyle name="Saída 8 2 2 4 3 5 2" xfId="51011"/>
    <cellStyle name="Saída 8 2 2 4 3 6" xfId="32227"/>
    <cellStyle name="Saída 8 2 2 4 4" xfId="4691"/>
    <cellStyle name="Saída 8 2 2 4 4 2" xfId="13829"/>
    <cellStyle name="Saída 8 2 2 4 4 2 2" xfId="26980"/>
    <cellStyle name="Saída 8 2 2 4 4 2 2 2" xfId="56159"/>
    <cellStyle name="Saída 8 2 2 4 4 2 3" xfId="43010"/>
    <cellStyle name="Saída 8 2 2 4 4 3" xfId="22552"/>
    <cellStyle name="Saída 8 2 2 4 4 3 2" xfId="51731"/>
    <cellStyle name="Saída 8 2 2 4 4 4" xfId="33874"/>
    <cellStyle name="Saída 8 2 2 4 5" xfId="7727"/>
    <cellStyle name="Saída 8 2 2 4 5 2" xfId="16133"/>
    <cellStyle name="Saída 8 2 2 4 5 2 2" xfId="28449"/>
    <cellStyle name="Saída 8 2 2 4 5 2 2 2" xfId="57628"/>
    <cellStyle name="Saída 8 2 2 4 5 2 3" xfId="45314"/>
    <cellStyle name="Saída 8 2 2 4 5 3" xfId="24021"/>
    <cellStyle name="Saída 8 2 2 4 5 3 2" xfId="53200"/>
    <cellStyle name="Saída 8 2 2 4 5 4" xfId="36910"/>
    <cellStyle name="Saída 8 2 2 4 6" xfId="11350"/>
    <cellStyle name="Saída 8 2 2 4 6 2" xfId="25540"/>
    <cellStyle name="Saída 8 2 2 4 6 2 2" xfId="54719"/>
    <cellStyle name="Saída 8 2 2 4 6 3" xfId="40531"/>
    <cellStyle name="Saída 8 2 2 4 7" xfId="21112"/>
    <cellStyle name="Saída 8 2 2 4 7 2" xfId="50291"/>
    <cellStyle name="Saída 8 2 2 4 8" xfId="30427"/>
    <cellStyle name="Saída 8 2 2 5" xfId="1386"/>
    <cellStyle name="Saída 8 2 2 5 2" xfId="2288"/>
    <cellStyle name="Saída 8 2 2 5 2 2" xfId="4088"/>
    <cellStyle name="Saída 8 2 2 5 2 2 2" xfId="6968"/>
    <cellStyle name="Saída 8 2 2 5 2 2 2 2" xfId="15600"/>
    <cellStyle name="Saída 8 2 2 5 2 2 2 2 2" xfId="28123"/>
    <cellStyle name="Saída 8 2 2 5 2 2 2 2 2 2" xfId="57302"/>
    <cellStyle name="Saída 8 2 2 5 2 2 2 2 3" xfId="44781"/>
    <cellStyle name="Saída 8 2 2 5 2 2 2 3" xfId="23695"/>
    <cellStyle name="Saída 8 2 2 5 2 2 2 3 2" xfId="52874"/>
    <cellStyle name="Saída 8 2 2 5 2 2 2 4" xfId="36151"/>
    <cellStyle name="Saída 8 2 2 5 2 2 3" xfId="6992"/>
    <cellStyle name="Saída 8 2 2 5 2 2 3 2" xfId="15622"/>
    <cellStyle name="Saída 8 2 2 5 2 2 3 2 2" xfId="28145"/>
    <cellStyle name="Saída 8 2 2 5 2 2 3 2 2 2" xfId="57324"/>
    <cellStyle name="Saída 8 2 2 5 2 2 3 2 3" xfId="44803"/>
    <cellStyle name="Saída 8 2 2 5 2 2 3 3" xfId="23717"/>
    <cellStyle name="Saída 8 2 2 5 2 2 3 3 2" xfId="52896"/>
    <cellStyle name="Saída 8 2 2 5 2 2 3 4" xfId="36175"/>
    <cellStyle name="Saída 8 2 2 5 2 2 4" xfId="13360"/>
    <cellStyle name="Saída 8 2 2 5 2 2 4 2" xfId="26683"/>
    <cellStyle name="Saída 8 2 2 5 2 2 4 2 2" xfId="55862"/>
    <cellStyle name="Saída 8 2 2 5 2 2 4 3" xfId="42541"/>
    <cellStyle name="Saída 8 2 2 5 2 2 5" xfId="22255"/>
    <cellStyle name="Saída 8 2 2 5 2 2 5 2" xfId="51434"/>
    <cellStyle name="Saída 8 2 2 5 2 2 6" xfId="33271"/>
    <cellStyle name="Saída 8 2 2 5 2 3" xfId="5528"/>
    <cellStyle name="Saída 8 2 2 5 2 3 2" xfId="14481"/>
    <cellStyle name="Saída 8 2 2 5 2 3 2 2" xfId="27403"/>
    <cellStyle name="Saída 8 2 2 5 2 3 2 2 2" xfId="56582"/>
    <cellStyle name="Saída 8 2 2 5 2 3 2 3" xfId="43662"/>
    <cellStyle name="Saída 8 2 2 5 2 3 3" xfId="22975"/>
    <cellStyle name="Saída 8 2 2 5 2 3 3 2" xfId="52154"/>
    <cellStyle name="Saída 8 2 2 5 2 3 4" xfId="34711"/>
    <cellStyle name="Saída 8 2 2 5 2 4" xfId="7620"/>
    <cellStyle name="Saída 8 2 2 5 2 4 2" xfId="16061"/>
    <cellStyle name="Saída 8 2 2 5 2 4 2 2" xfId="28408"/>
    <cellStyle name="Saída 8 2 2 5 2 4 2 2 2" xfId="57587"/>
    <cellStyle name="Saída 8 2 2 5 2 4 2 3" xfId="45242"/>
    <cellStyle name="Saída 8 2 2 5 2 4 3" xfId="23980"/>
    <cellStyle name="Saída 8 2 2 5 2 4 3 2" xfId="53159"/>
    <cellStyle name="Saída 8 2 2 5 2 4 4" xfId="36803"/>
    <cellStyle name="Saída 8 2 2 5 2 5" xfId="12081"/>
    <cellStyle name="Saída 8 2 2 5 2 5 2" xfId="25963"/>
    <cellStyle name="Saída 8 2 2 5 2 5 2 2" xfId="55142"/>
    <cellStyle name="Saída 8 2 2 5 2 5 3" xfId="41262"/>
    <cellStyle name="Saída 8 2 2 5 2 6" xfId="21535"/>
    <cellStyle name="Saída 8 2 2 5 2 6 2" xfId="50714"/>
    <cellStyle name="Saída 8 2 2 5 2 7" xfId="31471"/>
    <cellStyle name="Saída 8 2 2 5 3" xfId="3188"/>
    <cellStyle name="Saída 8 2 2 5 3 2" xfId="6248"/>
    <cellStyle name="Saída 8 2 2 5 3 2 2" xfId="15041"/>
    <cellStyle name="Saída 8 2 2 5 3 2 2 2" xfId="27763"/>
    <cellStyle name="Saída 8 2 2 5 3 2 2 2 2" xfId="56942"/>
    <cellStyle name="Saída 8 2 2 5 3 2 2 3" xfId="44222"/>
    <cellStyle name="Saída 8 2 2 5 3 2 3" xfId="23335"/>
    <cellStyle name="Saída 8 2 2 5 3 2 3 2" xfId="52514"/>
    <cellStyle name="Saída 8 2 2 5 3 2 4" xfId="35431"/>
    <cellStyle name="Saída 8 2 2 5 3 3" xfId="7181"/>
    <cellStyle name="Saída 8 2 2 5 3 3 2" xfId="15757"/>
    <cellStyle name="Saída 8 2 2 5 3 3 2 2" xfId="28229"/>
    <cellStyle name="Saída 8 2 2 5 3 3 2 2 2" xfId="57408"/>
    <cellStyle name="Saída 8 2 2 5 3 3 2 3" xfId="44938"/>
    <cellStyle name="Saída 8 2 2 5 3 3 3" xfId="23801"/>
    <cellStyle name="Saída 8 2 2 5 3 3 3 2" xfId="52980"/>
    <cellStyle name="Saída 8 2 2 5 3 3 4" xfId="36364"/>
    <cellStyle name="Saída 8 2 2 5 3 4" xfId="12722"/>
    <cellStyle name="Saída 8 2 2 5 3 4 2" xfId="26323"/>
    <cellStyle name="Saída 8 2 2 5 3 4 2 2" xfId="55502"/>
    <cellStyle name="Saída 8 2 2 5 3 4 3" xfId="41903"/>
    <cellStyle name="Saída 8 2 2 5 3 5" xfId="21895"/>
    <cellStyle name="Saída 8 2 2 5 3 5 2" xfId="51074"/>
    <cellStyle name="Saída 8 2 2 5 3 6" xfId="32371"/>
    <cellStyle name="Saída 8 2 2 5 4" xfId="4808"/>
    <cellStyle name="Saída 8 2 2 5 4 2" xfId="13917"/>
    <cellStyle name="Saída 8 2 2 5 4 2 2" xfId="27043"/>
    <cellStyle name="Saída 8 2 2 5 4 2 2 2" xfId="56222"/>
    <cellStyle name="Saída 8 2 2 5 4 2 3" xfId="43098"/>
    <cellStyle name="Saída 8 2 2 5 4 3" xfId="22615"/>
    <cellStyle name="Saída 8 2 2 5 4 3 2" xfId="51794"/>
    <cellStyle name="Saída 8 2 2 5 4 4" xfId="33991"/>
    <cellStyle name="Saída 8 2 2 5 5" xfId="10445"/>
    <cellStyle name="Saída 8 2 2 5 5 2" xfId="18068"/>
    <cellStyle name="Saída 8 2 2 5 5 2 2" xfId="29521"/>
    <cellStyle name="Saída 8 2 2 5 5 2 2 2" xfId="58700"/>
    <cellStyle name="Saída 8 2 2 5 5 2 3" xfId="47249"/>
    <cellStyle name="Saída 8 2 2 5 5 3" xfId="25093"/>
    <cellStyle name="Saída 8 2 2 5 5 3 2" xfId="54272"/>
    <cellStyle name="Saída 8 2 2 5 5 4" xfId="39628"/>
    <cellStyle name="Saída 8 2 2 5 6" xfId="11450"/>
    <cellStyle name="Saída 8 2 2 5 6 2" xfId="25603"/>
    <cellStyle name="Saída 8 2 2 5 6 2 2" xfId="54782"/>
    <cellStyle name="Saída 8 2 2 5 6 3" xfId="40631"/>
    <cellStyle name="Saída 8 2 2 5 7" xfId="21175"/>
    <cellStyle name="Saída 8 2 2 5 7 2" xfId="50354"/>
    <cellStyle name="Saída 8 2 2 5 8" xfId="30571"/>
    <cellStyle name="Saída 8 2 2 6" xfId="1568"/>
    <cellStyle name="Saída 8 2 2 6 2" xfId="3368"/>
    <cellStyle name="Saída 8 2 2 6 2 2" xfId="6392"/>
    <cellStyle name="Saída 8 2 2 6 2 2 2" xfId="15147"/>
    <cellStyle name="Saída 8 2 2 6 2 2 2 2" xfId="27835"/>
    <cellStyle name="Saída 8 2 2 6 2 2 2 2 2" xfId="57014"/>
    <cellStyle name="Saída 8 2 2 6 2 2 2 3" xfId="44328"/>
    <cellStyle name="Saída 8 2 2 6 2 2 3" xfId="23407"/>
    <cellStyle name="Saída 8 2 2 6 2 2 3 2" xfId="52586"/>
    <cellStyle name="Saída 8 2 2 6 2 2 4" xfId="35575"/>
    <cellStyle name="Saída 8 2 2 6 2 3" xfId="9004"/>
    <cellStyle name="Saída 8 2 2 6 2 3 2" xfId="17056"/>
    <cellStyle name="Saída 8 2 2 6 2 3 2 2" xfId="28952"/>
    <cellStyle name="Saída 8 2 2 6 2 3 2 2 2" xfId="58131"/>
    <cellStyle name="Saída 8 2 2 6 2 3 2 3" xfId="46237"/>
    <cellStyle name="Saída 8 2 2 6 2 3 3" xfId="24524"/>
    <cellStyle name="Saída 8 2 2 6 2 3 3 2" xfId="53703"/>
    <cellStyle name="Saída 8 2 2 6 2 3 4" xfId="38187"/>
    <cellStyle name="Saída 8 2 2 6 2 4" xfId="12844"/>
    <cellStyle name="Saída 8 2 2 6 2 4 2" xfId="26395"/>
    <cellStyle name="Saída 8 2 2 6 2 4 2 2" xfId="55574"/>
    <cellStyle name="Saída 8 2 2 6 2 4 3" xfId="42025"/>
    <cellStyle name="Saída 8 2 2 6 2 5" xfId="21967"/>
    <cellStyle name="Saída 8 2 2 6 2 5 2" xfId="51146"/>
    <cellStyle name="Saída 8 2 2 6 2 6" xfId="32551"/>
    <cellStyle name="Saída 8 2 2 6 3" xfId="4952"/>
    <cellStyle name="Saída 8 2 2 6 3 2" xfId="14026"/>
    <cellStyle name="Saída 8 2 2 6 3 2 2" xfId="27115"/>
    <cellStyle name="Saída 8 2 2 6 3 2 2 2" xfId="56294"/>
    <cellStyle name="Saída 8 2 2 6 3 2 3" xfId="43207"/>
    <cellStyle name="Saída 8 2 2 6 3 3" xfId="22687"/>
    <cellStyle name="Saída 8 2 2 6 3 3 2" xfId="51866"/>
    <cellStyle name="Saída 8 2 2 6 3 4" xfId="34135"/>
    <cellStyle name="Saída 8 2 2 6 4" xfId="7889"/>
    <cellStyle name="Saída 8 2 2 6 4 2" xfId="16242"/>
    <cellStyle name="Saída 8 2 2 6 4 2 2" xfId="28510"/>
    <cellStyle name="Saída 8 2 2 6 4 2 2 2" xfId="57689"/>
    <cellStyle name="Saída 8 2 2 6 4 2 3" xfId="45423"/>
    <cellStyle name="Saída 8 2 2 6 4 3" xfId="24082"/>
    <cellStyle name="Saída 8 2 2 6 4 3 2" xfId="53261"/>
    <cellStyle name="Saída 8 2 2 6 4 4" xfId="37072"/>
    <cellStyle name="Saída 8 2 2 6 5" xfId="11573"/>
    <cellStyle name="Saída 8 2 2 6 5 2" xfId="25675"/>
    <cellStyle name="Saída 8 2 2 6 5 2 2" xfId="54854"/>
    <cellStyle name="Saída 8 2 2 6 5 3" xfId="40754"/>
    <cellStyle name="Saída 8 2 2 6 6" xfId="21247"/>
    <cellStyle name="Saída 8 2 2 6 6 2" xfId="50426"/>
    <cellStyle name="Saída 8 2 2 6 7" xfId="30751"/>
    <cellStyle name="Saída 8 2 2 7" xfId="2468"/>
    <cellStyle name="Saída 8 2 2 7 2" xfId="5672"/>
    <cellStyle name="Saída 8 2 2 7 2 2" xfId="14594"/>
    <cellStyle name="Saída 8 2 2 7 2 2 2" xfId="27475"/>
    <cellStyle name="Saída 8 2 2 7 2 2 2 2" xfId="56654"/>
    <cellStyle name="Saída 8 2 2 7 2 2 3" xfId="43775"/>
    <cellStyle name="Saída 8 2 2 7 2 3" xfId="23047"/>
    <cellStyle name="Saída 8 2 2 7 2 3 2" xfId="52226"/>
    <cellStyle name="Saída 8 2 2 7 2 4" xfId="34855"/>
    <cellStyle name="Saída 8 2 2 7 3" xfId="8662"/>
    <cellStyle name="Saída 8 2 2 7 3 2" xfId="16797"/>
    <cellStyle name="Saída 8 2 2 7 3 2 2" xfId="28812"/>
    <cellStyle name="Saída 8 2 2 7 3 2 2 2" xfId="57991"/>
    <cellStyle name="Saída 8 2 2 7 3 2 3" xfId="45978"/>
    <cellStyle name="Saída 8 2 2 7 3 3" xfId="24384"/>
    <cellStyle name="Saída 8 2 2 7 3 3 2" xfId="53563"/>
    <cellStyle name="Saída 8 2 2 7 3 4" xfId="37845"/>
    <cellStyle name="Saída 8 2 2 7 4" xfId="12210"/>
    <cellStyle name="Saída 8 2 2 7 4 2" xfId="26035"/>
    <cellStyle name="Saída 8 2 2 7 4 2 2" xfId="55214"/>
    <cellStyle name="Saída 8 2 2 7 4 3" xfId="41391"/>
    <cellStyle name="Saída 8 2 2 7 5" xfId="21607"/>
    <cellStyle name="Saída 8 2 2 7 5 2" xfId="50786"/>
    <cellStyle name="Saída 8 2 2 7 6" xfId="31651"/>
    <cellStyle name="Saída 8 2 2 8" xfId="4232"/>
    <cellStyle name="Saída 8 2 2 8 2" xfId="13475"/>
    <cellStyle name="Saída 8 2 2 8 2 2" xfId="26755"/>
    <cellStyle name="Saída 8 2 2 8 2 2 2" xfId="55934"/>
    <cellStyle name="Saída 8 2 2 8 2 3" xfId="42656"/>
    <cellStyle name="Saída 8 2 2 8 3" xfId="22327"/>
    <cellStyle name="Saída 8 2 2 8 3 2" xfId="51506"/>
    <cellStyle name="Saída 8 2 2 8 4" xfId="33415"/>
    <cellStyle name="Saída 8 2 2 9" xfId="9644"/>
    <cellStyle name="Saída 8 2 2 9 2" xfId="17504"/>
    <cellStyle name="Saída 8 2 2 9 2 2" xfId="29209"/>
    <cellStyle name="Saída 8 2 2 9 2 2 2" xfId="58388"/>
    <cellStyle name="Saída 8 2 2 9 2 3" xfId="46685"/>
    <cellStyle name="Saída 8 2 2 9 3" xfId="24781"/>
    <cellStyle name="Saída 8 2 2 9 3 2" xfId="53960"/>
    <cellStyle name="Saída 8 2 2 9 4" xfId="38827"/>
    <cellStyle name="Saída 8 2 3" xfId="808"/>
    <cellStyle name="Saída 8 2 3 2" xfId="1746"/>
    <cellStyle name="Saída 8 2 3 2 2" xfId="3546"/>
    <cellStyle name="Saída 8 2 3 2 2 2" xfId="6534"/>
    <cellStyle name="Saída 8 2 3 2 2 2 2" xfId="15263"/>
    <cellStyle name="Saída 8 2 3 2 2 2 2 2" xfId="27887"/>
    <cellStyle name="Saída 8 2 3 2 2 2 2 2 2" xfId="57066"/>
    <cellStyle name="Saída 8 2 3 2 2 2 2 3" xfId="44444"/>
    <cellStyle name="Saída 8 2 3 2 2 2 3" xfId="23459"/>
    <cellStyle name="Saída 8 2 3 2 2 2 3 2" xfId="52638"/>
    <cellStyle name="Saída 8 2 3 2 2 2 4" xfId="35717"/>
    <cellStyle name="Saída 8 2 3 2 2 3" xfId="7570"/>
    <cellStyle name="Saída 8 2 3 2 2 3 2" xfId="16027"/>
    <cellStyle name="Saída 8 2 3 2 2 3 2 2" xfId="28390"/>
    <cellStyle name="Saída 8 2 3 2 2 3 2 2 2" xfId="57569"/>
    <cellStyle name="Saída 8 2 3 2 2 3 2 3" xfId="45208"/>
    <cellStyle name="Saída 8 2 3 2 2 3 3" xfId="23962"/>
    <cellStyle name="Saída 8 2 3 2 2 3 3 2" xfId="53141"/>
    <cellStyle name="Saída 8 2 3 2 2 3 4" xfId="36753"/>
    <cellStyle name="Saída 8 2 3 2 2 4" xfId="12974"/>
    <cellStyle name="Saída 8 2 3 2 2 4 2" xfId="26447"/>
    <cellStyle name="Saída 8 2 3 2 2 4 2 2" xfId="55626"/>
    <cellStyle name="Saída 8 2 3 2 2 4 3" xfId="42155"/>
    <cellStyle name="Saída 8 2 3 2 2 5" xfId="22019"/>
    <cellStyle name="Saída 8 2 3 2 2 5 2" xfId="51198"/>
    <cellStyle name="Saída 8 2 3 2 2 6" xfId="32729"/>
    <cellStyle name="Saída 8 2 3 2 3" xfId="5094"/>
    <cellStyle name="Saída 8 2 3 2 3 2" xfId="14139"/>
    <cellStyle name="Saída 8 2 3 2 3 2 2" xfId="27167"/>
    <cellStyle name="Saída 8 2 3 2 3 2 2 2" xfId="56346"/>
    <cellStyle name="Saída 8 2 3 2 3 2 3" xfId="43320"/>
    <cellStyle name="Saída 8 2 3 2 3 3" xfId="22739"/>
    <cellStyle name="Saída 8 2 3 2 3 3 2" xfId="51918"/>
    <cellStyle name="Saída 8 2 3 2 3 4" xfId="34277"/>
    <cellStyle name="Saída 8 2 3 2 4" xfId="8746"/>
    <cellStyle name="Saída 8 2 3 2 4 2" xfId="16858"/>
    <cellStyle name="Saída 8 2 3 2 4 2 2" xfId="28849"/>
    <cellStyle name="Saída 8 2 3 2 4 2 2 2" xfId="58028"/>
    <cellStyle name="Saída 8 2 3 2 4 2 3" xfId="46039"/>
    <cellStyle name="Saída 8 2 3 2 4 3" xfId="24421"/>
    <cellStyle name="Saída 8 2 3 2 4 3 2" xfId="53600"/>
    <cellStyle name="Saída 8 2 3 2 4 4" xfId="37929"/>
    <cellStyle name="Saída 8 2 3 2 5" xfId="11700"/>
    <cellStyle name="Saída 8 2 3 2 5 2" xfId="25727"/>
    <cellStyle name="Saída 8 2 3 2 5 2 2" xfId="54906"/>
    <cellStyle name="Saída 8 2 3 2 5 3" xfId="40881"/>
    <cellStyle name="Saída 8 2 3 2 6" xfId="21299"/>
    <cellStyle name="Saída 8 2 3 2 6 2" xfId="50478"/>
    <cellStyle name="Saída 8 2 3 2 7" xfId="30929"/>
    <cellStyle name="Saída 8 2 3 3" xfId="2646"/>
    <cellStyle name="Saída 8 2 3 3 2" xfId="5814"/>
    <cellStyle name="Saída 8 2 3 3 2 2" xfId="14704"/>
    <cellStyle name="Saída 8 2 3 3 2 2 2" xfId="27527"/>
    <cellStyle name="Saída 8 2 3 3 2 2 2 2" xfId="56706"/>
    <cellStyle name="Saída 8 2 3 3 2 2 3" xfId="43885"/>
    <cellStyle name="Saída 8 2 3 3 2 3" xfId="23099"/>
    <cellStyle name="Saída 8 2 3 3 2 3 2" xfId="52278"/>
    <cellStyle name="Saída 8 2 3 3 2 4" xfId="34997"/>
    <cellStyle name="Saída 8 2 3 3 3" xfId="10273"/>
    <cellStyle name="Saída 8 2 3 3 3 2" xfId="17953"/>
    <cellStyle name="Saída 8 2 3 3 3 2 2" xfId="29460"/>
    <cellStyle name="Saída 8 2 3 3 3 2 2 2" xfId="58639"/>
    <cellStyle name="Saída 8 2 3 3 3 2 3" xfId="47134"/>
    <cellStyle name="Saída 8 2 3 3 3 3" xfId="25032"/>
    <cellStyle name="Saída 8 2 3 3 3 3 2" xfId="54211"/>
    <cellStyle name="Saída 8 2 3 3 3 4" xfId="39456"/>
    <cellStyle name="Saída 8 2 3 3 4" xfId="12336"/>
    <cellStyle name="Saída 8 2 3 3 4 2" xfId="26087"/>
    <cellStyle name="Saída 8 2 3 3 4 2 2" xfId="55266"/>
    <cellStyle name="Saída 8 2 3 3 4 3" xfId="41517"/>
    <cellStyle name="Saída 8 2 3 3 5" xfId="21659"/>
    <cellStyle name="Saída 8 2 3 3 5 2" xfId="50838"/>
    <cellStyle name="Saída 8 2 3 3 6" xfId="31829"/>
    <cellStyle name="Saída 8 2 3 4" xfId="4374"/>
    <cellStyle name="Saída 8 2 3 4 2" xfId="13580"/>
    <cellStyle name="Saída 8 2 3 4 2 2" xfId="26807"/>
    <cellStyle name="Saída 8 2 3 4 2 2 2" xfId="55986"/>
    <cellStyle name="Saída 8 2 3 4 2 3" xfId="42761"/>
    <cellStyle name="Saída 8 2 3 4 3" xfId="22379"/>
    <cellStyle name="Saída 8 2 3 4 3 2" xfId="51558"/>
    <cellStyle name="Saída 8 2 3 4 4" xfId="33557"/>
    <cellStyle name="Saída 8 2 3 5" xfId="8181"/>
    <cellStyle name="Saída 8 2 3 5 2" xfId="16450"/>
    <cellStyle name="Saída 8 2 3 5 2 2" xfId="28625"/>
    <cellStyle name="Saída 8 2 3 5 2 2 2" xfId="57804"/>
    <cellStyle name="Saída 8 2 3 5 2 3" xfId="45631"/>
    <cellStyle name="Saída 8 2 3 5 3" xfId="24197"/>
    <cellStyle name="Saída 8 2 3 5 3 2" xfId="53376"/>
    <cellStyle name="Saída 8 2 3 5 4" xfId="37364"/>
    <cellStyle name="Saída 8 2 3 6" xfId="11039"/>
    <cellStyle name="Saída 8 2 3 6 2" xfId="25343"/>
    <cellStyle name="Saída 8 2 3 6 2 2" xfId="54522"/>
    <cellStyle name="Saída 8 2 3 6 3" xfId="40220"/>
    <cellStyle name="Saída 8 2 3 7" xfId="20915"/>
    <cellStyle name="Saída 8 2 3 7 2" xfId="50094"/>
    <cellStyle name="Saída 8 2 3 8" xfId="30005"/>
    <cellStyle name="Saída 8 2 4" xfId="1000"/>
    <cellStyle name="Saída 8 2 4 2" xfId="1910"/>
    <cellStyle name="Saída 8 2 4 2 2" xfId="3710"/>
    <cellStyle name="Saída 8 2 4 2 2 2" xfId="6662"/>
    <cellStyle name="Saída 8 2 4 2 2 2 2" xfId="15363"/>
    <cellStyle name="Saída 8 2 4 2 2 2 2 2" xfId="27961"/>
    <cellStyle name="Saída 8 2 4 2 2 2 2 2 2" xfId="57140"/>
    <cellStyle name="Saída 8 2 4 2 2 2 2 3" xfId="44544"/>
    <cellStyle name="Saída 8 2 4 2 2 2 3" xfId="23533"/>
    <cellStyle name="Saída 8 2 4 2 2 2 3 2" xfId="52712"/>
    <cellStyle name="Saída 8 2 4 2 2 2 4" xfId="35845"/>
    <cellStyle name="Saída 8 2 4 2 2 3" xfId="9689"/>
    <cellStyle name="Saída 8 2 4 2 2 3 2" xfId="17537"/>
    <cellStyle name="Saída 8 2 4 2 2 3 2 2" xfId="29224"/>
    <cellStyle name="Saída 8 2 4 2 2 3 2 2 2" xfId="58403"/>
    <cellStyle name="Saída 8 2 4 2 2 3 2 3" xfId="46718"/>
    <cellStyle name="Saída 8 2 4 2 2 3 3" xfId="24796"/>
    <cellStyle name="Saída 8 2 4 2 2 3 3 2" xfId="53975"/>
    <cellStyle name="Saída 8 2 4 2 2 3 4" xfId="38872"/>
    <cellStyle name="Saída 8 2 4 2 2 4" xfId="13094"/>
    <cellStyle name="Saída 8 2 4 2 2 4 2" xfId="26521"/>
    <cellStyle name="Saída 8 2 4 2 2 4 2 2" xfId="55700"/>
    <cellStyle name="Saída 8 2 4 2 2 4 3" xfId="42275"/>
    <cellStyle name="Saída 8 2 4 2 2 5" xfId="22093"/>
    <cellStyle name="Saída 8 2 4 2 2 5 2" xfId="51272"/>
    <cellStyle name="Saída 8 2 4 2 2 6" xfId="32893"/>
    <cellStyle name="Saída 8 2 4 2 3" xfId="5222"/>
    <cellStyle name="Saída 8 2 4 2 3 2" xfId="14241"/>
    <cellStyle name="Saída 8 2 4 2 3 2 2" xfId="27241"/>
    <cellStyle name="Saída 8 2 4 2 3 2 2 2" xfId="56420"/>
    <cellStyle name="Saída 8 2 4 2 3 2 3" xfId="43422"/>
    <cellStyle name="Saída 8 2 4 2 3 3" xfId="22813"/>
    <cellStyle name="Saída 8 2 4 2 3 3 2" xfId="51992"/>
    <cellStyle name="Saída 8 2 4 2 3 4" xfId="34405"/>
    <cellStyle name="Saída 8 2 4 2 4" xfId="8604"/>
    <cellStyle name="Saída 8 2 4 2 4 2" xfId="16752"/>
    <cellStyle name="Saída 8 2 4 2 4 2 2" xfId="28786"/>
    <cellStyle name="Saída 8 2 4 2 4 2 2 2" xfId="57965"/>
    <cellStyle name="Saída 8 2 4 2 4 2 3" xfId="45933"/>
    <cellStyle name="Saída 8 2 4 2 4 3" xfId="24358"/>
    <cellStyle name="Saída 8 2 4 2 4 3 2" xfId="53537"/>
    <cellStyle name="Saída 8 2 4 2 4 4" xfId="37787"/>
    <cellStyle name="Saída 8 2 4 2 5" xfId="11818"/>
    <cellStyle name="Saída 8 2 4 2 5 2" xfId="25801"/>
    <cellStyle name="Saída 8 2 4 2 5 2 2" xfId="54980"/>
    <cellStyle name="Saída 8 2 4 2 5 3" xfId="40999"/>
    <cellStyle name="Saída 8 2 4 2 6" xfId="21373"/>
    <cellStyle name="Saída 8 2 4 2 6 2" xfId="50552"/>
    <cellStyle name="Saída 8 2 4 2 7" xfId="31093"/>
    <cellStyle name="Saída 8 2 4 3" xfId="2810"/>
    <cellStyle name="Saída 8 2 4 3 2" xfId="5942"/>
    <cellStyle name="Saída 8 2 4 3 2 2" xfId="14805"/>
    <cellStyle name="Saída 8 2 4 3 2 2 2" xfId="27601"/>
    <cellStyle name="Saída 8 2 4 3 2 2 2 2" xfId="56780"/>
    <cellStyle name="Saída 8 2 4 3 2 2 3" xfId="43986"/>
    <cellStyle name="Saída 8 2 4 3 2 3" xfId="23173"/>
    <cellStyle name="Saída 8 2 4 3 2 3 2" xfId="52352"/>
    <cellStyle name="Saída 8 2 4 3 2 4" xfId="35125"/>
    <cellStyle name="Saída 8 2 4 3 3" xfId="10130"/>
    <cellStyle name="Saída 8 2 4 3 3 2" xfId="17846"/>
    <cellStyle name="Saída 8 2 4 3 3 2 2" xfId="29398"/>
    <cellStyle name="Saída 8 2 4 3 3 2 2 2" xfId="58577"/>
    <cellStyle name="Saída 8 2 4 3 3 2 3" xfId="47027"/>
    <cellStyle name="Saída 8 2 4 3 3 3" xfId="24970"/>
    <cellStyle name="Saída 8 2 4 3 3 3 2" xfId="54149"/>
    <cellStyle name="Saída 8 2 4 3 3 4" xfId="39313"/>
    <cellStyle name="Saída 8 2 4 3 4" xfId="12455"/>
    <cellStyle name="Saída 8 2 4 3 4 2" xfId="26161"/>
    <cellStyle name="Saída 8 2 4 3 4 2 2" xfId="55340"/>
    <cellStyle name="Saída 8 2 4 3 4 3" xfId="41636"/>
    <cellStyle name="Saída 8 2 4 3 5" xfId="21733"/>
    <cellStyle name="Saída 8 2 4 3 5 2" xfId="50912"/>
    <cellStyle name="Saída 8 2 4 3 6" xfId="31993"/>
    <cellStyle name="Saída 8 2 4 4" xfId="4502"/>
    <cellStyle name="Saída 8 2 4 4 2" xfId="13684"/>
    <cellStyle name="Saída 8 2 4 4 2 2" xfId="26881"/>
    <cellStyle name="Saída 8 2 4 4 2 2 2" xfId="56060"/>
    <cellStyle name="Saída 8 2 4 4 2 3" xfId="42865"/>
    <cellStyle name="Saída 8 2 4 4 3" xfId="22453"/>
    <cellStyle name="Saída 8 2 4 4 3 2" xfId="51632"/>
    <cellStyle name="Saída 8 2 4 4 4" xfId="33685"/>
    <cellStyle name="Saída 8 2 4 5" xfId="7730"/>
    <cellStyle name="Saída 8 2 4 5 2" xfId="16136"/>
    <cellStyle name="Saída 8 2 4 5 2 2" xfId="28451"/>
    <cellStyle name="Saída 8 2 4 5 2 2 2" xfId="57630"/>
    <cellStyle name="Saída 8 2 4 5 2 3" xfId="45317"/>
    <cellStyle name="Saída 8 2 4 5 3" xfId="24023"/>
    <cellStyle name="Saída 8 2 4 5 3 2" xfId="53202"/>
    <cellStyle name="Saída 8 2 4 5 4" xfId="36913"/>
    <cellStyle name="Saída 8 2 4 6" xfId="11181"/>
    <cellStyle name="Saída 8 2 4 6 2" xfId="25438"/>
    <cellStyle name="Saída 8 2 4 6 2 2" xfId="54617"/>
    <cellStyle name="Saída 8 2 4 6 3" xfId="40362"/>
    <cellStyle name="Saída 8 2 4 7" xfId="21010"/>
    <cellStyle name="Saída 8 2 4 7 2" xfId="50189"/>
    <cellStyle name="Saída 8 2 4 8" xfId="30190"/>
    <cellStyle name="Saída 8 2 5" xfId="1150"/>
    <cellStyle name="Saída 8 2 5 2" xfId="2054"/>
    <cellStyle name="Saída 8 2 5 2 2" xfId="3854"/>
    <cellStyle name="Saída 8 2 5 2 2 2" xfId="6779"/>
    <cellStyle name="Saída 8 2 5 2 2 2 2" xfId="15455"/>
    <cellStyle name="Saída 8 2 5 2 2 2 2 2" xfId="28024"/>
    <cellStyle name="Saída 8 2 5 2 2 2 2 2 2" xfId="57203"/>
    <cellStyle name="Saída 8 2 5 2 2 2 2 3" xfId="44636"/>
    <cellStyle name="Saída 8 2 5 2 2 2 3" xfId="23596"/>
    <cellStyle name="Saída 8 2 5 2 2 2 3 2" xfId="52775"/>
    <cellStyle name="Saída 8 2 5 2 2 2 4" xfId="35962"/>
    <cellStyle name="Saída 8 2 5 2 2 3" xfId="7585"/>
    <cellStyle name="Saída 8 2 5 2 2 3 2" xfId="16037"/>
    <cellStyle name="Saída 8 2 5 2 2 3 2 2" xfId="28394"/>
    <cellStyle name="Saída 8 2 5 2 2 3 2 2 2" xfId="57573"/>
    <cellStyle name="Saída 8 2 5 2 2 3 2 3" xfId="45218"/>
    <cellStyle name="Saída 8 2 5 2 2 3 3" xfId="23966"/>
    <cellStyle name="Saída 8 2 5 2 2 3 3 2" xfId="53145"/>
    <cellStyle name="Saída 8 2 5 2 2 3 4" xfId="36768"/>
    <cellStyle name="Saída 8 2 5 2 2 4" xfId="13194"/>
    <cellStyle name="Saída 8 2 5 2 2 4 2" xfId="26584"/>
    <cellStyle name="Saída 8 2 5 2 2 4 2 2" xfId="55763"/>
    <cellStyle name="Saída 8 2 5 2 2 4 3" xfId="42375"/>
    <cellStyle name="Saída 8 2 5 2 2 5" xfId="22156"/>
    <cellStyle name="Saída 8 2 5 2 2 5 2" xfId="51335"/>
    <cellStyle name="Saída 8 2 5 2 2 6" xfId="33037"/>
    <cellStyle name="Saída 8 2 5 2 3" xfId="5339"/>
    <cellStyle name="Saída 8 2 5 2 3 2" xfId="14334"/>
    <cellStyle name="Saída 8 2 5 2 3 2 2" xfId="27304"/>
    <cellStyle name="Saída 8 2 5 2 3 2 2 2" xfId="56483"/>
    <cellStyle name="Saída 8 2 5 2 3 2 3" xfId="43515"/>
    <cellStyle name="Saída 8 2 5 2 3 3" xfId="22876"/>
    <cellStyle name="Saída 8 2 5 2 3 3 2" xfId="52055"/>
    <cellStyle name="Saída 8 2 5 2 3 4" xfId="34522"/>
    <cellStyle name="Saída 8 2 5 2 4" xfId="9898"/>
    <cellStyle name="Saída 8 2 5 2 4 2" xfId="17690"/>
    <cellStyle name="Saída 8 2 5 2 4 2 2" xfId="29308"/>
    <cellStyle name="Saída 8 2 5 2 4 2 2 2" xfId="58487"/>
    <cellStyle name="Saída 8 2 5 2 4 2 3" xfId="46871"/>
    <cellStyle name="Saída 8 2 5 2 4 3" xfId="24880"/>
    <cellStyle name="Saída 8 2 5 2 4 3 2" xfId="54059"/>
    <cellStyle name="Saída 8 2 5 2 4 4" xfId="39081"/>
    <cellStyle name="Saída 8 2 5 2 5" xfId="11919"/>
    <cellStyle name="Saída 8 2 5 2 5 2" xfId="25864"/>
    <cellStyle name="Saída 8 2 5 2 5 2 2" xfId="55043"/>
    <cellStyle name="Saída 8 2 5 2 5 3" xfId="41100"/>
    <cellStyle name="Saída 8 2 5 2 6" xfId="21436"/>
    <cellStyle name="Saída 8 2 5 2 6 2" xfId="50615"/>
    <cellStyle name="Saída 8 2 5 2 7" xfId="31237"/>
    <cellStyle name="Saída 8 2 5 3" xfId="2954"/>
    <cellStyle name="Saída 8 2 5 3 2" xfId="6059"/>
    <cellStyle name="Saída 8 2 5 3 2 2" xfId="14896"/>
    <cellStyle name="Saída 8 2 5 3 2 2 2" xfId="27664"/>
    <cellStyle name="Saída 8 2 5 3 2 2 2 2" xfId="56843"/>
    <cellStyle name="Saída 8 2 5 3 2 2 3" xfId="44077"/>
    <cellStyle name="Saída 8 2 5 3 2 3" xfId="23236"/>
    <cellStyle name="Saída 8 2 5 3 2 3 2" xfId="52415"/>
    <cellStyle name="Saída 8 2 5 3 2 4" xfId="35242"/>
    <cellStyle name="Saída 8 2 5 3 3" xfId="9123"/>
    <cellStyle name="Saída 8 2 5 3 3 2" xfId="17136"/>
    <cellStyle name="Saída 8 2 5 3 3 2 2" xfId="29002"/>
    <cellStyle name="Saída 8 2 5 3 3 2 2 2" xfId="58181"/>
    <cellStyle name="Saída 8 2 5 3 3 2 3" xfId="46317"/>
    <cellStyle name="Saída 8 2 5 3 3 3" xfId="24574"/>
    <cellStyle name="Saída 8 2 5 3 3 3 2" xfId="53753"/>
    <cellStyle name="Saída 8 2 5 3 3 4" xfId="38306"/>
    <cellStyle name="Saída 8 2 5 3 4" xfId="12558"/>
    <cellStyle name="Saída 8 2 5 3 4 2" xfId="26224"/>
    <cellStyle name="Saída 8 2 5 3 4 2 2" xfId="55403"/>
    <cellStyle name="Saída 8 2 5 3 4 3" xfId="41739"/>
    <cellStyle name="Saída 8 2 5 3 5" xfId="21796"/>
    <cellStyle name="Saída 8 2 5 3 5 2" xfId="50975"/>
    <cellStyle name="Saída 8 2 5 3 6" xfId="32137"/>
    <cellStyle name="Saída 8 2 5 4" xfId="4619"/>
    <cellStyle name="Saída 8 2 5 4 2" xfId="13777"/>
    <cellStyle name="Saída 8 2 5 4 2 2" xfId="26944"/>
    <cellStyle name="Saída 8 2 5 4 2 2 2" xfId="56123"/>
    <cellStyle name="Saída 8 2 5 4 2 3" xfId="42958"/>
    <cellStyle name="Saída 8 2 5 4 3" xfId="22516"/>
    <cellStyle name="Saída 8 2 5 4 3 2" xfId="51695"/>
    <cellStyle name="Saída 8 2 5 4 4" xfId="33802"/>
    <cellStyle name="Saída 8 2 5 5" xfId="10329"/>
    <cellStyle name="Saída 8 2 5 5 2" xfId="17989"/>
    <cellStyle name="Saída 8 2 5 5 2 2" xfId="29479"/>
    <cellStyle name="Saída 8 2 5 5 2 2 2" xfId="58658"/>
    <cellStyle name="Saída 8 2 5 5 2 3" xfId="47170"/>
    <cellStyle name="Saída 8 2 5 5 3" xfId="25051"/>
    <cellStyle name="Saída 8 2 5 5 3 2" xfId="54230"/>
    <cellStyle name="Saída 8 2 5 5 4" xfId="39512"/>
    <cellStyle name="Saída 8 2 5 6" xfId="11287"/>
    <cellStyle name="Saída 8 2 5 6 2" xfId="25504"/>
    <cellStyle name="Saída 8 2 5 6 2 2" xfId="54683"/>
    <cellStyle name="Saída 8 2 5 6 3" xfId="40468"/>
    <cellStyle name="Saída 8 2 5 7" xfId="21076"/>
    <cellStyle name="Saída 8 2 5 7 2" xfId="50255"/>
    <cellStyle name="Saída 8 2 5 8" xfId="30337"/>
    <cellStyle name="Saída 8 2 6" xfId="1296"/>
    <cellStyle name="Saída 8 2 6 2" xfId="2198"/>
    <cellStyle name="Saída 8 2 6 2 2" xfId="3998"/>
    <cellStyle name="Saída 8 2 6 2 2 2" xfId="6896"/>
    <cellStyle name="Saída 8 2 6 2 2 2 2" xfId="15550"/>
    <cellStyle name="Saída 8 2 6 2 2 2 2 2" xfId="28087"/>
    <cellStyle name="Saída 8 2 6 2 2 2 2 2 2" xfId="57266"/>
    <cellStyle name="Saída 8 2 6 2 2 2 2 3" xfId="44731"/>
    <cellStyle name="Saída 8 2 6 2 2 2 3" xfId="23659"/>
    <cellStyle name="Saída 8 2 6 2 2 2 3 2" xfId="52838"/>
    <cellStyle name="Saída 8 2 6 2 2 2 4" xfId="36079"/>
    <cellStyle name="Saída 8 2 6 2 2 3" xfId="7082"/>
    <cellStyle name="Saída 8 2 6 2 2 3 2" xfId="15682"/>
    <cellStyle name="Saída 8 2 6 2 2 3 2 2" xfId="28181"/>
    <cellStyle name="Saída 8 2 6 2 2 3 2 2 2" xfId="57360"/>
    <cellStyle name="Saída 8 2 6 2 2 3 2 3" xfId="44863"/>
    <cellStyle name="Saída 8 2 6 2 2 3 3" xfId="23753"/>
    <cellStyle name="Saída 8 2 6 2 2 3 3 2" xfId="52932"/>
    <cellStyle name="Saída 8 2 6 2 2 3 4" xfId="36265"/>
    <cellStyle name="Saída 8 2 6 2 2 4" xfId="13299"/>
    <cellStyle name="Saída 8 2 6 2 2 4 2" xfId="26647"/>
    <cellStyle name="Saída 8 2 6 2 2 4 2 2" xfId="55826"/>
    <cellStyle name="Saída 8 2 6 2 2 4 3" xfId="42480"/>
    <cellStyle name="Saída 8 2 6 2 2 5" xfId="22219"/>
    <cellStyle name="Saída 8 2 6 2 2 5 2" xfId="51398"/>
    <cellStyle name="Saída 8 2 6 2 2 6" xfId="33181"/>
    <cellStyle name="Saída 8 2 6 2 3" xfId="5456"/>
    <cellStyle name="Saída 8 2 6 2 3 2" xfId="14430"/>
    <cellStyle name="Saída 8 2 6 2 3 2 2" xfId="27367"/>
    <cellStyle name="Saída 8 2 6 2 3 2 2 2" xfId="56546"/>
    <cellStyle name="Saída 8 2 6 2 3 2 3" xfId="43611"/>
    <cellStyle name="Saída 8 2 6 2 3 3" xfId="22939"/>
    <cellStyle name="Saída 8 2 6 2 3 3 2" xfId="52118"/>
    <cellStyle name="Saída 8 2 6 2 3 4" xfId="34639"/>
    <cellStyle name="Saída 8 2 6 2 4" xfId="10435"/>
    <cellStyle name="Saída 8 2 6 2 4 2" xfId="18062"/>
    <cellStyle name="Saída 8 2 6 2 4 2 2" xfId="29518"/>
    <cellStyle name="Saída 8 2 6 2 4 2 2 2" xfId="58697"/>
    <cellStyle name="Saída 8 2 6 2 4 2 3" xfId="47243"/>
    <cellStyle name="Saída 8 2 6 2 4 3" xfId="25090"/>
    <cellStyle name="Saída 8 2 6 2 4 3 2" xfId="54269"/>
    <cellStyle name="Saída 8 2 6 2 4 4" xfId="39618"/>
    <cellStyle name="Saída 8 2 6 2 5" xfId="12023"/>
    <cellStyle name="Saída 8 2 6 2 5 2" xfId="25927"/>
    <cellStyle name="Saída 8 2 6 2 5 2 2" xfId="55106"/>
    <cellStyle name="Saída 8 2 6 2 5 3" xfId="41204"/>
    <cellStyle name="Saída 8 2 6 2 6" xfId="21499"/>
    <cellStyle name="Saída 8 2 6 2 6 2" xfId="50678"/>
    <cellStyle name="Saída 8 2 6 2 7" xfId="31381"/>
    <cellStyle name="Saída 8 2 6 3" xfId="3098"/>
    <cellStyle name="Saída 8 2 6 3 2" xfId="6176"/>
    <cellStyle name="Saída 8 2 6 3 2 2" xfId="14991"/>
    <cellStyle name="Saída 8 2 6 3 2 2 2" xfId="27727"/>
    <cellStyle name="Saída 8 2 6 3 2 2 2 2" xfId="56906"/>
    <cellStyle name="Saída 8 2 6 3 2 2 3" xfId="44172"/>
    <cellStyle name="Saída 8 2 6 3 2 3" xfId="23299"/>
    <cellStyle name="Saída 8 2 6 3 2 3 2" xfId="52478"/>
    <cellStyle name="Saída 8 2 6 3 2 4" xfId="35359"/>
    <cellStyle name="Saída 8 2 6 3 3" xfId="9658"/>
    <cellStyle name="Saída 8 2 6 3 3 2" xfId="17514"/>
    <cellStyle name="Saída 8 2 6 3 3 2 2" xfId="29214"/>
    <cellStyle name="Saída 8 2 6 3 3 2 2 2" xfId="58393"/>
    <cellStyle name="Saída 8 2 6 3 3 2 3" xfId="46695"/>
    <cellStyle name="Saída 8 2 6 3 3 3" xfId="24786"/>
    <cellStyle name="Saída 8 2 6 3 3 3 2" xfId="53965"/>
    <cellStyle name="Saída 8 2 6 3 3 4" xfId="38841"/>
    <cellStyle name="Saída 8 2 6 3 4" xfId="12661"/>
    <cellStyle name="Saída 8 2 6 3 4 2" xfId="26287"/>
    <cellStyle name="Saída 8 2 6 3 4 2 2" xfId="55466"/>
    <cellStyle name="Saída 8 2 6 3 4 3" xfId="41842"/>
    <cellStyle name="Saída 8 2 6 3 5" xfId="21859"/>
    <cellStyle name="Saída 8 2 6 3 5 2" xfId="51038"/>
    <cellStyle name="Saída 8 2 6 3 6" xfId="32281"/>
    <cellStyle name="Saída 8 2 6 4" xfId="4736"/>
    <cellStyle name="Saída 8 2 6 4 2" xfId="13868"/>
    <cellStyle name="Saída 8 2 6 4 2 2" xfId="27007"/>
    <cellStyle name="Saída 8 2 6 4 2 2 2" xfId="56186"/>
    <cellStyle name="Saída 8 2 6 4 2 3" xfId="43049"/>
    <cellStyle name="Saída 8 2 6 4 3" xfId="22579"/>
    <cellStyle name="Saída 8 2 6 4 3 2" xfId="51758"/>
    <cellStyle name="Saída 8 2 6 4 4" xfId="33919"/>
    <cellStyle name="Saída 8 2 6 5" xfId="7930"/>
    <cellStyle name="Saída 8 2 6 5 2" xfId="16277"/>
    <cellStyle name="Saída 8 2 6 5 2 2" xfId="28532"/>
    <cellStyle name="Saída 8 2 6 5 2 2 2" xfId="57711"/>
    <cellStyle name="Saída 8 2 6 5 2 3" xfId="45458"/>
    <cellStyle name="Saída 8 2 6 5 3" xfId="24104"/>
    <cellStyle name="Saída 8 2 6 5 3 2" xfId="53283"/>
    <cellStyle name="Saída 8 2 6 5 4" xfId="37113"/>
    <cellStyle name="Saída 8 2 6 6" xfId="11393"/>
    <cellStyle name="Saída 8 2 6 6 2" xfId="25567"/>
    <cellStyle name="Saída 8 2 6 6 2 2" xfId="54746"/>
    <cellStyle name="Saída 8 2 6 6 3" xfId="40574"/>
    <cellStyle name="Saída 8 2 6 7" xfId="21139"/>
    <cellStyle name="Saída 8 2 6 7 2" xfId="50318"/>
    <cellStyle name="Saída 8 2 6 8" xfId="30481"/>
    <cellStyle name="Saída 8 2 7" xfId="1478"/>
    <cellStyle name="Saída 8 2 7 2" xfId="3278"/>
    <cellStyle name="Saída 8 2 7 2 2" xfId="6320"/>
    <cellStyle name="Saída 8 2 7 2 2 2" xfId="15094"/>
    <cellStyle name="Saída 8 2 7 2 2 2 2" xfId="27799"/>
    <cellStyle name="Saída 8 2 7 2 2 2 2 2" xfId="56978"/>
    <cellStyle name="Saída 8 2 7 2 2 2 3" xfId="44275"/>
    <cellStyle name="Saída 8 2 7 2 2 3" xfId="23371"/>
    <cellStyle name="Saída 8 2 7 2 2 3 2" xfId="52550"/>
    <cellStyle name="Saída 8 2 7 2 2 4" xfId="35503"/>
    <cellStyle name="Saída 8 2 7 2 3" xfId="10266"/>
    <cellStyle name="Saída 8 2 7 2 3 2" xfId="17947"/>
    <cellStyle name="Saída 8 2 7 2 3 2 2" xfId="29457"/>
    <cellStyle name="Saída 8 2 7 2 3 2 2 2" xfId="58636"/>
    <cellStyle name="Saída 8 2 7 2 3 2 3" xfId="47128"/>
    <cellStyle name="Saída 8 2 7 2 3 3" xfId="25029"/>
    <cellStyle name="Saída 8 2 7 2 3 3 2" xfId="54208"/>
    <cellStyle name="Saída 8 2 7 2 3 4" xfId="39449"/>
    <cellStyle name="Saída 8 2 7 2 4" xfId="12785"/>
    <cellStyle name="Saída 8 2 7 2 4 2" xfId="26359"/>
    <cellStyle name="Saída 8 2 7 2 4 2 2" xfId="55538"/>
    <cellStyle name="Saída 8 2 7 2 4 3" xfId="41966"/>
    <cellStyle name="Saída 8 2 7 2 5" xfId="21931"/>
    <cellStyle name="Saída 8 2 7 2 5 2" xfId="51110"/>
    <cellStyle name="Saída 8 2 7 2 6" xfId="32461"/>
    <cellStyle name="Saída 8 2 7 3" xfId="4880"/>
    <cellStyle name="Saída 8 2 7 3 2" xfId="13970"/>
    <cellStyle name="Saída 8 2 7 3 2 2" xfId="27079"/>
    <cellStyle name="Saída 8 2 7 3 2 2 2" xfId="56258"/>
    <cellStyle name="Saída 8 2 7 3 2 3" xfId="43151"/>
    <cellStyle name="Saída 8 2 7 3 3" xfId="22651"/>
    <cellStyle name="Saída 8 2 7 3 3 2" xfId="51830"/>
    <cellStyle name="Saída 8 2 7 3 4" xfId="34063"/>
    <cellStyle name="Saída 8 2 7 4" xfId="10069"/>
    <cellStyle name="Saída 8 2 7 4 2" xfId="17805"/>
    <cellStyle name="Saída 8 2 7 4 2 2" xfId="29372"/>
    <cellStyle name="Saída 8 2 7 4 2 2 2" xfId="58551"/>
    <cellStyle name="Saída 8 2 7 4 2 3" xfId="46986"/>
    <cellStyle name="Saída 8 2 7 4 3" xfId="24944"/>
    <cellStyle name="Saída 8 2 7 4 3 2" xfId="54123"/>
    <cellStyle name="Saída 8 2 7 4 4" xfId="39252"/>
    <cellStyle name="Saída 8 2 7 5" xfId="11515"/>
    <cellStyle name="Saída 8 2 7 5 2" xfId="25639"/>
    <cellStyle name="Saída 8 2 7 5 2 2" xfId="54818"/>
    <cellStyle name="Saída 8 2 7 5 3" xfId="40696"/>
    <cellStyle name="Saída 8 2 7 6" xfId="21211"/>
    <cellStyle name="Saída 8 2 7 6 2" xfId="50390"/>
    <cellStyle name="Saída 8 2 7 7" xfId="30661"/>
    <cellStyle name="Saída 8 2 8" xfId="2378"/>
    <cellStyle name="Saída 8 2 8 2" xfId="5600"/>
    <cellStyle name="Saída 8 2 8 2 2" xfId="14535"/>
    <cellStyle name="Saída 8 2 8 2 2 2" xfId="27439"/>
    <cellStyle name="Saída 8 2 8 2 2 2 2" xfId="56618"/>
    <cellStyle name="Saída 8 2 8 2 2 3" xfId="43716"/>
    <cellStyle name="Saída 8 2 8 2 3" xfId="23011"/>
    <cellStyle name="Saída 8 2 8 2 3 2" xfId="52190"/>
    <cellStyle name="Saída 8 2 8 2 4" xfId="34783"/>
    <cellStyle name="Saída 8 2 8 3" xfId="7639"/>
    <cellStyle name="Saída 8 2 8 3 2" xfId="16072"/>
    <cellStyle name="Saída 8 2 8 3 2 2" xfId="28416"/>
    <cellStyle name="Saída 8 2 8 3 2 2 2" xfId="57595"/>
    <cellStyle name="Saída 8 2 8 3 2 3" xfId="45253"/>
    <cellStyle name="Saída 8 2 8 3 3" xfId="23988"/>
    <cellStyle name="Saída 8 2 8 3 3 2" xfId="53167"/>
    <cellStyle name="Saída 8 2 8 3 4" xfId="36822"/>
    <cellStyle name="Saída 8 2 8 4" xfId="12144"/>
    <cellStyle name="Saída 8 2 8 4 2" xfId="25999"/>
    <cellStyle name="Saída 8 2 8 4 2 2" xfId="55178"/>
    <cellStyle name="Saída 8 2 8 4 3" xfId="41325"/>
    <cellStyle name="Saída 8 2 8 5" xfId="21571"/>
    <cellStyle name="Saída 8 2 8 5 2" xfId="50750"/>
    <cellStyle name="Saída 8 2 8 6" xfId="31561"/>
    <cellStyle name="Saída 8 2 9" xfId="4160"/>
    <cellStyle name="Saída 8 2 9 2" xfId="13413"/>
    <cellStyle name="Saída 8 2 9 2 2" xfId="26719"/>
    <cellStyle name="Saída 8 2 9 2 2 2" xfId="55898"/>
    <cellStyle name="Saída 8 2 9 2 3" xfId="42594"/>
    <cellStyle name="Saída 8 2 9 3" xfId="22291"/>
    <cellStyle name="Saída 8 2 9 3 2" xfId="51470"/>
    <cellStyle name="Saída 8 2 9 4" xfId="33343"/>
    <cellStyle name="Saída 8 3" xfId="500"/>
    <cellStyle name="Saída 8 3 10" xfId="10798"/>
    <cellStyle name="Saída 8 3 10 2" xfId="25197"/>
    <cellStyle name="Saída 8 3 10 2 2" xfId="54376"/>
    <cellStyle name="Saída 8 3 10 3" xfId="39979"/>
    <cellStyle name="Saída 8 3 11" xfId="20769"/>
    <cellStyle name="Saída 8 3 11 2" xfId="49948"/>
    <cellStyle name="Saída 8 3 12" xfId="29706"/>
    <cellStyle name="Saída 8 3 2" xfId="853"/>
    <cellStyle name="Saída 8 3 2 2" xfId="1791"/>
    <cellStyle name="Saída 8 3 2 2 2" xfId="3591"/>
    <cellStyle name="Saída 8 3 2 2 2 2" xfId="6570"/>
    <cellStyle name="Saída 8 3 2 2 2 2 2" xfId="15287"/>
    <cellStyle name="Saída 8 3 2 2 2 2 2 2" xfId="27905"/>
    <cellStyle name="Saída 8 3 2 2 2 2 2 2 2" xfId="57084"/>
    <cellStyle name="Saída 8 3 2 2 2 2 2 3" xfId="44468"/>
    <cellStyle name="Saída 8 3 2 2 2 2 3" xfId="23477"/>
    <cellStyle name="Saída 8 3 2 2 2 2 3 2" xfId="52656"/>
    <cellStyle name="Saída 8 3 2 2 2 2 4" xfId="35753"/>
    <cellStyle name="Saída 8 3 2 2 2 3" xfId="8963"/>
    <cellStyle name="Saída 8 3 2 2 2 3 2" xfId="17023"/>
    <cellStyle name="Saída 8 3 2 2 2 3 2 2" xfId="28934"/>
    <cellStyle name="Saída 8 3 2 2 2 3 2 2 2" xfId="58113"/>
    <cellStyle name="Saída 8 3 2 2 2 3 2 3" xfId="46204"/>
    <cellStyle name="Saída 8 3 2 2 2 3 3" xfId="24506"/>
    <cellStyle name="Saída 8 3 2 2 2 3 3 2" xfId="53685"/>
    <cellStyle name="Saída 8 3 2 2 2 3 4" xfId="38146"/>
    <cellStyle name="Saída 8 3 2 2 2 4" xfId="13003"/>
    <cellStyle name="Saída 8 3 2 2 2 4 2" xfId="26465"/>
    <cellStyle name="Saída 8 3 2 2 2 4 2 2" xfId="55644"/>
    <cellStyle name="Saída 8 3 2 2 2 4 3" xfId="42184"/>
    <cellStyle name="Saída 8 3 2 2 2 5" xfId="22037"/>
    <cellStyle name="Saída 8 3 2 2 2 5 2" xfId="51216"/>
    <cellStyle name="Saída 8 3 2 2 2 6" xfId="32774"/>
    <cellStyle name="Saída 8 3 2 2 3" xfId="5130"/>
    <cellStyle name="Saída 8 3 2 2 3 2" xfId="14164"/>
    <cellStyle name="Saída 8 3 2 2 3 2 2" xfId="27185"/>
    <cellStyle name="Saída 8 3 2 2 3 2 2 2" xfId="56364"/>
    <cellStyle name="Saída 8 3 2 2 3 2 3" xfId="43345"/>
    <cellStyle name="Saída 8 3 2 2 3 3" xfId="22757"/>
    <cellStyle name="Saída 8 3 2 2 3 3 2" xfId="51936"/>
    <cellStyle name="Saída 8 3 2 2 3 4" xfId="34313"/>
    <cellStyle name="Saída 8 3 2 2 4" xfId="8567"/>
    <cellStyle name="Saída 8 3 2 2 4 2" xfId="16726"/>
    <cellStyle name="Saída 8 3 2 2 4 2 2" xfId="28773"/>
    <cellStyle name="Saída 8 3 2 2 4 2 2 2" xfId="57952"/>
    <cellStyle name="Saída 8 3 2 2 4 2 3" xfId="45907"/>
    <cellStyle name="Saída 8 3 2 2 4 3" xfId="24345"/>
    <cellStyle name="Saída 8 3 2 2 4 3 2" xfId="53524"/>
    <cellStyle name="Saída 8 3 2 2 4 4" xfId="37750"/>
    <cellStyle name="Saída 8 3 2 2 5" xfId="11729"/>
    <cellStyle name="Saída 8 3 2 2 5 2" xfId="25745"/>
    <cellStyle name="Saída 8 3 2 2 5 2 2" xfId="54924"/>
    <cellStyle name="Saída 8 3 2 2 5 3" xfId="40910"/>
    <cellStyle name="Saída 8 3 2 2 6" xfId="21317"/>
    <cellStyle name="Saída 8 3 2 2 6 2" xfId="50496"/>
    <cellStyle name="Saída 8 3 2 2 7" xfId="30974"/>
    <cellStyle name="Saída 8 3 2 3" xfId="2691"/>
    <cellStyle name="Saída 8 3 2 3 2" xfId="5850"/>
    <cellStyle name="Saída 8 3 2 3 2 2" xfId="14731"/>
    <cellStyle name="Saída 8 3 2 3 2 2 2" xfId="27545"/>
    <cellStyle name="Saída 8 3 2 3 2 2 2 2" xfId="56724"/>
    <cellStyle name="Saída 8 3 2 3 2 2 3" xfId="43912"/>
    <cellStyle name="Saída 8 3 2 3 2 3" xfId="23117"/>
    <cellStyle name="Saída 8 3 2 3 2 3 2" xfId="52296"/>
    <cellStyle name="Saída 8 3 2 3 2 4" xfId="35033"/>
    <cellStyle name="Saída 8 3 2 3 3" xfId="10093"/>
    <cellStyle name="Saída 8 3 2 3 3 2" xfId="17824"/>
    <cellStyle name="Saída 8 3 2 3 3 2 2" xfId="29385"/>
    <cellStyle name="Saída 8 3 2 3 3 2 2 2" xfId="58564"/>
    <cellStyle name="Saída 8 3 2 3 3 2 3" xfId="47005"/>
    <cellStyle name="Saída 8 3 2 3 3 3" xfId="24957"/>
    <cellStyle name="Saída 8 3 2 3 3 3 2" xfId="54136"/>
    <cellStyle name="Saída 8 3 2 3 3 4" xfId="39276"/>
    <cellStyle name="Saída 8 3 2 3 4" xfId="12366"/>
    <cellStyle name="Saída 8 3 2 3 4 2" xfId="26105"/>
    <cellStyle name="Saída 8 3 2 3 4 2 2" xfId="55284"/>
    <cellStyle name="Saída 8 3 2 3 4 3" xfId="41547"/>
    <cellStyle name="Saída 8 3 2 3 5" xfId="21677"/>
    <cellStyle name="Saída 8 3 2 3 5 2" xfId="50856"/>
    <cellStyle name="Saída 8 3 2 3 6" xfId="31874"/>
    <cellStyle name="Saída 8 3 2 4" xfId="4410"/>
    <cellStyle name="Saída 8 3 2 4 2" xfId="13608"/>
    <cellStyle name="Saída 8 3 2 4 2 2" xfId="26825"/>
    <cellStyle name="Saída 8 3 2 4 2 2 2" xfId="56004"/>
    <cellStyle name="Saída 8 3 2 4 2 3" xfId="42789"/>
    <cellStyle name="Saída 8 3 2 4 3" xfId="22397"/>
    <cellStyle name="Saída 8 3 2 4 3 2" xfId="51576"/>
    <cellStyle name="Saída 8 3 2 4 4" xfId="33593"/>
    <cellStyle name="Saída 8 3 2 5" xfId="10292"/>
    <cellStyle name="Saída 8 3 2 5 2" xfId="17964"/>
    <cellStyle name="Saída 8 3 2 5 2 2" xfId="29467"/>
    <cellStyle name="Saída 8 3 2 5 2 2 2" xfId="58646"/>
    <cellStyle name="Saída 8 3 2 5 2 3" xfId="47145"/>
    <cellStyle name="Saída 8 3 2 5 3" xfId="25039"/>
    <cellStyle name="Saída 8 3 2 5 3 2" xfId="54218"/>
    <cellStyle name="Saída 8 3 2 5 4" xfId="39475"/>
    <cellStyle name="Saída 8 3 2 6" xfId="11068"/>
    <cellStyle name="Saída 8 3 2 6 2" xfId="25361"/>
    <cellStyle name="Saída 8 3 2 6 2 2" xfId="54540"/>
    <cellStyle name="Saída 8 3 2 6 3" xfId="40249"/>
    <cellStyle name="Saída 8 3 2 7" xfId="20933"/>
    <cellStyle name="Saída 8 3 2 7 2" xfId="50112"/>
    <cellStyle name="Saída 8 3 2 8" xfId="30050"/>
    <cellStyle name="Saída 8 3 3" xfId="1045"/>
    <cellStyle name="Saída 8 3 3 2" xfId="1955"/>
    <cellStyle name="Saída 8 3 3 2 2" xfId="3755"/>
    <cellStyle name="Saída 8 3 3 2 2 2" xfId="6698"/>
    <cellStyle name="Saída 8 3 3 2 2 2 2" xfId="15392"/>
    <cellStyle name="Saída 8 3 3 2 2 2 2 2" xfId="27979"/>
    <cellStyle name="Saída 8 3 3 2 2 2 2 2 2" xfId="57158"/>
    <cellStyle name="Saída 8 3 3 2 2 2 2 3" xfId="44573"/>
    <cellStyle name="Saída 8 3 3 2 2 2 3" xfId="23551"/>
    <cellStyle name="Saída 8 3 3 2 2 2 3 2" xfId="52730"/>
    <cellStyle name="Saída 8 3 3 2 2 2 4" xfId="35881"/>
    <cellStyle name="Saída 8 3 3 2 2 3" xfId="8841"/>
    <cellStyle name="Saída 8 3 3 2 2 3 2" xfId="16931"/>
    <cellStyle name="Saída 8 3 3 2 2 3 2 2" xfId="28887"/>
    <cellStyle name="Saída 8 3 3 2 2 3 2 2 2" xfId="58066"/>
    <cellStyle name="Saída 8 3 3 2 2 3 2 3" xfId="46112"/>
    <cellStyle name="Saída 8 3 3 2 2 3 3" xfId="24459"/>
    <cellStyle name="Saída 8 3 3 2 2 3 3 2" xfId="53638"/>
    <cellStyle name="Saída 8 3 3 2 2 3 4" xfId="38024"/>
    <cellStyle name="Saída 8 3 3 2 2 4" xfId="13125"/>
    <cellStyle name="Saída 8 3 3 2 2 4 2" xfId="26539"/>
    <cellStyle name="Saída 8 3 3 2 2 4 2 2" xfId="55718"/>
    <cellStyle name="Saída 8 3 3 2 2 4 3" xfId="42306"/>
    <cellStyle name="Saída 8 3 3 2 2 5" xfId="22111"/>
    <cellStyle name="Saída 8 3 3 2 2 5 2" xfId="51290"/>
    <cellStyle name="Saída 8 3 3 2 2 6" xfId="32938"/>
    <cellStyle name="Saída 8 3 3 2 3" xfId="5258"/>
    <cellStyle name="Saída 8 3 3 2 3 2" xfId="14271"/>
    <cellStyle name="Saída 8 3 3 2 3 2 2" xfId="27259"/>
    <cellStyle name="Saída 8 3 3 2 3 2 2 2" xfId="56438"/>
    <cellStyle name="Saída 8 3 3 2 3 2 3" xfId="43452"/>
    <cellStyle name="Saída 8 3 3 2 3 3" xfId="22831"/>
    <cellStyle name="Saída 8 3 3 2 3 3 2" xfId="52010"/>
    <cellStyle name="Saída 8 3 3 2 3 4" xfId="34441"/>
    <cellStyle name="Saída 8 3 3 2 4" xfId="9823"/>
    <cellStyle name="Saída 8 3 3 2 4 2" xfId="17639"/>
    <cellStyle name="Saída 8 3 3 2 4 2 2" xfId="29280"/>
    <cellStyle name="Saída 8 3 3 2 4 2 2 2" xfId="58459"/>
    <cellStyle name="Saída 8 3 3 2 4 2 3" xfId="46820"/>
    <cellStyle name="Saída 8 3 3 2 4 3" xfId="24852"/>
    <cellStyle name="Saída 8 3 3 2 4 3 2" xfId="54031"/>
    <cellStyle name="Saída 8 3 3 2 4 4" xfId="39006"/>
    <cellStyle name="Saída 8 3 3 2 5" xfId="11849"/>
    <cellStyle name="Saída 8 3 3 2 5 2" xfId="25819"/>
    <cellStyle name="Saída 8 3 3 2 5 2 2" xfId="54998"/>
    <cellStyle name="Saída 8 3 3 2 5 3" xfId="41030"/>
    <cellStyle name="Saída 8 3 3 2 6" xfId="21391"/>
    <cellStyle name="Saída 8 3 3 2 6 2" xfId="50570"/>
    <cellStyle name="Saída 8 3 3 2 7" xfId="31138"/>
    <cellStyle name="Saída 8 3 3 3" xfId="2855"/>
    <cellStyle name="Saída 8 3 3 3 2" xfId="5978"/>
    <cellStyle name="Saída 8 3 3 3 2 2" xfId="14835"/>
    <cellStyle name="Saída 8 3 3 3 2 2 2" xfId="27619"/>
    <cellStyle name="Saída 8 3 3 3 2 2 2 2" xfId="56798"/>
    <cellStyle name="Saída 8 3 3 3 2 2 3" xfId="44016"/>
    <cellStyle name="Saída 8 3 3 3 2 3" xfId="23191"/>
    <cellStyle name="Saída 8 3 3 3 2 3 2" xfId="52370"/>
    <cellStyle name="Saída 8 3 3 3 2 4" xfId="35161"/>
    <cellStyle name="Saída 8 3 3 3 3" xfId="9048"/>
    <cellStyle name="Saída 8 3 3 3 3 2" xfId="17086"/>
    <cellStyle name="Saída 8 3 3 3 3 2 2" xfId="28973"/>
    <cellStyle name="Saída 8 3 3 3 3 2 2 2" xfId="58152"/>
    <cellStyle name="Saída 8 3 3 3 3 2 3" xfId="46267"/>
    <cellStyle name="Saída 8 3 3 3 3 3" xfId="24545"/>
    <cellStyle name="Saída 8 3 3 3 3 3 2" xfId="53724"/>
    <cellStyle name="Saída 8 3 3 3 3 4" xfId="38231"/>
    <cellStyle name="Saída 8 3 3 3 4" xfId="12488"/>
    <cellStyle name="Saída 8 3 3 3 4 2" xfId="26179"/>
    <cellStyle name="Saída 8 3 3 3 4 2 2" xfId="55358"/>
    <cellStyle name="Saída 8 3 3 3 4 3" xfId="41669"/>
    <cellStyle name="Saída 8 3 3 3 5" xfId="21751"/>
    <cellStyle name="Saída 8 3 3 3 5 2" xfId="50930"/>
    <cellStyle name="Saída 8 3 3 3 6" xfId="32038"/>
    <cellStyle name="Saída 8 3 3 4" xfId="4538"/>
    <cellStyle name="Saída 8 3 3 4 2" xfId="13714"/>
    <cellStyle name="Saída 8 3 3 4 2 2" xfId="26899"/>
    <cellStyle name="Saída 8 3 3 4 2 2 2" xfId="56078"/>
    <cellStyle name="Saída 8 3 3 4 2 3" xfId="42895"/>
    <cellStyle name="Saída 8 3 3 4 3" xfId="22471"/>
    <cellStyle name="Saída 8 3 3 4 3 2" xfId="51650"/>
    <cellStyle name="Saída 8 3 3 4 4" xfId="33721"/>
    <cellStyle name="Saída 8 3 3 5" xfId="9719"/>
    <cellStyle name="Saída 8 3 3 5 2" xfId="17559"/>
    <cellStyle name="Saída 8 3 3 5 2 2" xfId="29236"/>
    <cellStyle name="Saída 8 3 3 5 2 2 2" xfId="58415"/>
    <cellStyle name="Saída 8 3 3 5 2 3" xfId="46740"/>
    <cellStyle name="Saída 8 3 3 5 3" xfId="24808"/>
    <cellStyle name="Saída 8 3 3 5 3 2" xfId="53987"/>
    <cellStyle name="Saída 8 3 3 5 4" xfId="38902"/>
    <cellStyle name="Saída 8 3 3 6" xfId="11212"/>
    <cellStyle name="Saída 8 3 3 6 2" xfId="25456"/>
    <cellStyle name="Saída 8 3 3 6 2 2" xfId="54635"/>
    <cellStyle name="Saída 8 3 3 6 3" xfId="40393"/>
    <cellStyle name="Saída 8 3 3 7" xfId="21028"/>
    <cellStyle name="Saída 8 3 3 7 2" xfId="50207"/>
    <cellStyle name="Saída 8 3 3 8" xfId="30235"/>
    <cellStyle name="Saída 8 3 4" xfId="1195"/>
    <cellStyle name="Saída 8 3 4 2" xfId="2099"/>
    <cellStyle name="Saída 8 3 4 2 2" xfId="3899"/>
    <cellStyle name="Saída 8 3 4 2 2 2" xfId="6815"/>
    <cellStyle name="Saída 8 3 4 2 2 2 2" xfId="15485"/>
    <cellStyle name="Saída 8 3 4 2 2 2 2 2" xfId="28042"/>
    <cellStyle name="Saída 8 3 4 2 2 2 2 2 2" xfId="57221"/>
    <cellStyle name="Saída 8 3 4 2 2 2 2 3" xfId="44666"/>
    <cellStyle name="Saída 8 3 4 2 2 2 3" xfId="23614"/>
    <cellStyle name="Saída 8 3 4 2 2 2 3 2" xfId="52793"/>
    <cellStyle name="Saída 8 3 4 2 2 2 4" xfId="35998"/>
    <cellStyle name="Saída 8 3 4 2 2 3" xfId="10180"/>
    <cellStyle name="Saída 8 3 4 2 2 3 2" xfId="17886"/>
    <cellStyle name="Saída 8 3 4 2 2 3 2 2" xfId="29421"/>
    <cellStyle name="Saída 8 3 4 2 2 3 2 2 2" xfId="58600"/>
    <cellStyle name="Saída 8 3 4 2 2 3 2 3" xfId="47067"/>
    <cellStyle name="Saída 8 3 4 2 2 3 3" xfId="24993"/>
    <cellStyle name="Saída 8 3 4 2 2 3 3 2" xfId="54172"/>
    <cellStyle name="Saída 8 3 4 2 2 3 4" xfId="39363"/>
    <cellStyle name="Saída 8 3 4 2 2 4" xfId="13227"/>
    <cellStyle name="Saída 8 3 4 2 2 4 2" xfId="26602"/>
    <cellStyle name="Saída 8 3 4 2 2 4 2 2" xfId="55781"/>
    <cellStyle name="Saída 8 3 4 2 2 4 3" xfId="42408"/>
    <cellStyle name="Saída 8 3 4 2 2 5" xfId="22174"/>
    <cellStyle name="Saída 8 3 4 2 2 5 2" xfId="51353"/>
    <cellStyle name="Saída 8 3 4 2 2 6" xfId="33082"/>
    <cellStyle name="Saída 8 3 4 2 3" xfId="5375"/>
    <cellStyle name="Saída 8 3 4 2 3 2" xfId="14363"/>
    <cellStyle name="Saída 8 3 4 2 3 2 2" xfId="27322"/>
    <cellStyle name="Saída 8 3 4 2 3 2 2 2" xfId="56501"/>
    <cellStyle name="Saída 8 3 4 2 3 2 3" xfId="43544"/>
    <cellStyle name="Saída 8 3 4 2 3 3" xfId="22894"/>
    <cellStyle name="Saída 8 3 4 2 3 3 2" xfId="52073"/>
    <cellStyle name="Saída 8 3 4 2 3 4" xfId="34558"/>
    <cellStyle name="Saída 8 3 4 2 4" xfId="8939"/>
    <cellStyle name="Saída 8 3 4 2 4 2" xfId="17005"/>
    <cellStyle name="Saída 8 3 4 2 4 2 2" xfId="28925"/>
    <cellStyle name="Saída 8 3 4 2 4 2 2 2" xfId="58104"/>
    <cellStyle name="Saída 8 3 4 2 4 2 3" xfId="46186"/>
    <cellStyle name="Saída 8 3 4 2 4 3" xfId="24497"/>
    <cellStyle name="Saída 8 3 4 2 4 3 2" xfId="53676"/>
    <cellStyle name="Saída 8 3 4 2 4 4" xfId="38122"/>
    <cellStyle name="Saída 8 3 4 2 5" xfId="11953"/>
    <cellStyle name="Saída 8 3 4 2 5 2" xfId="25882"/>
    <cellStyle name="Saída 8 3 4 2 5 2 2" xfId="55061"/>
    <cellStyle name="Saída 8 3 4 2 5 3" xfId="41134"/>
    <cellStyle name="Saída 8 3 4 2 6" xfId="21454"/>
    <cellStyle name="Saída 8 3 4 2 6 2" xfId="50633"/>
    <cellStyle name="Saída 8 3 4 2 7" xfId="31282"/>
    <cellStyle name="Saída 8 3 4 3" xfId="2999"/>
    <cellStyle name="Saída 8 3 4 3 2" xfId="6095"/>
    <cellStyle name="Saída 8 3 4 3 2 2" xfId="14924"/>
    <cellStyle name="Saída 8 3 4 3 2 2 2" xfId="27682"/>
    <cellStyle name="Saída 8 3 4 3 2 2 2 2" xfId="56861"/>
    <cellStyle name="Saída 8 3 4 3 2 2 3" xfId="44105"/>
    <cellStyle name="Saída 8 3 4 3 2 3" xfId="23254"/>
    <cellStyle name="Saída 8 3 4 3 2 3 2" xfId="52433"/>
    <cellStyle name="Saída 8 3 4 3 2 4" xfId="35278"/>
    <cellStyle name="Saída 8 3 4 3 3" xfId="10466"/>
    <cellStyle name="Saída 8 3 4 3 3 2" xfId="18083"/>
    <cellStyle name="Saída 8 3 4 3 3 2 2" xfId="29529"/>
    <cellStyle name="Saída 8 3 4 3 3 2 2 2" xfId="58708"/>
    <cellStyle name="Saída 8 3 4 3 3 2 3" xfId="47264"/>
    <cellStyle name="Saída 8 3 4 3 3 3" xfId="25101"/>
    <cellStyle name="Saída 8 3 4 3 3 3 2" xfId="54280"/>
    <cellStyle name="Saída 8 3 4 3 3 4" xfId="39649"/>
    <cellStyle name="Saída 8 3 4 3 4" xfId="12588"/>
    <cellStyle name="Saída 8 3 4 3 4 2" xfId="26242"/>
    <cellStyle name="Saída 8 3 4 3 4 2 2" xfId="55421"/>
    <cellStyle name="Saída 8 3 4 3 4 3" xfId="41769"/>
    <cellStyle name="Saída 8 3 4 3 5" xfId="21814"/>
    <cellStyle name="Saída 8 3 4 3 5 2" xfId="50993"/>
    <cellStyle name="Saída 8 3 4 3 6" xfId="32182"/>
    <cellStyle name="Saída 8 3 4 4" xfId="4655"/>
    <cellStyle name="Saída 8 3 4 4 2" xfId="13804"/>
    <cellStyle name="Saída 8 3 4 4 2 2" xfId="26962"/>
    <cellStyle name="Saída 8 3 4 4 2 2 2" xfId="56141"/>
    <cellStyle name="Saída 8 3 4 4 2 3" xfId="42985"/>
    <cellStyle name="Saída 8 3 4 4 3" xfId="22534"/>
    <cellStyle name="Saída 8 3 4 4 3 2" xfId="51713"/>
    <cellStyle name="Saída 8 3 4 4 4" xfId="33838"/>
    <cellStyle name="Saída 8 3 4 5" xfId="9918"/>
    <cellStyle name="Saída 8 3 4 5 2" xfId="17704"/>
    <cellStyle name="Saída 8 3 4 5 2 2" xfId="29316"/>
    <cellStyle name="Saída 8 3 4 5 2 2 2" xfId="58495"/>
    <cellStyle name="Saída 8 3 4 5 2 3" xfId="46885"/>
    <cellStyle name="Saída 8 3 4 5 3" xfId="24888"/>
    <cellStyle name="Saída 8 3 4 5 3 2" xfId="54067"/>
    <cellStyle name="Saída 8 3 4 5 4" xfId="39101"/>
    <cellStyle name="Saída 8 3 4 6" xfId="11322"/>
    <cellStyle name="Saída 8 3 4 6 2" xfId="25522"/>
    <cellStyle name="Saída 8 3 4 6 2 2" xfId="54701"/>
    <cellStyle name="Saída 8 3 4 6 3" xfId="40503"/>
    <cellStyle name="Saída 8 3 4 7" xfId="21094"/>
    <cellStyle name="Saída 8 3 4 7 2" xfId="50273"/>
    <cellStyle name="Saída 8 3 4 8" xfId="30382"/>
    <cellStyle name="Saída 8 3 5" xfId="1341"/>
    <cellStyle name="Saída 8 3 5 2" xfId="2243"/>
    <cellStyle name="Saída 8 3 5 2 2" xfId="4043"/>
    <cellStyle name="Saída 8 3 5 2 2 2" xfId="6932"/>
    <cellStyle name="Saída 8 3 5 2 2 2 2" xfId="15575"/>
    <cellStyle name="Saída 8 3 5 2 2 2 2 2" xfId="28105"/>
    <cellStyle name="Saída 8 3 5 2 2 2 2 2 2" xfId="57284"/>
    <cellStyle name="Saída 8 3 5 2 2 2 2 3" xfId="44756"/>
    <cellStyle name="Saída 8 3 5 2 2 2 3" xfId="23677"/>
    <cellStyle name="Saída 8 3 5 2 2 2 3 2" xfId="52856"/>
    <cellStyle name="Saída 8 3 5 2 2 2 4" xfId="36115"/>
    <cellStyle name="Saída 8 3 5 2 2 3" xfId="7037"/>
    <cellStyle name="Saída 8 3 5 2 2 3 2" xfId="15654"/>
    <cellStyle name="Saída 8 3 5 2 2 3 2 2" xfId="28163"/>
    <cellStyle name="Saída 8 3 5 2 2 3 2 2 2" xfId="57342"/>
    <cellStyle name="Saída 8 3 5 2 2 3 2 3" xfId="44835"/>
    <cellStyle name="Saída 8 3 5 2 2 3 3" xfId="23735"/>
    <cellStyle name="Saída 8 3 5 2 2 3 3 2" xfId="52914"/>
    <cellStyle name="Saída 8 3 5 2 2 3 4" xfId="36220"/>
    <cellStyle name="Saída 8 3 5 2 2 4" xfId="13329"/>
    <cellStyle name="Saída 8 3 5 2 2 4 2" xfId="26665"/>
    <cellStyle name="Saída 8 3 5 2 2 4 2 2" xfId="55844"/>
    <cellStyle name="Saída 8 3 5 2 2 4 3" xfId="42510"/>
    <cellStyle name="Saída 8 3 5 2 2 5" xfId="22237"/>
    <cellStyle name="Saída 8 3 5 2 2 5 2" xfId="51416"/>
    <cellStyle name="Saída 8 3 5 2 2 6" xfId="33226"/>
    <cellStyle name="Saída 8 3 5 2 3" xfId="5492"/>
    <cellStyle name="Saída 8 3 5 2 3 2" xfId="14455"/>
    <cellStyle name="Saída 8 3 5 2 3 2 2" xfId="27385"/>
    <cellStyle name="Saída 8 3 5 2 3 2 2 2" xfId="56564"/>
    <cellStyle name="Saída 8 3 5 2 3 2 3" xfId="43636"/>
    <cellStyle name="Saída 8 3 5 2 3 3" xfId="22957"/>
    <cellStyle name="Saída 8 3 5 2 3 3 2" xfId="52136"/>
    <cellStyle name="Saída 8 3 5 2 3 4" xfId="34675"/>
    <cellStyle name="Saída 8 3 5 2 4" xfId="7836"/>
    <cellStyle name="Saída 8 3 5 2 4 2" xfId="16207"/>
    <cellStyle name="Saída 8 3 5 2 4 2 2" xfId="28488"/>
    <cellStyle name="Saída 8 3 5 2 4 2 2 2" xfId="57667"/>
    <cellStyle name="Saída 8 3 5 2 4 2 3" xfId="45388"/>
    <cellStyle name="Saída 8 3 5 2 4 3" xfId="24060"/>
    <cellStyle name="Saída 8 3 5 2 4 3 2" xfId="53239"/>
    <cellStyle name="Saída 8 3 5 2 4 4" xfId="37019"/>
    <cellStyle name="Saída 8 3 5 2 5" xfId="12052"/>
    <cellStyle name="Saída 8 3 5 2 5 2" xfId="25945"/>
    <cellStyle name="Saída 8 3 5 2 5 2 2" xfId="55124"/>
    <cellStyle name="Saída 8 3 5 2 5 3" xfId="41233"/>
    <cellStyle name="Saída 8 3 5 2 6" xfId="21517"/>
    <cellStyle name="Saída 8 3 5 2 6 2" xfId="50696"/>
    <cellStyle name="Saída 8 3 5 2 7" xfId="31426"/>
    <cellStyle name="Saída 8 3 5 3" xfId="3143"/>
    <cellStyle name="Saída 8 3 5 3 2" xfId="6212"/>
    <cellStyle name="Saída 8 3 5 3 2 2" xfId="15015"/>
    <cellStyle name="Saída 8 3 5 3 2 2 2" xfId="27745"/>
    <cellStyle name="Saída 8 3 5 3 2 2 2 2" xfId="56924"/>
    <cellStyle name="Saída 8 3 5 3 2 2 3" xfId="44196"/>
    <cellStyle name="Saída 8 3 5 3 2 3" xfId="23317"/>
    <cellStyle name="Saída 8 3 5 3 2 3 2" xfId="52496"/>
    <cellStyle name="Saída 8 3 5 3 2 4" xfId="35395"/>
    <cellStyle name="Saída 8 3 5 3 3" xfId="7226"/>
    <cellStyle name="Saída 8 3 5 3 3 2" xfId="15788"/>
    <cellStyle name="Saída 8 3 5 3 3 2 2" xfId="28247"/>
    <cellStyle name="Saída 8 3 5 3 3 2 2 2" xfId="57426"/>
    <cellStyle name="Saída 8 3 5 3 3 2 3" xfId="44969"/>
    <cellStyle name="Saída 8 3 5 3 3 3" xfId="23819"/>
    <cellStyle name="Saída 8 3 5 3 3 3 2" xfId="52998"/>
    <cellStyle name="Saída 8 3 5 3 3 4" xfId="36409"/>
    <cellStyle name="Saída 8 3 5 3 4" xfId="12690"/>
    <cellStyle name="Saída 8 3 5 3 4 2" xfId="26305"/>
    <cellStyle name="Saída 8 3 5 3 4 2 2" xfId="55484"/>
    <cellStyle name="Saída 8 3 5 3 4 3" xfId="41871"/>
    <cellStyle name="Saída 8 3 5 3 5" xfId="21877"/>
    <cellStyle name="Saída 8 3 5 3 5 2" xfId="51056"/>
    <cellStyle name="Saída 8 3 5 3 6" xfId="32326"/>
    <cellStyle name="Saída 8 3 5 4" xfId="4772"/>
    <cellStyle name="Saída 8 3 5 4 2" xfId="13892"/>
    <cellStyle name="Saída 8 3 5 4 2 2" xfId="27025"/>
    <cellStyle name="Saída 8 3 5 4 2 2 2" xfId="56204"/>
    <cellStyle name="Saída 8 3 5 4 2 3" xfId="43073"/>
    <cellStyle name="Saída 8 3 5 4 3" xfId="22597"/>
    <cellStyle name="Saída 8 3 5 4 3 2" xfId="51776"/>
    <cellStyle name="Saída 8 3 5 4 4" xfId="33955"/>
    <cellStyle name="Saída 8 3 5 5" xfId="7398"/>
    <cellStyle name="Saída 8 3 5 5 2" xfId="15910"/>
    <cellStyle name="Saída 8 3 5 5 2 2" xfId="28324"/>
    <cellStyle name="Saída 8 3 5 5 2 2 2" xfId="57503"/>
    <cellStyle name="Saída 8 3 5 5 2 3" xfId="45091"/>
    <cellStyle name="Saída 8 3 5 5 3" xfId="23896"/>
    <cellStyle name="Saída 8 3 5 5 3 2" xfId="53075"/>
    <cellStyle name="Saída 8 3 5 5 4" xfId="36581"/>
    <cellStyle name="Saída 8 3 5 6" xfId="11421"/>
    <cellStyle name="Saída 8 3 5 6 2" xfId="25585"/>
    <cellStyle name="Saída 8 3 5 6 2 2" xfId="54764"/>
    <cellStyle name="Saída 8 3 5 6 3" xfId="40602"/>
    <cellStyle name="Saída 8 3 5 7" xfId="21157"/>
    <cellStyle name="Saída 8 3 5 7 2" xfId="50336"/>
    <cellStyle name="Saída 8 3 5 8" xfId="30526"/>
    <cellStyle name="Saída 8 3 6" xfId="1523"/>
    <cellStyle name="Saída 8 3 6 2" xfId="3323"/>
    <cellStyle name="Saída 8 3 6 2 2" xfId="6356"/>
    <cellStyle name="Saída 8 3 6 2 2 2" xfId="15118"/>
    <cellStyle name="Saída 8 3 6 2 2 2 2" xfId="27817"/>
    <cellStyle name="Saída 8 3 6 2 2 2 2 2" xfId="56996"/>
    <cellStyle name="Saída 8 3 6 2 2 2 3" xfId="44299"/>
    <cellStyle name="Saída 8 3 6 2 2 3" xfId="23389"/>
    <cellStyle name="Saída 8 3 6 2 2 3 2" xfId="52568"/>
    <cellStyle name="Saída 8 3 6 2 2 4" xfId="35539"/>
    <cellStyle name="Saída 8 3 6 2 3" xfId="10086"/>
    <cellStyle name="Saída 8 3 6 2 3 2" xfId="17817"/>
    <cellStyle name="Saída 8 3 6 2 3 2 2" xfId="29380"/>
    <cellStyle name="Saída 8 3 6 2 3 2 2 2" xfId="58559"/>
    <cellStyle name="Saída 8 3 6 2 3 2 3" xfId="46998"/>
    <cellStyle name="Saída 8 3 6 2 3 3" xfId="24952"/>
    <cellStyle name="Saída 8 3 6 2 3 3 2" xfId="54131"/>
    <cellStyle name="Saída 8 3 6 2 3 4" xfId="39269"/>
    <cellStyle name="Saída 8 3 6 2 4" xfId="12814"/>
    <cellStyle name="Saída 8 3 6 2 4 2" xfId="26377"/>
    <cellStyle name="Saída 8 3 6 2 4 2 2" xfId="55556"/>
    <cellStyle name="Saída 8 3 6 2 4 3" xfId="41995"/>
    <cellStyle name="Saída 8 3 6 2 5" xfId="21949"/>
    <cellStyle name="Saída 8 3 6 2 5 2" xfId="51128"/>
    <cellStyle name="Saída 8 3 6 2 6" xfId="32506"/>
    <cellStyle name="Saída 8 3 6 3" xfId="4916"/>
    <cellStyle name="Saída 8 3 6 3 2" xfId="13997"/>
    <cellStyle name="Saída 8 3 6 3 2 2" xfId="27097"/>
    <cellStyle name="Saída 8 3 6 3 2 2 2" xfId="56276"/>
    <cellStyle name="Saída 8 3 6 3 2 3" xfId="43178"/>
    <cellStyle name="Saída 8 3 6 3 3" xfId="22669"/>
    <cellStyle name="Saída 8 3 6 3 3 2" xfId="51848"/>
    <cellStyle name="Saída 8 3 6 3 4" xfId="34099"/>
    <cellStyle name="Saída 8 3 6 4" xfId="10029"/>
    <cellStyle name="Saída 8 3 6 4 2" xfId="17782"/>
    <cellStyle name="Saída 8 3 6 4 2 2" xfId="29358"/>
    <cellStyle name="Saída 8 3 6 4 2 2 2" xfId="58537"/>
    <cellStyle name="Saída 8 3 6 4 2 3" xfId="46963"/>
    <cellStyle name="Saída 8 3 6 4 3" xfId="24930"/>
    <cellStyle name="Saída 8 3 6 4 3 2" xfId="54109"/>
    <cellStyle name="Saída 8 3 6 4 4" xfId="39212"/>
    <cellStyle name="Saída 8 3 6 5" xfId="11542"/>
    <cellStyle name="Saída 8 3 6 5 2" xfId="25657"/>
    <cellStyle name="Saída 8 3 6 5 2 2" xfId="54836"/>
    <cellStyle name="Saída 8 3 6 5 3" xfId="40723"/>
    <cellStyle name="Saída 8 3 6 6" xfId="21229"/>
    <cellStyle name="Saída 8 3 6 6 2" xfId="50408"/>
    <cellStyle name="Saída 8 3 6 7" xfId="30706"/>
    <cellStyle name="Saída 8 3 7" xfId="2423"/>
    <cellStyle name="Saída 8 3 7 2" xfId="5636"/>
    <cellStyle name="Saída 8 3 7 2 2" xfId="14564"/>
    <cellStyle name="Saída 8 3 7 2 2 2" xfId="27457"/>
    <cellStyle name="Saída 8 3 7 2 2 2 2" xfId="56636"/>
    <cellStyle name="Saída 8 3 7 2 2 3" xfId="43745"/>
    <cellStyle name="Saída 8 3 7 2 3" xfId="23029"/>
    <cellStyle name="Saída 8 3 7 2 3 2" xfId="52208"/>
    <cellStyle name="Saída 8 3 7 2 4" xfId="34819"/>
    <cellStyle name="Saída 8 3 7 3" xfId="9236"/>
    <cellStyle name="Saída 8 3 7 3 2" xfId="17217"/>
    <cellStyle name="Saída 8 3 7 3 2 2" xfId="29043"/>
    <cellStyle name="Saída 8 3 7 3 2 2 2" xfId="58222"/>
    <cellStyle name="Saída 8 3 7 3 2 3" xfId="46398"/>
    <cellStyle name="Saída 8 3 7 3 3" xfId="24615"/>
    <cellStyle name="Saída 8 3 7 3 3 2" xfId="53794"/>
    <cellStyle name="Saída 8 3 7 3 4" xfId="38419"/>
    <cellStyle name="Saída 8 3 7 4" xfId="12176"/>
    <cellStyle name="Saída 8 3 7 4 2" xfId="26017"/>
    <cellStyle name="Saída 8 3 7 4 2 2" xfId="55196"/>
    <cellStyle name="Saída 8 3 7 4 3" xfId="41357"/>
    <cellStyle name="Saída 8 3 7 5" xfId="21589"/>
    <cellStyle name="Saída 8 3 7 5 2" xfId="50768"/>
    <cellStyle name="Saída 8 3 7 6" xfId="31606"/>
    <cellStyle name="Saída 8 3 8" xfId="4196"/>
    <cellStyle name="Saída 8 3 8 2" xfId="13445"/>
    <cellStyle name="Saída 8 3 8 2 2" xfId="26737"/>
    <cellStyle name="Saída 8 3 8 2 2 2" xfId="55916"/>
    <cellStyle name="Saída 8 3 8 2 3" xfId="42626"/>
    <cellStyle name="Saída 8 3 8 3" xfId="22309"/>
    <cellStyle name="Saída 8 3 8 3 2" xfId="51488"/>
    <cellStyle name="Saída 8 3 8 4" xfId="33379"/>
    <cellStyle name="Saída 8 3 9" xfId="9877"/>
    <cellStyle name="Saída 8 3 9 2" xfId="17676"/>
    <cellStyle name="Saída 8 3 9 2 2" xfId="29301"/>
    <cellStyle name="Saída 8 3 9 2 2 2" xfId="58480"/>
    <cellStyle name="Saída 8 3 9 2 3" xfId="46857"/>
    <cellStyle name="Saída 8 3 9 3" xfId="24873"/>
    <cellStyle name="Saída 8 3 9 3 2" xfId="54052"/>
    <cellStyle name="Saída 8 3 9 4" xfId="39060"/>
    <cellStyle name="Saída 8 4" xfId="721"/>
    <cellStyle name="Saída 8 4 2" xfId="1683"/>
    <cellStyle name="Saída 8 4 2 2" xfId="3483"/>
    <cellStyle name="Saída 8 4 2 2 2" xfId="6489"/>
    <cellStyle name="Saída 8 4 2 2 2 2" xfId="15223"/>
    <cellStyle name="Saída 8 4 2 2 2 2 2" xfId="27860"/>
    <cellStyle name="Saída 8 4 2 2 2 2 2 2" xfId="57039"/>
    <cellStyle name="Saída 8 4 2 2 2 2 3" xfId="44404"/>
    <cellStyle name="Saída 8 4 2 2 2 3" xfId="23432"/>
    <cellStyle name="Saída 8 4 2 2 2 3 2" xfId="52611"/>
    <cellStyle name="Saída 8 4 2 2 2 4" xfId="35672"/>
    <cellStyle name="Saída 8 4 2 2 3" xfId="10084"/>
    <cellStyle name="Saída 8 4 2 2 3 2" xfId="17815"/>
    <cellStyle name="Saída 8 4 2 2 3 2 2" xfId="29379"/>
    <cellStyle name="Saída 8 4 2 2 3 2 2 2" xfId="58558"/>
    <cellStyle name="Saída 8 4 2 2 3 2 3" xfId="46996"/>
    <cellStyle name="Saída 8 4 2 2 3 3" xfId="24951"/>
    <cellStyle name="Saída 8 4 2 2 3 3 2" xfId="54130"/>
    <cellStyle name="Saída 8 4 2 2 3 4" xfId="39267"/>
    <cellStyle name="Saída 8 4 2 2 4" xfId="12927"/>
    <cellStyle name="Saída 8 4 2 2 4 2" xfId="26420"/>
    <cellStyle name="Saída 8 4 2 2 4 2 2" xfId="55599"/>
    <cellStyle name="Saída 8 4 2 2 4 3" xfId="42108"/>
    <cellStyle name="Saída 8 4 2 2 5" xfId="21992"/>
    <cellStyle name="Saída 8 4 2 2 5 2" xfId="51171"/>
    <cellStyle name="Saída 8 4 2 2 6" xfId="32666"/>
    <cellStyle name="Saída 8 4 2 3" xfId="5049"/>
    <cellStyle name="Saída 8 4 2 3 2" xfId="14099"/>
    <cellStyle name="Saída 8 4 2 3 2 2" xfId="27140"/>
    <cellStyle name="Saída 8 4 2 3 2 2 2" xfId="56319"/>
    <cellStyle name="Saída 8 4 2 3 2 3" xfId="43280"/>
    <cellStyle name="Saída 8 4 2 3 3" xfId="22712"/>
    <cellStyle name="Saída 8 4 2 3 3 2" xfId="51891"/>
    <cellStyle name="Saída 8 4 2 3 4" xfId="34232"/>
    <cellStyle name="Saída 8 4 2 4" xfId="10027"/>
    <cellStyle name="Saída 8 4 2 4 2" xfId="17780"/>
    <cellStyle name="Saída 8 4 2 4 2 2" xfId="29357"/>
    <cellStyle name="Saída 8 4 2 4 2 2 2" xfId="58536"/>
    <cellStyle name="Saída 8 4 2 4 2 3" xfId="46961"/>
    <cellStyle name="Saída 8 4 2 4 3" xfId="24929"/>
    <cellStyle name="Saída 8 4 2 4 3 2" xfId="54108"/>
    <cellStyle name="Saída 8 4 2 4 4" xfId="39210"/>
    <cellStyle name="Saída 8 4 2 5" xfId="11654"/>
    <cellStyle name="Saída 8 4 2 5 2" xfId="25700"/>
    <cellStyle name="Saída 8 4 2 5 2 2" xfId="54879"/>
    <cellStyle name="Saída 8 4 2 5 3" xfId="40835"/>
    <cellStyle name="Saída 8 4 2 6" xfId="21272"/>
    <cellStyle name="Saída 8 4 2 6 2" xfId="50451"/>
    <cellStyle name="Saída 8 4 2 7" xfId="30866"/>
    <cellStyle name="Saída 8 4 3" xfId="2583"/>
    <cellStyle name="Saída 8 4 3 2" xfId="5769"/>
    <cellStyle name="Saída 8 4 3 2 2" xfId="14664"/>
    <cellStyle name="Saída 8 4 3 2 2 2" xfId="27500"/>
    <cellStyle name="Saída 8 4 3 2 2 2 2" xfId="56679"/>
    <cellStyle name="Saída 8 4 3 2 2 3" xfId="43845"/>
    <cellStyle name="Saída 8 4 3 2 3" xfId="23072"/>
    <cellStyle name="Saída 8 4 3 2 3 2" xfId="52251"/>
    <cellStyle name="Saída 8 4 3 2 4" xfId="34952"/>
    <cellStyle name="Saída 8 4 3 3" xfId="9234"/>
    <cellStyle name="Saída 8 4 3 3 2" xfId="17216"/>
    <cellStyle name="Saída 8 4 3 3 2 2" xfId="29042"/>
    <cellStyle name="Saída 8 4 3 3 2 2 2" xfId="58221"/>
    <cellStyle name="Saída 8 4 3 3 2 3" xfId="46397"/>
    <cellStyle name="Saída 8 4 3 3 3" xfId="24614"/>
    <cellStyle name="Saída 8 4 3 3 3 2" xfId="53793"/>
    <cellStyle name="Saída 8 4 3 3 4" xfId="38417"/>
    <cellStyle name="Saída 8 4 3 4" xfId="12289"/>
    <cellStyle name="Saída 8 4 3 4 2" xfId="26060"/>
    <cellStyle name="Saída 8 4 3 4 2 2" xfId="55239"/>
    <cellStyle name="Saída 8 4 3 4 3" xfId="41470"/>
    <cellStyle name="Saída 8 4 3 5" xfId="21632"/>
    <cellStyle name="Saída 8 4 3 5 2" xfId="50811"/>
    <cellStyle name="Saída 8 4 3 6" xfId="31766"/>
    <cellStyle name="Saída 8 4 4" xfId="4329"/>
    <cellStyle name="Saída 8 4 4 2" xfId="13543"/>
    <cellStyle name="Saída 8 4 4 2 2" xfId="26780"/>
    <cellStyle name="Saída 8 4 4 2 2 2" xfId="55959"/>
    <cellStyle name="Saída 8 4 4 2 3" xfId="42724"/>
    <cellStyle name="Saída 8 4 4 3" xfId="22352"/>
    <cellStyle name="Saída 8 4 4 3 2" xfId="51531"/>
    <cellStyle name="Saída 8 4 4 4" xfId="33512"/>
    <cellStyle name="Saída 8 4 5" xfId="7364"/>
    <cellStyle name="Saída 8 4 5 2" xfId="15885"/>
    <cellStyle name="Saída 8 4 5 2 2" xfId="28309"/>
    <cellStyle name="Saída 8 4 5 2 2 2" xfId="57488"/>
    <cellStyle name="Saída 8 4 5 2 3" xfId="45066"/>
    <cellStyle name="Saída 8 4 5 3" xfId="23881"/>
    <cellStyle name="Saída 8 4 5 3 2" xfId="53060"/>
    <cellStyle name="Saída 8 4 5 4" xfId="36547"/>
    <cellStyle name="Saída 8 4 6" xfId="10971"/>
    <cellStyle name="Saída 8 4 6 2" xfId="25295"/>
    <cellStyle name="Saída 8 4 6 2 2" xfId="54474"/>
    <cellStyle name="Saída 8 4 6 3" xfId="40152"/>
    <cellStyle name="Saída 8 4 7" xfId="20867"/>
    <cellStyle name="Saída 8 4 7 2" xfId="50046"/>
    <cellStyle name="Saída 8 4 8" xfId="29921"/>
    <cellStyle name="Saída 8 5" xfId="913"/>
    <cellStyle name="Saída 8 5 2" xfId="1847"/>
    <cellStyle name="Saída 8 5 2 2" xfId="3647"/>
    <cellStyle name="Saída 8 5 2 2 2" xfId="6617"/>
    <cellStyle name="Saída 8 5 2 2 2 2" xfId="15329"/>
    <cellStyle name="Saída 8 5 2 2 2 2 2" xfId="27934"/>
    <cellStyle name="Saída 8 5 2 2 2 2 2 2" xfId="57113"/>
    <cellStyle name="Saída 8 5 2 2 2 2 3" xfId="44510"/>
    <cellStyle name="Saída 8 5 2 2 2 3" xfId="23506"/>
    <cellStyle name="Saída 8 5 2 2 2 3 2" xfId="52685"/>
    <cellStyle name="Saída 8 5 2 2 2 4" xfId="35800"/>
    <cellStyle name="Saída 8 5 2 2 3" xfId="9039"/>
    <cellStyle name="Saída 8 5 2 2 3 2" xfId="17080"/>
    <cellStyle name="Saída 8 5 2 2 3 2 2" xfId="28970"/>
    <cellStyle name="Saída 8 5 2 2 3 2 2 2" xfId="58149"/>
    <cellStyle name="Saída 8 5 2 2 3 2 3" xfId="46261"/>
    <cellStyle name="Saída 8 5 2 2 3 3" xfId="24542"/>
    <cellStyle name="Saída 8 5 2 2 3 3 2" xfId="53721"/>
    <cellStyle name="Saída 8 5 2 2 3 4" xfId="38222"/>
    <cellStyle name="Saída 8 5 2 2 4" xfId="13048"/>
    <cellStyle name="Saída 8 5 2 2 4 2" xfId="26494"/>
    <cellStyle name="Saída 8 5 2 2 4 2 2" xfId="55673"/>
    <cellStyle name="Saída 8 5 2 2 4 3" xfId="42229"/>
    <cellStyle name="Saída 8 5 2 2 5" xfId="22066"/>
    <cellStyle name="Saída 8 5 2 2 5 2" xfId="51245"/>
    <cellStyle name="Saída 8 5 2 2 6" xfId="32830"/>
    <cellStyle name="Saída 8 5 2 3" xfId="5177"/>
    <cellStyle name="Saída 8 5 2 3 2" xfId="14207"/>
    <cellStyle name="Saída 8 5 2 3 2 2" xfId="27214"/>
    <cellStyle name="Saída 8 5 2 3 2 2 2" xfId="56393"/>
    <cellStyle name="Saída 8 5 2 3 2 3" xfId="43388"/>
    <cellStyle name="Saída 8 5 2 3 3" xfId="22786"/>
    <cellStyle name="Saída 8 5 2 3 3 2" xfId="51965"/>
    <cellStyle name="Saída 8 5 2 3 4" xfId="34360"/>
    <cellStyle name="Saída 8 5 2 4" xfId="9926"/>
    <cellStyle name="Saída 8 5 2 4 2" xfId="17709"/>
    <cellStyle name="Saída 8 5 2 4 2 2" xfId="29319"/>
    <cellStyle name="Saída 8 5 2 4 2 2 2" xfId="58498"/>
    <cellStyle name="Saída 8 5 2 4 2 3" xfId="46890"/>
    <cellStyle name="Saída 8 5 2 4 3" xfId="24891"/>
    <cellStyle name="Saída 8 5 2 4 3 2" xfId="54070"/>
    <cellStyle name="Saída 8 5 2 4 4" xfId="39109"/>
    <cellStyle name="Saída 8 5 2 5" xfId="11772"/>
    <cellStyle name="Saída 8 5 2 5 2" xfId="25774"/>
    <cellStyle name="Saída 8 5 2 5 2 2" xfId="54953"/>
    <cellStyle name="Saída 8 5 2 5 3" xfId="40953"/>
    <cellStyle name="Saída 8 5 2 6" xfId="21346"/>
    <cellStyle name="Saída 8 5 2 6 2" xfId="50525"/>
    <cellStyle name="Saída 8 5 2 7" xfId="31030"/>
    <cellStyle name="Saída 8 5 3" xfId="2747"/>
    <cellStyle name="Saída 8 5 3 2" xfId="5897"/>
    <cellStyle name="Saída 8 5 3 2 2" xfId="14772"/>
    <cellStyle name="Saída 8 5 3 2 2 2" xfId="27574"/>
    <cellStyle name="Saída 8 5 3 2 2 2 2" xfId="56753"/>
    <cellStyle name="Saída 8 5 3 2 2 3" xfId="43953"/>
    <cellStyle name="Saída 8 5 3 2 3" xfId="23146"/>
    <cellStyle name="Saída 8 5 3 2 3 2" xfId="52325"/>
    <cellStyle name="Saída 8 5 3 2 4" xfId="35080"/>
    <cellStyle name="Saída 8 5 3 3" xfId="9178"/>
    <cellStyle name="Saída 8 5 3 3 2" xfId="17178"/>
    <cellStyle name="Saída 8 5 3 3 2 2" xfId="29024"/>
    <cellStyle name="Saída 8 5 3 3 2 2 2" xfId="58203"/>
    <cellStyle name="Saída 8 5 3 3 2 3" xfId="46359"/>
    <cellStyle name="Saída 8 5 3 3 3" xfId="24596"/>
    <cellStyle name="Saída 8 5 3 3 3 2" xfId="53775"/>
    <cellStyle name="Saída 8 5 3 3 4" xfId="38361"/>
    <cellStyle name="Saída 8 5 3 4" xfId="12413"/>
    <cellStyle name="Saída 8 5 3 4 2" xfId="26134"/>
    <cellStyle name="Saída 8 5 3 4 2 2" xfId="55313"/>
    <cellStyle name="Saída 8 5 3 4 3" xfId="41594"/>
    <cellStyle name="Saída 8 5 3 5" xfId="21706"/>
    <cellStyle name="Saída 8 5 3 5 2" xfId="50885"/>
    <cellStyle name="Saída 8 5 3 6" xfId="31930"/>
    <cellStyle name="Saída 8 5 4" xfId="4457"/>
    <cellStyle name="Saída 8 5 4 2" xfId="13650"/>
    <cellStyle name="Saída 8 5 4 2 2" xfId="26854"/>
    <cellStyle name="Saída 8 5 4 2 2 2" xfId="56033"/>
    <cellStyle name="Saída 8 5 4 2 3" xfId="42831"/>
    <cellStyle name="Saída 8 5 4 3" xfId="22426"/>
    <cellStyle name="Saída 8 5 4 3 2" xfId="51605"/>
    <cellStyle name="Saída 8 5 4 4" xfId="33640"/>
    <cellStyle name="Saída 8 5 5" xfId="9447"/>
    <cellStyle name="Saída 8 5 5 2" xfId="17366"/>
    <cellStyle name="Saída 8 5 5 2 2" xfId="29129"/>
    <cellStyle name="Saída 8 5 5 2 2 2" xfId="58308"/>
    <cellStyle name="Saída 8 5 5 2 3" xfId="46547"/>
    <cellStyle name="Saída 8 5 5 3" xfId="24701"/>
    <cellStyle name="Saída 8 5 5 3 2" xfId="53880"/>
    <cellStyle name="Saída 8 5 5 4" xfId="38630"/>
    <cellStyle name="Saída 8 5 6" xfId="11115"/>
    <cellStyle name="Saída 8 5 6 2" xfId="25390"/>
    <cellStyle name="Saída 8 5 6 2 2" xfId="54569"/>
    <cellStyle name="Saída 8 5 6 3" xfId="40296"/>
    <cellStyle name="Saída 8 5 7" xfId="20962"/>
    <cellStyle name="Saída 8 5 7 2" xfId="50141"/>
    <cellStyle name="Saída 8 5 8" xfId="30106"/>
    <cellStyle name="Saída 8 6" xfId="760"/>
    <cellStyle name="Saída 8 6 2" xfId="1701"/>
    <cellStyle name="Saída 8 6 2 2" xfId="3501"/>
    <cellStyle name="Saída 8 6 2 2 2" xfId="6498"/>
    <cellStyle name="Saída 8 6 2 2 2 2" xfId="15232"/>
    <cellStyle name="Saída 8 6 2 2 2 2 2" xfId="27869"/>
    <cellStyle name="Saída 8 6 2 2 2 2 2 2" xfId="57048"/>
    <cellStyle name="Saída 8 6 2 2 2 2 3" xfId="44413"/>
    <cellStyle name="Saída 8 6 2 2 2 3" xfId="23441"/>
    <cellStyle name="Saída 8 6 2 2 2 3 2" xfId="52620"/>
    <cellStyle name="Saída 8 6 2 2 2 4" xfId="35681"/>
    <cellStyle name="Saída 8 6 2 2 3" xfId="7868"/>
    <cellStyle name="Saída 8 6 2 2 3 2" xfId="16229"/>
    <cellStyle name="Saída 8 6 2 2 3 2 2" xfId="28505"/>
    <cellStyle name="Saída 8 6 2 2 3 2 2 2" xfId="57684"/>
    <cellStyle name="Saída 8 6 2 2 3 2 3" xfId="45410"/>
    <cellStyle name="Saída 8 6 2 2 3 3" xfId="24077"/>
    <cellStyle name="Saída 8 6 2 2 3 3 2" xfId="53256"/>
    <cellStyle name="Saída 8 6 2 2 3 4" xfId="37051"/>
    <cellStyle name="Saída 8 6 2 2 4" xfId="12938"/>
    <cellStyle name="Saída 8 6 2 2 4 2" xfId="26429"/>
    <cellStyle name="Saída 8 6 2 2 4 2 2" xfId="55608"/>
    <cellStyle name="Saída 8 6 2 2 4 3" xfId="42119"/>
    <cellStyle name="Saída 8 6 2 2 5" xfId="22001"/>
    <cellStyle name="Saída 8 6 2 2 5 2" xfId="51180"/>
    <cellStyle name="Saída 8 6 2 2 6" xfId="32684"/>
    <cellStyle name="Saída 8 6 2 3" xfId="5058"/>
    <cellStyle name="Saída 8 6 2 3 2" xfId="14108"/>
    <cellStyle name="Saída 8 6 2 3 2 2" xfId="27149"/>
    <cellStyle name="Saída 8 6 2 3 2 2 2" xfId="56328"/>
    <cellStyle name="Saída 8 6 2 3 2 3" xfId="43289"/>
    <cellStyle name="Saída 8 6 2 3 3" xfId="22721"/>
    <cellStyle name="Saída 8 6 2 3 3 2" xfId="51900"/>
    <cellStyle name="Saída 8 6 2 3 4" xfId="34241"/>
    <cellStyle name="Saída 8 6 2 4" xfId="9592"/>
    <cellStyle name="Saída 8 6 2 4 2" xfId="17465"/>
    <cellStyle name="Saída 8 6 2 4 2 2" xfId="29187"/>
    <cellStyle name="Saída 8 6 2 4 2 2 2" xfId="58366"/>
    <cellStyle name="Saída 8 6 2 4 2 3" xfId="46646"/>
    <cellStyle name="Saída 8 6 2 4 3" xfId="24759"/>
    <cellStyle name="Saída 8 6 2 4 3 2" xfId="53938"/>
    <cellStyle name="Saída 8 6 2 4 4" xfId="38775"/>
    <cellStyle name="Saída 8 6 2 5" xfId="11665"/>
    <cellStyle name="Saída 8 6 2 5 2" xfId="25709"/>
    <cellStyle name="Saída 8 6 2 5 2 2" xfId="54888"/>
    <cellStyle name="Saída 8 6 2 5 3" xfId="40846"/>
    <cellStyle name="Saída 8 6 2 6" xfId="21281"/>
    <cellStyle name="Saída 8 6 2 6 2" xfId="50460"/>
    <cellStyle name="Saída 8 6 2 7" xfId="30884"/>
    <cellStyle name="Saída 8 6 3" xfId="2601"/>
    <cellStyle name="Saída 8 6 3 2" xfId="5778"/>
    <cellStyle name="Saída 8 6 3 2 2" xfId="14673"/>
    <cellStyle name="Saída 8 6 3 2 2 2" xfId="27509"/>
    <cellStyle name="Saída 8 6 3 2 2 2 2" xfId="56688"/>
    <cellStyle name="Saída 8 6 3 2 2 3" xfId="43854"/>
    <cellStyle name="Saída 8 6 3 2 3" xfId="23081"/>
    <cellStyle name="Saída 8 6 3 2 3 2" xfId="52260"/>
    <cellStyle name="Saída 8 6 3 2 4" xfId="34961"/>
    <cellStyle name="Saída 8 6 3 3" xfId="8161"/>
    <cellStyle name="Saída 8 6 3 3 2" xfId="16437"/>
    <cellStyle name="Saída 8 6 3 3 2 2" xfId="28620"/>
    <cellStyle name="Saída 8 6 3 3 2 2 2" xfId="57799"/>
    <cellStyle name="Saída 8 6 3 3 2 3" xfId="45618"/>
    <cellStyle name="Saída 8 6 3 3 3" xfId="24192"/>
    <cellStyle name="Saída 8 6 3 3 3 2" xfId="53371"/>
    <cellStyle name="Saída 8 6 3 3 4" xfId="37344"/>
    <cellStyle name="Saída 8 6 3 4" xfId="12300"/>
    <cellStyle name="Saída 8 6 3 4 2" xfId="26069"/>
    <cellStyle name="Saída 8 6 3 4 2 2" xfId="55248"/>
    <cellStyle name="Saída 8 6 3 4 3" xfId="41481"/>
    <cellStyle name="Saída 8 6 3 5" xfId="21641"/>
    <cellStyle name="Saída 8 6 3 5 2" xfId="50820"/>
    <cellStyle name="Saída 8 6 3 6" xfId="31784"/>
    <cellStyle name="Saída 8 6 4" xfId="4338"/>
    <cellStyle name="Saída 8 6 4 2" xfId="13552"/>
    <cellStyle name="Saída 8 6 4 2 2" xfId="26789"/>
    <cellStyle name="Saída 8 6 4 2 2 2" xfId="55968"/>
    <cellStyle name="Saída 8 6 4 2 3" xfId="42733"/>
    <cellStyle name="Saída 8 6 4 3" xfId="22361"/>
    <cellStyle name="Saída 8 6 4 3 2" xfId="51540"/>
    <cellStyle name="Saída 8 6 4 4" xfId="33521"/>
    <cellStyle name="Saída 8 6 5" xfId="7346"/>
    <cellStyle name="Saída 8 6 5 2" xfId="15873"/>
    <cellStyle name="Saída 8 6 5 2 2" xfId="28300"/>
    <cellStyle name="Saída 8 6 5 2 2 2" xfId="57479"/>
    <cellStyle name="Saída 8 6 5 2 3" xfId="45054"/>
    <cellStyle name="Saída 8 6 5 3" xfId="23872"/>
    <cellStyle name="Saída 8 6 5 3 2" xfId="53051"/>
    <cellStyle name="Saída 8 6 5 4" xfId="36529"/>
    <cellStyle name="Saída 8 6 6" xfId="11002"/>
    <cellStyle name="Saída 8 6 6 2" xfId="25323"/>
    <cellStyle name="Saída 8 6 6 2 2" xfId="54502"/>
    <cellStyle name="Saída 8 6 6 3" xfId="40183"/>
    <cellStyle name="Saída 8 6 7" xfId="20895"/>
    <cellStyle name="Saída 8 6 7 2" xfId="50074"/>
    <cellStyle name="Saída 8 6 8" xfId="29958"/>
    <cellStyle name="Saída 8 7" xfId="952"/>
    <cellStyle name="Saída 8 7 2" xfId="1865"/>
    <cellStyle name="Saída 8 7 2 2" xfId="3665"/>
    <cellStyle name="Saída 8 7 2 2 2" xfId="6626"/>
    <cellStyle name="Saída 8 7 2 2 2 2" xfId="15338"/>
    <cellStyle name="Saída 8 7 2 2 2 2 2" xfId="27943"/>
    <cellStyle name="Saída 8 7 2 2 2 2 2 2" xfId="57122"/>
    <cellStyle name="Saída 8 7 2 2 2 2 3" xfId="44519"/>
    <cellStyle name="Saída 8 7 2 2 2 3" xfId="23515"/>
    <cellStyle name="Saída 8 7 2 2 2 3 2" xfId="52694"/>
    <cellStyle name="Saída 8 7 2 2 2 4" xfId="35809"/>
    <cellStyle name="Saída 8 7 2 2 3" xfId="7700"/>
    <cellStyle name="Saída 8 7 2 2 3 2" xfId="16117"/>
    <cellStyle name="Saída 8 7 2 2 3 2 2" xfId="28441"/>
    <cellStyle name="Saída 8 7 2 2 3 2 2 2" xfId="57620"/>
    <cellStyle name="Saída 8 7 2 2 3 2 3" xfId="45298"/>
    <cellStyle name="Saída 8 7 2 2 3 3" xfId="24013"/>
    <cellStyle name="Saída 8 7 2 2 3 3 2" xfId="53192"/>
    <cellStyle name="Saída 8 7 2 2 3 4" xfId="36883"/>
    <cellStyle name="Saída 8 7 2 2 4" xfId="13059"/>
    <cellStyle name="Saída 8 7 2 2 4 2" xfId="26503"/>
    <cellStyle name="Saída 8 7 2 2 4 2 2" xfId="55682"/>
    <cellStyle name="Saída 8 7 2 2 4 3" xfId="42240"/>
    <cellStyle name="Saída 8 7 2 2 5" xfId="22075"/>
    <cellStyle name="Saída 8 7 2 2 5 2" xfId="51254"/>
    <cellStyle name="Saída 8 7 2 2 6" xfId="32848"/>
    <cellStyle name="Saída 8 7 2 3" xfId="5186"/>
    <cellStyle name="Saída 8 7 2 3 2" xfId="14216"/>
    <cellStyle name="Saída 8 7 2 3 2 2" xfId="27223"/>
    <cellStyle name="Saída 8 7 2 3 2 2 2" xfId="56402"/>
    <cellStyle name="Saída 8 7 2 3 2 3" xfId="43397"/>
    <cellStyle name="Saída 8 7 2 3 3" xfId="22795"/>
    <cellStyle name="Saída 8 7 2 3 3 2" xfId="51974"/>
    <cellStyle name="Saída 8 7 2 3 4" xfId="34369"/>
    <cellStyle name="Saída 8 7 2 4" xfId="9474"/>
    <cellStyle name="Saída 8 7 2 4 2" xfId="17383"/>
    <cellStyle name="Saída 8 7 2 4 2 2" xfId="29142"/>
    <cellStyle name="Saída 8 7 2 4 2 2 2" xfId="58321"/>
    <cellStyle name="Saída 8 7 2 4 2 3" xfId="46564"/>
    <cellStyle name="Saída 8 7 2 4 3" xfId="24714"/>
    <cellStyle name="Saída 8 7 2 4 3 2" xfId="53893"/>
    <cellStyle name="Saída 8 7 2 4 4" xfId="38657"/>
    <cellStyle name="Saída 8 7 2 5" xfId="11784"/>
    <cellStyle name="Saída 8 7 2 5 2" xfId="25783"/>
    <cellStyle name="Saída 8 7 2 5 2 2" xfId="54962"/>
    <cellStyle name="Saída 8 7 2 5 3" xfId="40965"/>
    <cellStyle name="Saída 8 7 2 6" xfId="21355"/>
    <cellStyle name="Saída 8 7 2 6 2" xfId="50534"/>
    <cellStyle name="Saída 8 7 2 7" xfId="31048"/>
    <cellStyle name="Saída 8 7 3" xfId="2765"/>
    <cellStyle name="Saída 8 7 3 2" xfId="5906"/>
    <cellStyle name="Saída 8 7 3 2 2" xfId="14781"/>
    <cellStyle name="Saída 8 7 3 2 2 2" xfId="27583"/>
    <cellStyle name="Saída 8 7 3 2 2 2 2" xfId="56762"/>
    <cellStyle name="Saída 8 7 3 2 2 3" xfId="43962"/>
    <cellStyle name="Saída 8 7 3 2 3" xfId="23155"/>
    <cellStyle name="Saída 8 7 3 2 3 2" xfId="52334"/>
    <cellStyle name="Saída 8 7 3 2 4" xfId="35089"/>
    <cellStyle name="Saída 8 7 3 3" xfId="8039"/>
    <cellStyle name="Saída 8 7 3 3 2" xfId="16353"/>
    <cellStyle name="Saída 8 7 3 3 2 2" xfId="28572"/>
    <cellStyle name="Saída 8 7 3 3 2 2 2" xfId="57751"/>
    <cellStyle name="Saída 8 7 3 3 2 3" xfId="45534"/>
    <cellStyle name="Saída 8 7 3 3 3" xfId="24144"/>
    <cellStyle name="Saída 8 7 3 3 3 2" xfId="53323"/>
    <cellStyle name="Saída 8 7 3 3 4" xfId="37222"/>
    <cellStyle name="Saída 8 7 3 4" xfId="12424"/>
    <cellStyle name="Saída 8 7 3 4 2" xfId="26143"/>
    <cellStyle name="Saída 8 7 3 4 2 2" xfId="55322"/>
    <cellStyle name="Saída 8 7 3 4 3" xfId="41605"/>
    <cellStyle name="Saída 8 7 3 5" xfId="21715"/>
    <cellStyle name="Saída 8 7 3 5 2" xfId="50894"/>
    <cellStyle name="Saída 8 7 3 6" xfId="31948"/>
    <cellStyle name="Saída 8 7 4" xfId="4466"/>
    <cellStyle name="Saída 8 7 4 2" xfId="13659"/>
    <cellStyle name="Saída 8 7 4 2 2" xfId="26863"/>
    <cellStyle name="Saída 8 7 4 2 2 2" xfId="56042"/>
    <cellStyle name="Saída 8 7 4 2 3" xfId="42840"/>
    <cellStyle name="Saída 8 7 4 3" xfId="22435"/>
    <cellStyle name="Saída 8 7 4 3 2" xfId="51614"/>
    <cellStyle name="Saída 8 7 4 4" xfId="33649"/>
    <cellStyle name="Saída 8 7 5" xfId="8500"/>
    <cellStyle name="Saída 8 7 5 2" xfId="16681"/>
    <cellStyle name="Saída 8 7 5 2 2" xfId="28747"/>
    <cellStyle name="Saída 8 7 5 2 2 2" xfId="57926"/>
    <cellStyle name="Saída 8 7 5 2 3" xfId="45862"/>
    <cellStyle name="Saída 8 7 5 3" xfId="24319"/>
    <cellStyle name="Saída 8 7 5 3 2" xfId="53498"/>
    <cellStyle name="Saída 8 7 5 4" xfId="37683"/>
    <cellStyle name="Saída 8 7 6" xfId="11147"/>
    <cellStyle name="Saída 8 7 6 2" xfId="25418"/>
    <cellStyle name="Saída 8 7 6 2 2" xfId="54597"/>
    <cellStyle name="Saída 8 7 6 3" xfId="40328"/>
    <cellStyle name="Saída 8 7 7" xfId="20990"/>
    <cellStyle name="Saída 8 7 7 2" xfId="50169"/>
    <cellStyle name="Saída 8 7 8" xfId="30143"/>
    <cellStyle name="Saída 8 8" xfId="1433"/>
    <cellStyle name="Saída 8 8 2" xfId="3233"/>
    <cellStyle name="Saída 8 8 2 2" xfId="6284"/>
    <cellStyle name="Saída 8 8 2 2 2" xfId="15067"/>
    <cellStyle name="Saída 8 8 2 2 2 2" xfId="27781"/>
    <cellStyle name="Saída 8 8 2 2 2 2 2" xfId="56960"/>
    <cellStyle name="Saída 8 8 2 2 2 3" xfId="44248"/>
    <cellStyle name="Saída 8 8 2 2 3" xfId="23353"/>
    <cellStyle name="Saída 8 8 2 2 3 2" xfId="52532"/>
    <cellStyle name="Saída 8 8 2 2 4" xfId="35467"/>
    <cellStyle name="Saída 8 8 2 3" xfId="8154"/>
    <cellStyle name="Saída 8 8 2 3 2" xfId="16433"/>
    <cellStyle name="Saída 8 8 2 3 2 2" xfId="28617"/>
    <cellStyle name="Saída 8 8 2 3 2 2 2" xfId="57796"/>
    <cellStyle name="Saída 8 8 2 3 2 3" xfId="45614"/>
    <cellStyle name="Saída 8 8 2 3 3" xfId="24189"/>
    <cellStyle name="Saída 8 8 2 3 3 2" xfId="53368"/>
    <cellStyle name="Saída 8 8 2 3 4" xfId="37337"/>
    <cellStyle name="Saída 8 8 2 4" xfId="12752"/>
    <cellStyle name="Saída 8 8 2 4 2" xfId="26341"/>
    <cellStyle name="Saída 8 8 2 4 2 2" xfId="55520"/>
    <cellStyle name="Saída 8 8 2 4 3" xfId="41933"/>
    <cellStyle name="Saída 8 8 2 5" xfId="21913"/>
    <cellStyle name="Saída 8 8 2 5 2" xfId="51092"/>
    <cellStyle name="Saída 8 8 2 6" xfId="32416"/>
    <cellStyle name="Saída 8 8 3" xfId="4844"/>
    <cellStyle name="Saída 8 8 3 2" xfId="13943"/>
    <cellStyle name="Saída 8 8 3 2 2" xfId="27061"/>
    <cellStyle name="Saída 8 8 3 2 2 2" xfId="56240"/>
    <cellStyle name="Saída 8 8 3 2 3" xfId="43124"/>
    <cellStyle name="Saída 8 8 3 3" xfId="22633"/>
    <cellStyle name="Saída 8 8 3 3 2" xfId="51812"/>
    <cellStyle name="Saída 8 8 3 4" xfId="34027"/>
    <cellStyle name="Saída 8 8 4" xfId="7682"/>
    <cellStyle name="Saída 8 8 4 2" xfId="16105"/>
    <cellStyle name="Saída 8 8 4 2 2" xfId="28433"/>
    <cellStyle name="Saída 8 8 4 2 2 2" xfId="57612"/>
    <cellStyle name="Saída 8 8 4 2 3" xfId="45286"/>
    <cellStyle name="Saída 8 8 4 3" xfId="24005"/>
    <cellStyle name="Saída 8 8 4 3 2" xfId="53184"/>
    <cellStyle name="Saída 8 8 4 4" xfId="36865"/>
    <cellStyle name="Saída 8 8 5" xfId="11481"/>
    <cellStyle name="Saída 8 8 5 2" xfId="25621"/>
    <cellStyle name="Saída 8 8 5 2 2" xfId="54800"/>
    <cellStyle name="Saída 8 8 5 3" xfId="40662"/>
    <cellStyle name="Saída 8 8 6" xfId="21193"/>
    <cellStyle name="Saída 8 8 6 2" xfId="50372"/>
    <cellStyle name="Saída 8 8 7" xfId="30616"/>
    <cellStyle name="Saída 8 9" xfId="2333"/>
    <cellStyle name="Saída 8 9 2" xfId="5564"/>
    <cellStyle name="Saída 8 9 2 2" xfId="14509"/>
    <cellStyle name="Saída 8 9 2 2 2" xfId="27421"/>
    <cellStyle name="Saída 8 9 2 2 2 2" xfId="56600"/>
    <cellStyle name="Saída 8 9 2 2 3" xfId="43690"/>
    <cellStyle name="Saída 8 9 2 3" xfId="22993"/>
    <cellStyle name="Saída 8 9 2 3 2" xfId="52172"/>
    <cellStyle name="Saída 8 9 2 4" xfId="34747"/>
    <cellStyle name="Saída 8 9 3" xfId="7824"/>
    <cellStyle name="Saída 8 9 3 2" xfId="16199"/>
    <cellStyle name="Saída 8 9 3 2 2" xfId="28485"/>
    <cellStyle name="Saída 8 9 3 2 2 2" xfId="57664"/>
    <cellStyle name="Saída 8 9 3 2 3" xfId="45380"/>
    <cellStyle name="Saída 8 9 3 3" xfId="24057"/>
    <cellStyle name="Saída 8 9 3 3 2" xfId="53236"/>
    <cellStyle name="Saída 8 9 3 4" xfId="37007"/>
    <cellStyle name="Saída 8 9 4" xfId="12113"/>
    <cellStyle name="Saída 8 9 4 2" xfId="25981"/>
    <cellStyle name="Saída 8 9 4 2 2" xfId="55160"/>
    <cellStyle name="Saída 8 9 4 3" xfId="41294"/>
    <cellStyle name="Saída 8 9 5" xfId="21553"/>
    <cellStyle name="Saída 8 9 5 2" xfId="50732"/>
    <cellStyle name="Saída 8 9 6" xfId="31516"/>
    <cellStyle name="Saída 9" xfId="348"/>
    <cellStyle name="Saída 9 10" xfId="4125"/>
    <cellStyle name="Saída 9 10 2" xfId="13389"/>
    <cellStyle name="Saída 9 10 2 2" xfId="26702"/>
    <cellStyle name="Saída 9 10 2 2 2" xfId="55881"/>
    <cellStyle name="Saída 9 10 2 3" xfId="42570"/>
    <cellStyle name="Saída 9 10 3" xfId="22274"/>
    <cellStyle name="Saída 9 10 3 2" xfId="51453"/>
    <cellStyle name="Saída 9 10 4" xfId="33308"/>
    <cellStyle name="Saída 9 11" xfId="10736"/>
    <cellStyle name="Saída 9 11 2" xfId="25162"/>
    <cellStyle name="Saída 9 11 2 2" xfId="54341"/>
    <cellStyle name="Saída 9 11 3" xfId="39917"/>
    <cellStyle name="Saída 9 12" xfId="20734"/>
    <cellStyle name="Saída 9 12 2" xfId="49913"/>
    <cellStyle name="Saída 9 13" xfId="58754"/>
    <cellStyle name="Saída 9 14" xfId="29617"/>
    <cellStyle name="Saída 9 2" xfId="456"/>
    <cellStyle name="Saída 9 2 10" xfId="8543"/>
    <cellStyle name="Saída 9 2 10 2" xfId="16709"/>
    <cellStyle name="Saída 9 2 10 2 2" xfId="28761"/>
    <cellStyle name="Saída 9 2 10 2 2 2" xfId="57940"/>
    <cellStyle name="Saída 9 2 10 2 3" xfId="45890"/>
    <cellStyle name="Saída 9 2 10 3" xfId="24333"/>
    <cellStyle name="Saída 9 2 10 3 2" xfId="53512"/>
    <cellStyle name="Saída 9 2 10 4" xfId="37726"/>
    <cellStyle name="Saída 9 2 11" xfId="10770"/>
    <cellStyle name="Saída 9 2 11 2" xfId="25180"/>
    <cellStyle name="Saída 9 2 11 2 2" xfId="54359"/>
    <cellStyle name="Saída 9 2 11 3" xfId="39951"/>
    <cellStyle name="Saída 9 2 12" xfId="20752"/>
    <cellStyle name="Saída 9 2 12 2" xfId="49931"/>
    <cellStyle name="Saída 9 2 13" xfId="58799"/>
    <cellStyle name="Saída 9 2 14" xfId="29662"/>
    <cellStyle name="Saída 9 2 2" xfId="546"/>
    <cellStyle name="Saída 9 2 2 10" xfId="10833"/>
    <cellStyle name="Saída 9 2 2 10 2" xfId="25216"/>
    <cellStyle name="Saída 9 2 2 10 2 2" xfId="54395"/>
    <cellStyle name="Saída 9 2 2 10 3" xfId="40014"/>
    <cellStyle name="Saída 9 2 2 11" xfId="20788"/>
    <cellStyle name="Saída 9 2 2 11 2" xfId="49967"/>
    <cellStyle name="Saída 9 2 2 12" xfId="29752"/>
    <cellStyle name="Saída 9 2 2 2" xfId="899"/>
    <cellStyle name="Saída 9 2 2 2 2" xfId="1837"/>
    <cellStyle name="Saída 9 2 2 2 2 2" xfId="3637"/>
    <cellStyle name="Saída 9 2 2 2 2 2 2" xfId="6607"/>
    <cellStyle name="Saída 9 2 2 2 2 2 2 2" xfId="15319"/>
    <cellStyle name="Saída 9 2 2 2 2 2 2 2 2" xfId="27924"/>
    <cellStyle name="Saída 9 2 2 2 2 2 2 2 2 2" xfId="57103"/>
    <cellStyle name="Saída 9 2 2 2 2 2 2 2 3" xfId="44500"/>
    <cellStyle name="Saída 9 2 2 2 2 2 2 3" xfId="23496"/>
    <cellStyle name="Saída 9 2 2 2 2 2 2 3 2" xfId="52675"/>
    <cellStyle name="Saída 9 2 2 2 2 2 2 4" xfId="35790"/>
    <cellStyle name="Saída 9 2 2 2 2 2 3" xfId="8029"/>
    <cellStyle name="Saída 9 2 2 2 2 2 3 2" xfId="16346"/>
    <cellStyle name="Saída 9 2 2 2 2 2 3 2 2" xfId="28567"/>
    <cellStyle name="Saída 9 2 2 2 2 2 3 2 2 2" xfId="57746"/>
    <cellStyle name="Saída 9 2 2 2 2 2 3 2 3" xfId="45527"/>
    <cellStyle name="Saída 9 2 2 2 2 2 3 3" xfId="24139"/>
    <cellStyle name="Saída 9 2 2 2 2 2 3 3 2" xfId="53318"/>
    <cellStyle name="Saída 9 2 2 2 2 2 3 4" xfId="37212"/>
    <cellStyle name="Saída 9 2 2 2 2 2 4" xfId="13038"/>
    <cellStyle name="Saída 9 2 2 2 2 2 4 2" xfId="26484"/>
    <cellStyle name="Saída 9 2 2 2 2 2 4 2 2" xfId="55663"/>
    <cellStyle name="Saída 9 2 2 2 2 2 4 3" xfId="42219"/>
    <cellStyle name="Saída 9 2 2 2 2 2 5" xfId="22056"/>
    <cellStyle name="Saída 9 2 2 2 2 2 5 2" xfId="51235"/>
    <cellStyle name="Saída 9 2 2 2 2 2 6" xfId="32820"/>
    <cellStyle name="Saída 9 2 2 2 2 3" xfId="5167"/>
    <cellStyle name="Saída 9 2 2 2 2 3 2" xfId="14197"/>
    <cellStyle name="Saída 9 2 2 2 2 3 2 2" xfId="27204"/>
    <cellStyle name="Saída 9 2 2 2 2 3 2 2 2" xfId="56383"/>
    <cellStyle name="Saída 9 2 2 2 2 3 2 3" xfId="43378"/>
    <cellStyle name="Saída 9 2 2 2 2 3 3" xfId="22776"/>
    <cellStyle name="Saída 9 2 2 2 2 3 3 2" xfId="51955"/>
    <cellStyle name="Saída 9 2 2 2 2 3 4" xfId="34350"/>
    <cellStyle name="Saída 9 2 2 2 2 4" xfId="8248"/>
    <cellStyle name="Saída 9 2 2 2 2 4 2" xfId="16504"/>
    <cellStyle name="Saída 9 2 2 2 2 4 2 2" xfId="28657"/>
    <cellStyle name="Saída 9 2 2 2 2 4 2 2 2" xfId="57836"/>
    <cellStyle name="Saída 9 2 2 2 2 4 2 3" xfId="45685"/>
    <cellStyle name="Saída 9 2 2 2 2 4 3" xfId="24229"/>
    <cellStyle name="Saída 9 2 2 2 2 4 3 2" xfId="53408"/>
    <cellStyle name="Saída 9 2 2 2 2 4 4" xfId="37431"/>
    <cellStyle name="Saída 9 2 2 2 2 5" xfId="11762"/>
    <cellStyle name="Saída 9 2 2 2 2 5 2" xfId="25764"/>
    <cellStyle name="Saída 9 2 2 2 2 5 2 2" xfId="54943"/>
    <cellStyle name="Saída 9 2 2 2 2 5 3" xfId="40943"/>
    <cellStyle name="Saída 9 2 2 2 2 6" xfId="21336"/>
    <cellStyle name="Saída 9 2 2 2 2 6 2" xfId="50515"/>
    <cellStyle name="Saída 9 2 2 2 2 7" xfId="31020"/>
    <cellStyle name="Saída 9 2 2 2 3" xfId="2737"/>
    <cellStyle name="Saída 9 2 2 2 3 2" xfId="5887"/>
    <cellStyle name="Saída 9 2 2 2 3 2 2" xfId="14762"/>
    <cellStyle name="Saída 9 2 2 2 3 2 2 2" xfId="27564"/>
    <cellStyle name="Saída 9 2 2 2 3 2 2 2 2" xfId="56743"/>
    <cellStyle name="Saída 9 2 2 2 3 2 2 3" xfId="43943"/>
    <cellStyle name="Saída 9 2 2 2 3 2 3" xfId="23136"/>
    <cellStyle name="Saída 9 2 2 2 3 2 3 2" xfId="52315"/>
    <cellStyle name="Saída 9 2 2 2 3 2 4" xfId="35070"/>
    <cellStyle name="Saída 9 2 2 2 3 3" xfId="9778"/>
    <cellStyle name="Saída 9 2 2 2 3 3 2" xfId="17606"/>
    <cellStyle name="Saída 9 2 2 2 3 3 2 2" xfId="29261"/>
    <cellStyle name="Saída 9 2 2 2 3 3 2 2 2" xfId="58440"/>
    <cellStyle name="Saída 9 2 2 2 3 3 2 3" xfId="46787"/>
    <cellStyle name="Saída 9 2 2 2 3 3 3" xfId="24833"/>
    <cellStyle name="Saída 9 2 2 2 3 3 3 2" xfId="54012"/>
    <cellStyle name="Saída 9 2 2 2 3 3 4" xfId="38961"/>
    <cellStyle name="Saída 9 2 2 2 3 4" xfId="12403"/>
    <cellStyle name="Saída 9 2 2 2 3 4 2" xfId="26124"/>
    <cellStyle name="Saída 9 2 2 2 3 4 2 2" xfId="55303"/>
    <cellStyle name="Saída 9 2 2 2 3 4 3" xfId="41584"/>
    <cellStyle name="Saída 9 2 2 2 3 5" xfId="21696"/>
    <cellStyle name="Saída 9 2 2 2 3 5 2" xfId="50875"/>
    <cellStyle name="Saída 9 2 2 2 3 6" xfId="31920"/>
    <cellStyle name="Saída 9 2 2 2 4" xfId="4447"/>
    <cellStyle name="Saída 9 2 2 2 4 2" xfId="13640"/>
    <cellStyle name="Saída 9 2 2 2 4 2 2" xfId="26844"/>
    <cellStyle name="Saída 9 2 2 2 4 2 2 2" xfId="56023"/>
    <cellStyle name="Saída 9 2 2 2 4 2 3" xfId="42821"/>
    <cellStyle name="Saída 9 2 2 2 4 3" xfId="22416"/>
    <cellStyle name="Saída 9 2 2 2 4 3 2" xfId="51595"/>
    <cellStyle name="Saída 9 2 2 2 4 4" xfId="33630"/>
    <cellStyle name="Saída 9 2 2 2 5" xfId="8578"/>
    <cellStyle name="Saída 9 2 2 2 5 2" xfId="16733"/>
    <cellStyle name="Saída 9 2 2 2 5 2 2" xfId="28777"/>
    <cellStyle name="Saída 9 2 2 2 5 2 2 2" xfId="57956"/>
    <cellStyle name="Saída 9 2 2 2 5 2 3" xfId="45914"/>
    <cellStyle name="Saída 9 2 2 2 5 3" xfId="24349"/>
    <cellStyle name="Saída 9 2 2 2 5 3 2" xfId="53528"/>
    <cellStyle name="Saída 9 2 2 2 5 4" xfId="37761"/>
    <cellStyle name="Saída 9 2 2 2 6" xfId="11103"/>
    <cellStyle name="Saída 9 2 2 2 6 2" xfId="25380"/>
    <cellStyle name="Saída 9 2 2 2 6 2 2" xfId="54559"/>
    <cellStyle name="Saída 9 2 2 2 6 3" xfId="40284"/>
    <cellStyle name="Saída 9 2 2 2 7" xfId="20952"/>
    <cellStyle name="Saída 9 2 2 2 7 2" xfId="50131"/>
    <cellStyle name="Saída 9 2 2 2 8" xfId="30096"/>
    <cellStyle name="Saída 9 2 2 3" xfId="1091"/>
    <cellStyle name="Saída 9 2 2 3 2" xfId="2001"/>
    <cellStyle name="Saída 9 2 2 3 2 2" xfId="3801"/>
    <cellStyle name="Saída 9 2 2 3 2 2 2" xfId="6735"/>
    <cellStyle name="Saída 9 2 2 3 2 2 2 2" xfId="15421"/>
    <cellStyle name="Saída 9 2 2 3 2 2 2 2 2" xfId="27998"/>
    <cellStyle name="Saída 9 2 2 3 2 2 2 2 2 2" xfId="57177"/>
    <cellStyle name="Saída 9 2 2 3 2 2 2 2 3" xfId="44602"/>
    <cellStyle name="Saída 9 2 2 3 2 2 2 3" xfId="23570"/>
    <cellStyle name="Saída 9 2 2 3 2 2 2 3 2" xfId="52749"/>
    <cellStyle name="Saída 9 2 2 3 2 2 2 4" xfId="35918"/>
    <cellStyle name="Saída 9 2 2 3 2 2 3" xfId="7902"/>
    <cellStyle name="Saída 9 2 2 3 2 2 3 2" xfId="16253"/>
    <cellStyle name="Saída 9 2 2 3 2 2 3 2 2" xfId="28517"/>
    <cellStyle name="Saída 9 2 2 3 2 2 3 2 2 2" xfId="57696"/>
    <cellStyle name="Saída 9 2 2 3 2 2 3 2 3" xfId="45434"/>
    <cellStyle name="Saída 9 2 2 3 2 2 3 3" xfId="24089"/>
    <cellStyle name="Saída 9 2 2 3 2 2 3 3 2" xfId="53268"/>
    <cellStyle name="Saída 9 2 2 3 2 2 3 4" xfId="37085"/>
    <cellStyle name="Saída 9 2 2 3 2 2 4" xfId="13158"/>
    <cellStyle name="Saída 9 2 2 3 2 2 4 2" xfId="26558"/>
    <cellStyle name="Saída 9 2 2 3 2 2 4 2 2" xfId="55737"/>
    <cellStyle name="Saída 9 2 2 3 2 2 4 3" xfId="42339"/>
    <cellStyle name="Saída 9 2 2 3 2 2 5" xfId="22130"/>
    <cellStyle name="Saída 9 2 2 3 2 2 5 2" xfId="51309"/>
    <cellStyle name="Saída 9 2 2 3 2 2 6" xfId="32984"/>
    <cellStyle name="Saída 9 2 2 3 2 3" xfId="5295"/>
    <cellStyle name="Saída 9 2 2 3 2 3 2" xfId="14300"/>
    <cellStyle name="Saída 9 2 2 3 2 3 2 2" xfId="27278"/>
    <cellStyle name="Saída 9 2 2 3 2 3 2 2 2" xfId="56457"/>
    <cellStyle name="Saída 9 2 2 3 2 3 2 3" xfId="43481"/>
    <cellStyle name="Saída 9 2 2 3 2 3 3" xfId="22850"/>
    <cellStyle name="Saída 9 2 2 3 2 3 3 2" xfId="52029"/>
    <cellStyle name="Saída 9 2 2 3 2 3 4" xfId="34478"/>
    <cellStyle name="Saída 9 2 2 3 2 4" xfId="7840"/>
    <cellStyle name="Saída 9 2 2 3 2 4 2" xfId="16211"/>
    <cellStyle name="Saída 9 2 2 3 2 4 2 2" xfId="28491"/>
    <cellStyle name="Saída 9 2 2 3 2 4 2 2 2" xfId="57670"/>
    <cellStyle name="Saída 9 2 2 3 2 4 2 3" xfId="45392"/>
    <cellStyle name="Saída 9 2 2 3 2 4 3" xfId="24063"/>
    <cellStyle name="Saída 9 2 2 3 2 4 3 2" xfId="53242"/>
    <cellStyle name="Saída 9 2 2 3 2 4 4" xfId="37023"/>
    <cellStyle name="Saída 9 2 2 3 2 5" xfId="11882"/>
    <cellStyle name="Saída 9 2 2 3 2 5 2" xfId="25838"/>
    <cellStyle name="Saída 9 2 2 3 2 5 2 2" xfId="55017"/>
    <cellStyle name="Saída 9 2 2 3 2 5 3" xfId="41063"/>
    <cellStyle name="Saída 9 2 2 3 2 6" xfId="21410"/>
    <cellStyle name="Saída 9 2 2 3 2 6 2" xfId="50589"/>
    <cellStyle name="Saída 9 2 2 3 2 7" xfId="31184"/>
    <cellStyle name="Saída 9 2 2 3 3" xfId="2901"/>
    <cellStyle name="Saída 9 2 2 3 3 2" xfId="6015"/>
    <cellStyle name="Saída 9 2 2 3 3 2 2" xfId="14861"/>
    <cellStyle name="Saída 9 2 2 3 3 2 2 2" xfId="27638"/>
    <cellStyle name="Saída 9 2 2 3 3 2 2 2 2" xfId="56817"/>
    <cellStyle name="Saída 9 2 2 3 3 2 2 3" xfId="44042"/>
    <cellStyle name="Saída 9 2 2 3 3 2 3" xfId="23210"/>
    <cellStyle name="Saída 9 2 2 3 3 2 3 2" xfId="52389"/>
    <cellStyle name="Saída 9 2 2 3 3 2 4" xfId="35198"/>
    <cellStyle name="Saída 9 2 2 3 3 3" xfId="8401"/>
    <cellStyle name="Saída 9 2 2 3 3 3 2" xfId="16613"/>
    <cellStyle name="Saída 9 2 2 3 3 3 2 2" xfId="28713"/>
    <cellStyle name="Saída 9 2 2 3 3 3 2 2 2" xfId="57892"/>
    <cellStyle name="Saída 9 2 2 3 3 3 2 3" xfId="45794"/>
    <cellStyle name="Saída 9 2 2 3 3 3 3" xfId="24285"/>
    <cellStyle name="Saída 9 2 2 3 3 3 3 2" xfId="53464"/>
    <cellStyle name="Saída 9 2 2 3 3 3 4" xfId="37584"/>
    <cellStyle name="Saída 9 2 2 3 3 4" xfId="12518"/>
    <cellStyle name="Saída 9 2 2 3 3 4 2" xfId="26198"/>
    <cellStyle name="Saída 9 2 2 3 3 4 2 2" xfId="55377"/>
    <cellStyle name="Saída 9 2 2 3 3 4 3" xfId="41699"/>
    <cellStyle name="Saída 9 2 2 3 3 5" xfId="21770"/>
    <cellStyle name="Saída 9 2 2 3 3 5 2" xfId="50949"/>
    <cellStyle name="Saída 9 2 2 3 3 6" xfId="32084"/>
    <cellStyle name="Saída 9 2 2 3 4" xfId="4575"/>
    <cellStyle name="Saída 9 2 2 3 4 2" xfId="13741"/>
    <cellStyle name="Saída 9 2 2 3 4 2 2" xfId="26918"/>
    <cellStyle name="Saída 9 2 2 3 4 2 2 2" xfId="56097"/>
    <cellStyle name="Saída 9 2 2 3 4 2 3" xfId="42922"/>
    <cellStyle name="Saída 9 2 2 3 4 3" xfId="22490"/>
    <cellStyle name="Saída 9 2 2 3 4 3 2" xfId="51669"/>
    <cellStyle name="Saída 9 2 2 3 4 4" xfId="33758"/>
    <cellStyle name="Saída 9 2 2 3 5" xfId="8096"/>
    <cellStyle name="Saída 9 2 2 3 5 2" xfId="16395"/>
    <cellStyle name="Saída 9 2 2 3 5 2 2" xfId="28597"/>
    <cellStyle name="Saída 9 2 2 3 5 2 2 2" xfId="57776"/>
    <cellStyle name="Saída 9 2 2 3 5 2 3" xfId="45576"/>
    <cellStyle name="Saída 9 2 2 3 5 3" xfId="24169"/>
    <cellStyle name="Saída 9 2 2 3 5 3 2" xfId="53348"/>
    <cellStyle name="Saída 9 2 2 3 5 4" xfId="37279"/>
    <cellStyle name="Saída 9 2 2 3 6" xfId="11246"/>
    <cellStyle name="Saída 9 2 2 3 6 2" xfId="25475"/>
    <cellStyle name="Saída 9 2 2 3 6 2 2" xfId="54654"/>
    <cellStyle name="Saída 9 2 2 3 6 3" xfId="40427"/>
    <cellStyle name="Saída 9 2 2 3 7" xfId="21047"/>
    <cellStyle name="Saída 9 2 2 3 7 2" xfId="50226"/>
    <cellStyle name="Saída 9 2 2 3 8" xfId="30281"/>
    <cellStyle name="Saída 9 2 2 4" xfId="1241"/>
    <cellStyle name="Saída 9 2 2 4 2" xfId="2145"/>
    <cellStyle name="Saída 9 2 2 4 2 2" xfId="3945"/>
    <cellStyle name="Saída 9 2 2 4 2 2 2" xfId="6852"/>
    <cellStyle name="Saída 9 2 2 4 2 2 2 2" xfId="15511"/>
    <cellStyle name="Saída 9 2 2 4 2 2 2 2 2" xfId="28061"/>
    <cellStyle name="Saída 9 2 2 4 2 2 2 2 2 2" xfId="57240"/>
    <cellStyle name="Saída 9 2 2 4 2 2 2 2 3" xfId="44692"/>
    <cellStyle name="Saída 9 2 2 4 2 2 2 3" xfId="23633"/>
    <cellStyle name="Saída 9 2 2 4 2 2 2 3 2" xfId="52812"/>
    <cellStyle name="Saída 9 2 2 4 2 2 2 4" xfId="36035"/>
    <cellStyle name="Saída 9 2 2 4 2 2 3" xfId="7135"/>
    <cellStyle name="Saída 9 2 2 4 2 2 3 2" xfId="15725"/>
    <cellStyle name="Saída 9 2 2 4 2 2 3 2 2" xfId="28207"/>
    <cellStyle name="Saída 9 2 2 4 2 2 3 2 2 2" xfId="57386"/>
    <cellStyle name="Saída 9 2 2 4 2 2 3 2 3" xfId="44906"/>
    <cellStyle name="Saída 9 2 2 4 2 2 3 3" xfId="23779"/>
    <cellStyle name="Saída 9 2 2 4 2 2 3 3 2" xfId="52958"/>
    <cellStyle name="Saída 9 2 2 4 2 2 3 4" xfId="36318"/>
    <cellStyle name="Saída 9 2 2 4 2 2 4" xfId="13256"/>
    <cellStyle name="Saída 9 2 2 4 2 2 4 2" xfId="26621"/>
    <cellStyle name="Saída 9 2 2 4 2 2 4 2 2" xfId="55800"/>
    <cellStyle name="Saída 9 2 2 4 2 2 4 3" xfId="42437"/>
    <cellStyle name="Saída 9 2 2 4 2 2 5" xfId="22193"/>
    <cellStyle name="Saída 9 2 2 4 2 2 5 2" xfId="51372"/>
    <cellStyle name="Saída 9 2 2 4 2 2 6" xfId="33128"/>
    <cellStyle name="Saída 9 2 2 4 2 3" xfId="5412"/>
    <cellStyle name="Saída 9 2 2 4 2 3 2" xfId="14389"/>
    <cellStyle name="Saída 9 2 2 4 2 3 2 2" xfId="27341"/>
    <cellStyle name="Saída 9 2 2 4 2 3 2 2 2" xfId="56520"/>
    <cellStyle name="Saída 9 2 2 4 2 3 2 3" xfId="43570"/>
    <cellStyle name="Saída 9 2 2 4 2 3 3" xfId="22913"/>
    <cellStyle name="Saída 9 2 2 4 2 3 3 2" xfId="52092"/>
    <cellStyle name="Saída 9 2 2 4 2 3 4" xfId="34595"/>
    <cellStyle name="Saída 9 2 2 4 2 4" xfId="10277"/>
    <cellStyle name="Saída 9 2 2 4 2 4 2" xfId="17954"/>
    <cellStyle name="Saída 9 2 2 4 2 4 2 2" xfId="29461"/>
    <cellStyle name="Saída 9 2 2 4 2 4 2 2 2" xfId="58640"/>
    <cellStyle name="Saída 9 2 2 4 2 4 2 3" xfId="47135"/>
    <cellStyle name="Saída 9 2 2 4 2 4 3" xfId="25033"/>
    <cellStyle name="Saída 9 2 2 4 2 4 3 2" xfId="54212"/>
    <cellStyle name="Saída 9 2 2 4 2 4 4" xfId="39460"/>
    <cellStyle name="Saída 9 2 2 4 2 5" xfId="11981"/>
    <cellStyle name="Saída 9 2 2 4 2 5 2" xfId="25901"/>
    <cellStyle name="Saída 9 2 2 4 2 5 2 2" xfId="55080"/>
    <cellStyle name="Saída 9 2 2 4 2 5 3" xfId="41162"/>
    <cellStyle name="Saída 9 2 2 4 2 6" xfId="21473"/>
    <cellStyle name="Saída 9 2 2 4 2 6 2" xfId="50652"/>
    <cellStyle name="Saída 9 2 2 4 2 7" xfId="31328"/>
    <cellStyle name="Saída 9 2 2 4 3" xfId="3045"/>
    <cellStyle name="Saída 9 2 2 4 3 2" xfId="6132"/>
    <cellStyle name="Saída 9 2 2 4 3 2 2" xfId="14950"/>
    <cellStyle name="Saída 9 2 2 4 3 2 2 2" xfId="27701"/>
    <cellStyle name="Saída 9 2 2 4 3 2 2 2 2" xfId="56880"/>
    <cellStyle name="Saída 9 2 2 4 3 2 2 3" xfId="44131"/>
    <cellStyle name="Saída 9 2 2 4 3 2 3" xfId="23273"/>
    <cellStyle name="Saída 9 2 2 4 3 2 3 2" xfId="52452"/>
    <cellStyle name="Saída 9 2 2 4 3 2 4" xfId="35315"/>
    <cellStyle name="Saída 9 2 2 4 3 3" xfId="9501"/>
    <cellStyle name="Saída 9 2 2 4 3 3 2" xfId="17403"/>
    <cellStyle name="Saída 9 2 2 4 3 3 2 2" xfId="29153"/>
    <cellStyle name="Saída 9 2 2 4 3 3 2 2 2" xfId="58332"/>
    <cellStyle name="Saída 9 2 2 4 3 3 2 3" xfId="46584"/>
    <cellStyle name="Saída 9 2 2 4 3 3 3" xfId="24725"/>
    <cellStyle name="Saída 9 2 2 4 3 3 3 2" xfId="53904"/>
    <cellStyle name="Saída 9 2 2 4 3 3 4" xfId="38684"/>
    <cellStyle name="Saída 9 2 2 4 3 4" xfId="12617"/>
    <cellStyle name="Saída 9 2 2 4 3 4 2" xfId="26261"/>
    <cellStyle name="Saída 9 2 2 4 3 4 2 2" xfId="55440"/>
    <cellStyle name="Saída 9 2 2 4 3 4 3" xfId="41798"/>
    <cellStyle name="Saída 9 2 2 4 3 5" xfId="21833"/>
    <cellStyle name="Saída 9 2 2 4 3 5 2" xfId="51012"/>
    <cellStyle name="Saída 9 2 2 4 3 6" xfId="32228"/>
    <cellStyle name="Saída 9 2 2 4 4" xfId="4692"/>
    <cellStyle name="Saída 9 2 2 4 4 2" xfId="13830"/>
    <cellStyle name="Saída 9 2 2 4 4 2 2" xfId="26981"/>
    <cellStyle name="Saída 9 2 2 4 4 2 2 2" xfId="56160"/>
    <cellStyle name="Saída 9 2 2 4 4 2 3" xfId="43011"/>
    <cellStyle name="Saída 9 2 2 4 4 3" xfId="22553"/>
    <cellStyle name="Saída 9 2 2 4 4 3 2" xfId="51732"/>
    <cellStyle name="Saída 9 2 2 4 4 4" xfId="33875"/>
    <cellStyle name="Saída 9 2 2 4 5" xfId="9142"/>
    <cellStyle name="Saída 9 2 2 4 5 2" xfId="17148"/>
    <cellStyle name="Saída 9 2 2 4 5 2 2" xfId="29007"/>
    <cellStyle name="Saída 9 2 2 4 5 2 2 2" xfId="58186"/>
    <cellStyle name="Saída 9 2 2 4 5 2 3" xfId="46329"/>
    <cellStyle name="Saída 9 2 2 4 5 3" xfId="24579"/>
    <cellStyle name="Saída 9 2 2 4 5 3 2" xfId="53758"/>
    <cellStyle name="Saída 9 2 2 4 5 4" xfId="38325"/>
    <cellStyle name="Saída 9 2 2 4 6" xfId="11351"/>
    <cellStyle name="Saída 9 2 2 4 6 2" xfId="25541"/>
    <cellStyle name="Saída 9 2 2 4 6 2 2" xfId="54720"/>
    <cellStyle name="Saída 9 2 2 4 6 3" xfId="40532"/>
    <cellStyle name="Saída 9 2 2 4 7" xfId="21113"/>
    <cellStyle name="Saída 9 2 2 4 7 2" xfId="50292"/>
    <cellStyle name="Saída 9 2 2 4 8" xfId="30428"/>
    <cellStyle name="Saída 9 2 2 5" xfId="1387"/>
    <cellStyle name="Saída 9 2 2 5 2" xfId="2289"/>
    <cellStyle name="Saída 9 2 2 5 2 2" xfId="4089"/>
    <cellStyle name="Saída 9 2 2 5 2 2 2" xfId="6969"/>
    <cellStyle name="Saída 9 2 2 5 2 2 2 2" xfId="15601"/>
    <cellStyle name="Saída 9 2 2 5 2 2 2 2 2" xfId="28124"/>
    <cellStyle name="Saída 9 2 2 5 2 2 2 2 2 2" xfId="57303"/>
    <cellStyle name="Saída 9 2 2 5 2 2 2 2 3" xfId="44782"/>
    <cellStyle name="Saída 9 2 2 5 2 2 2 3" xfId="23696"/>
    <cellStyle name="Saída 9 2 2 5 2 2 2 3 2" xfId="52875"/>
    <cellStyle name="Saída 9 2 2 5 2 2 2 4" xfId="36152"/>
    <cellStyle name="Saída 9 2 2 5 2 2 3" xfId="6991"/>
    <cellStyle name="Saída 9 2 2 5 2 2 3 2" xfId="15621"/>
    <cellStyle name="Saída 9 2 2 5 2 2 3 2 2" xfId="28144"/>
    <cellStyle name="Saída 9 2 2 5 2 2 3 2 2 2" xfId="57323"/>
    <cellStyle name="Saída 9 2 2 5 2 2 3 2 3" xfId="44802"/>
    <cellStyle name="Saída 9 2 2 5 2 2 3 3" xfId="23716"/>
    <cellStyle name="Saída 9 2 2 5 2 2 3 3 2" xfId="52895"/>
    <cellStyle name="Saída 9 2 2 5 2 2 3 4" xfId="36174"/>
    <cellStyle name="Saída 9 2 2 5 2 2 4" xfId="13361"/>
    <cellStyle name="Saída 9 2 2 5 2 2 4 2" xfId="26684"/>
    <cellStyle name="Saída 9 2 2 5 2 2 4 2 2" xfId="55863"/>
    <cellStyle name="Saída 9 2 2 5 2 2 4 3" xfId="42542"/>
    <cellStyle name="Saída 9 2 2 5 2 2 5" xfId="22256"/>
    <cellStyle name="Saída 9 2 2 5 2 2 5 2" xfId="51435"/>
    <cellStyle name="Saída 9 2 2 5 2 2 6" xfId="33272"/>
    <cellStyle name="Saída 9 2 2 5 2 3" xfId="5529"/>
    <cellStyle name="Saída 9 2 2 5 2 3 2" xfId="14482"/>
    <cellStyle name="Saída 9 2 2 5 2 3 2 2" xfId="27404"/>
    <cellStyle name="Saída 9 2 2 5 2 3 2 2 2" xfId="56583"/>
    <cellStyle name="Saída 9 2 2 5 2 3 2 3" xfId="43663"/>
    <cellStyle name="Saída 9 2 2 5 2 3 3" xfId="22976"/>
    <cellStyle name="Saída 9 2 2 5 2 3 3 2" xfId="52155"/>
    <cellStyle name="Saída 9 2 2 5 2 3 4" xfId="34712"/>
    <cellStyle name="Saída 9 2 2 5 2 4" xfId="7291"/>
    <cellStyle name="Saída 9 2 2 5 2 4 2" xfId="15834"/>
    <cellStyle name="Saída 9 2 2 5 2 4 2 2" xfId="28276"/>
    <cellStyle name="Saída 9 2 2 5 2 4 2 2 2" xfId="57455"/>
    <cellStyle name="Saída 9 2 2 5 2 4 2 3" xfId="45015"/>
    <cellStyle name="Saída 9 2 2 5 2 4 3" xfId="23848"/>
    <cellStyle name="Saída 9 2 2 5 2 4 3 2" xfId="53027"/>
    <cellStyle name="Saída 9 2 2 5 2 4 4" xfId="36474"/>
    <cellStyle name="Saída 9 2 2 5 2 5" xfId="12082"/>
    <cellStyle name="Saída 9 2 2 5 2 5 2" xfId="25964"/>
    <cellStyle name="Saída 9 2 2 5 2 5 2 2" xfId="55143"/>
    <cellStyle name="Saída 9 2 2 5 2 5 3" xfId="41263"/>
    <cellStyle name="Saída 9 2 2 5 2 6" xfId="21536"/>
    <cellStyle name="Saída 9 2 2 5 2 6 2" xfId="50715"/>
    <cellStyle name="Saída 9 2 2 5 2 7" xfId="31472"/>
    <cellStyle name="Saída 9 2 2 5 3" xfId="3189"/>
    <cellStyle name="Saída 9 2 2 5 3 2" xfId="6249"/>
    <cellStyle name="Saída 9 2 2 5 3 2 2" xfId="15042"/>
    <cellStyle name="Saída 9 2 2 5 3 2 2 2" xfId="27764"/>
    <cellStyle name="Saída 9 2 2 5 3 2 2 2 2" xfId="56943"/>
    <cellStyle name="Saída 9 2 2 5 3 2 2 3" xfId="44223"/>
    <cellStyle name="Saída 9 2 2 5 3 2 3" xfId="23336"/>
    <cellStyle name="Saída 9 2 2 5 3 2 3 2" xfId="52515"/>
    <cellStyle name="Saída 9 2 2 5 3 2 4" xfId="35432"/>
    <cellStyle name="Saída 9 2 2 5 3 3" xfId="7180"/>
    <cellStyle name="Saída 9 2 2 5 3 3 2" xfId="15756"/>
    <cellStyle name="Saída 9 2 2 5 3 3 2 2" xfId="28228"/>
    <cellStyle name="Saída 9 2 2 5 3 3 2 2 2" xfId="57407"/>
    <cellStyle name="Saída 9 2 2 5 3 3 2 3" xfId="44937"/>
    <cellStyle name="Saída 9 2 2 5 3 3 3" xfId="23800"/>
    <cellStyle name="Saída 9 2 2 5 3 3 3 2" xfId="52979"/>
    <cellStyle name="Saída 9 2 2 5 3 3 4" xfId="36363"/>
    <cellStyle name="Saída 9 2 2 5 3 4" xfId="12723"/>
    <cellStyle name="Saída 9 2 2 5 3 4 2" xfId="26324"/>
    <cellStyle name="Saída 9 2 2 5 3 4 2 2" xfId="55503"/>
    <cellStyle name="Saída 9 2 2 5 3 4 3" xfId="41904"/>
    <cellStyle name="Saída 9 2 2 5 3 5" xfId="21896"/>
    <cellStyle name="Saída 9 2 2 5 3 5 2" xfId="51075"/>
    <cellStyle name="Saída 9 2 2 5 3 6" xfId="32372"/>
    <cellStyle name="Saída 9 2 2 5 4" xfId="4809"/>
    <cellStyle name="Saída 9 2 2 5 4 2" xfId="13918"/>
    <cellStyle name="Saída 9 2 2 5 4 2 2" xfId="27044"/>
    <cellStyle name="Saída 9 2 2 5 4 2 2 2" xfId="56223"/>
    <cellStyle name="Saída 9 2 2 5 4 2 3" xfId="43099"/>
    <cellStyle name="Saída 9 2 2 5 4 3" xfId="22616"/>
    <cellStyle name="Saída 9 2 2 5 4 3 2" xfId="51795"/>
    <cellStyle name="Saída 9 2 2 5 4 4" xfId="33992"/>
    <cellStyle name="Saída 9 2 2 5 5" xfId="8909"/>
    <cellStyle name="Saída 9 2 2 5 5 2" xfId="16984"/>
    <cellStyle name="Saída 9 2 2 5 5 2 2" xfId="28915"/>
    <cellStyle name="Saída 9 2 2 5 5 2 2 2" xfId="58094"/>
    <cellStyle name="Saída 9 2 2 5 5 2 3" xfId="46165"/>
    <cellStyle name="Saída 9 2 2 5 5 3" xfId="24487"/>
    <cellStyle name="Saída 9 2 2 5 5 3 2" xfId="53666"/>
    <cellStyle name="Saída 9 2 2 5 5 4" xfId="38092"/>
    <cellStyle name="Saída 9 2 2 5 6" xfId="11451"/>
    <cellStyle name="Saída 9 2 2 5 6 2" xfId="25604"/>
    <cellStyle name="Saída 9 2 2 5 6 2 2" xfId="54783"/>
    <cellStyle name="Saída 9 2 2 5 6 3" xfId="40632"/>
    <cellStyle name="Saída 9 2 2 5 7" xfId="21176"/>
    <cellStyle name="Saída 9 2 2 5 7 2" xfId="50355"/>
    <cellStyle name="Saída 9 2 2 5 8" xfId="30572"/>
    <cellStyle name="Saída 9 2 2 6" xfId="1569"/>
    <cellStyle name="Saída 9 2 2 6 2" xfId="3369"/>
    <cellStyle name="Saída 9 2 2 6 2 2" xfId="6393"/>
    <cellStyle name="Saída 9 2 2 6 2 2 2" xfId="15148"/>
    <cellStyle name="Saída 9 2 2 6 2 2 2 2" xfId="27836"/>
    <cellStyle name="Saída 9 2 2 6 2 2 2 2 2" xfId="57015"/>
    <cellStyle name="Saída 9 2 2 6 2 2 2 3" xfId="44329"/>
    <cellStyle name="Saída 9 2 2 6 2 2 3" xfId="23408"/>
    <cellStyle name="Saída 9 2 2 6 2 2 3 2" xfId="52587"/>
    <cellStyle name="Saída 9 2 2 6 2 2 4" xfId="35576"/>
    <cellStyle name="Saída 9 2 2 6 2 3" xfId="9771"/>
    <cellStyle name="Saída 9 2 2 6 2 3 2" xfId="17600"/>
    <cellStyle name="Saída 9 2 2 6 2 3 2 2" xfId="29257"/>
    <cellStyle name="Saída 9 2 2 6 2 3 2 2 2" xfId="58436"/>
    <cellStyle name="Saída 9 2 2 6 2 3 2 3" xfId="46781"/>
    <cellStyle name="Saída 9 2 2 6 2 3 3" xfId="24829"/>
    <cellStyle name="Saída 9 2 2 6 2 3 3 2" xfId="54008"/>
    <cellStyle name="Saída 9 2 2 6 2 3 4" xfId="38954"/>
    <cellStyle name="Saída 9 2 2 6 2 4" xfId="12845"/>
    <cellStyle name="Saída 9 2 2 6 2 4 2" xfId="26396"/>
    <cellStyle name="Saída 9 2 2 6 2 4 2 2" xfId="55575"/>
    <cellStyle name="Saída 9 2 2 6 2 4 3" xfId="42026"/>
    <cellStyle name="Saída 9 2 2 6 2 5" xfId="21968"/>
    <cellStyle name="Saída 9 2 2 6 2 5 2" xfId="51147"/>
    <cellStyle name="Saída 9 2 2 6 2 6" xfId="32552"/>
    <cellStyle name="Saída 9 2 2 6 3" xfId="4953"/>
    <cellStyle name="Saída 9 2 2 6 3 2" xfId="14027"/>
    <cellStyle name="Saída 9 2 2 6 3 2 2" xfId="27116"/>
    <cellStyle name="Saída 9 2 2 6 3 2 2 2" xfId="56295"/>
    <cellStyle name="Saída 9 2 2 6 3 2 3" xfId="43208"/>
    <cellStyle name="Saída 9 2 2 6 3 3" xfId="22688"/>
    <cellStyle name="Saída 9 2 2 6 3 3 2" xfId="51867"/>
    <cellStyle name="Saída 9 2 2 6 3 4" xfId="34136"/>
    <cellStyle name="Saída 9 2 2 6 4" xfId="9302"/>
    <cellStyle name="Saída 9 2 2 6 4 2" xfId="17264"/>
    <cellStyle name="Saída 9 2 2 6 4 2 2" xfId="29067"/>
    <cellStyle name="Saída 9 2 2 6 4 2 2 2" xfId="58246"/>
    <cellStyle name="Saída 9 2 2 6 4 2 3" xfId="46445"/>
    <cellStyle name="Saída 9 2 2 6 4 3" xfId="24639"/>
    <cellStyle name="Saída 9 2 2 6 4 3 2" xfId="53818"/>
    <cellStyle name="Saída 9 2 2 6 4 4" xfId="38485"/>
    <cellStyle name="Saída 9 2 2 6 5" xfId="11574"/>
    <cellStyle name="Saída 9 2 2 6 5 2" xfId="25676"/>
    <cellStyle name="Saída 9 2 2 6 5 2 2" xfId="54855"/>
    <cellStyle name="Saída 9 2 2 6 5 3" xfId="40755"/>
    <cellStyle name="Saída 9 2 2 6 6" xfId="21248"/>
    <cellStyle name="Saída 9 2 2 6 6 2" xfId="50427"/>
    <cellStyle name="Saída 9 2 2 6 7" xfId="30752"/>
    <cellStyle name="Saída 9 2 2 7" xfId="2469"/>
    <cellStyle name="Saída 9 2 2 7 2" xfId="5673"/>
    <cellStyle name="Saída 9 2 2 7 2 2" xfId="14595"/>
    <cellStyle name="Saída 9 2 2 7 2 2 2" xfId="27476"/>
    <cellStyle name="Saída 9 2 2 7 2 2 2 2" xfId="56655"/>
    <cellStyle name="Saída 9 2 2 7 2 2 3" xfId="43776"/>
    <cellStyle name="Saída 9 2 2 7 2 3" xfId="23048"/>
    <cellStyle name="Saída 9 2 2 7 2 3 2" xfId="52227"/>
    <cellStyle name="Saída 9 2 2 7 2 4" xfId="34856"/>
    <cellStyle name="Saída 9 2 2 7 3" xfId="7880"/>
    <cellStyle name="Saída 9 2 2 7 3 2" xfId="16235"/>
    <cellStyle name="Saída 9 2 2 7 3 2 2" xfId="28507"/>
    <cellStyle name="Saída 9 2 2 7 3 2 2 2" xfId="57686"/>
    <cellStyle name="Saída 9 2 2 7 3 2 3" xfId="45416"/>
    <cellStyle name="Saída 9 2 2 7 3 3" xfId="24079"/>
    <cellStyle name="Saída 9 2 2 7 3 3 2" xfId="53258"/>
    <cellStyle name="Saída 9 2 2 7 3 4" xfId="37063"/>
    <cellStyle name="Saída 9 2 2 7 4" xfId="12211"/>
    <cellStyle name="Saída 9 2 2 7 4 2" xfId="26036"/>
    <cellStyle name="Saída 9 2 2 7 4 2 2" xfId="55215"/>
    <cellStyle name="Saída 9 2 2 7 4 3" xfId="41392"/>
    <cellStyle name="Saída 9 2 2 7 5" xfId="21608"/>
    <cellStyle name="Saída 9 2 2 7 5 2" xfId="50787"/>
    <cellStyle name="Saída 9 2 2 7 6" xfId="31652"/>
    <cellStyle name="Saída 9 2 2 8" xfId="4233"/>
    <cellStyle name="Saída 9 2 2 8 2" xfId="13476"/>
    <cellStyle name="Saída 9 2 2 8 2 2" xfId="26756"/>
    <cellStyle name="Saída 9 2 2 8 2 2 2" xfId="55935"/>
    <cellStyle name="Saída 9 2 2 8 2 3" xfId="42657"/>
    <cellStyle name="Saída 9 2 2 8 3" xfId="22328"/>
    <cellStyle name="Saída 9 2 2 8 3 2" xfId="51507"/>
    <cellStyle name="Saída 9 2 2 8 4" xfId="33416"/>
    <cellStyle name="Saída 9 2 2 9" xfId="10412"/>
    <cellStyle name="Saída 9 2 2 9 2" xfId="18047"/>
    <cellStyle name="Saída 9 2 2 9 2 2" xfId="29511"/>
    <cellStyle name="Saída 9 2 2 9 2 2 2" xfId="58690"/>
    <cellStyle name="Saída 9 2 2 9 2 3" xfId="47228"/>
    <cellStyle name="Saída 9 2 2 9 3" xfId="25083"/>
    <cellStyle name="Saída 9 2 2 9 3 2" xfId="54262"/>
    <cellStyle name="Saída 9 2 2 9 4" xfId="39595"/>
    <cellStyle name="Saída 9 2 3" xfId="809"/>
    <cellStyle name="Saída 9 2 3 2" xfId="1747"/>
    <cellStyle name="Saída 9 2 3 2 2" xfId="3547"/>
    <cellStyle name="Saída 9 2 3 2 2 2" xfId="6535"/>
    <cellStyle name="Saída 9 2 3 2 2 2 2" xfId="15264"/>
    <cellStyle name="Saída 9 2 3 2 2 2 2 2" xfId="27888"/>
    <cellStyle name="Saída 9 2 3 2 2 2 2 2 2" xfId="57067"/>
    <cellStyle name="Saída 9 2 3 2 2 2 2 3" xfId="44445"/>
    <cellStyle name="Saída 9 2 3 2 2 2 3" xfId="23460"/>
    <cellStyle name="Saída 9 2 3 2 2 2 3 2" xfId="52639"/>
    <cellStyle name="Saída 9 2 3 2 2 2 4" xfId="35718"/>
    <cellStyle name="Saída 9 2 3 2 2 3" xfId="9078"/>
    <cellStyle name="Saída 9 2 3 2 2 3 2" xfId="17106"/>
    <cellStyle name="Saída 9 2 3 2 2 3 2 2" xfId="28984"/>
    <cellStyle name="Saída 9 2 3 2 2 3 2 2 2" xfId="58163"/>
    <cellStyle name="Saída 9 2 3 2 2 3 2 3" xfId="46287"/>
    <cellStyle name="Saída 9 2 3 2 2 3 3" xfId="24556"/>
    <cellStyle name="Saída 9 2 3 2 2 3 3 2" xfId="53735"/>
    <cellStyle name="Saída 9 2 3 2 2 3 4" xfId="38261"/>
    <cellStyle name="Saída 9 2 3 2 2 4" xfId="12975"/>
    <cellStyle name="Saída 9 2 3 2 2 4 2" xfId="26448"/>
    <cellStyle name="Saída 9 2 3 2 2 4 2 2" xfId="55627"/>
    <cellStyle name="Saída 9 2 3 2 2 4 3" xfId="42156"/>
    <cellStyle name="Saída 9 2 3 2 2 5" xfId="22020"/>
    <cellStyle name="Saída 9 2 3 2 2 5 2" xfId="51199"/>
    <cellStyle name="Saída 9 2 3 2 2 6" xfId="32730"/>
    <cellStyle name="Saída 9 2 3 2 3" xfId="5095"/>
    <cellStyle name="Saída 9 2 3 2 3 2" xfId="14140"/>
    <cellStyle name="Saída 9 2 3 2 3 2 2" xfId="27168"/>
    <cellStyle name="Saída 9 2 3 2 3 2 2 2" xfId="56347"/>
    <cellStyle name="Saída 9 2 3 2 3 2 3" xfId="43321"/>
    <cellStyle name="Saída 9 2 3 2 3 3" xfId="22740"/>
    <cellStyle name="Saída 9 2 3 2 3 3 2" xfId="51919"/>
    <cellStyle name="Saída 9 2 3 2 3 4" xfId="34278"/>
    <cellStyle name="Saída 9 2 3 2 4" xfId="7964"/>
    <cellStyle name="Saída 9 2 3 2 4 2" xfId="16299"/>
    <cellStyle name="Saída 9 2 3 2 4 2 2" xfId="28543"/>
    <cellStyle name="Saída 9 2 3 2 4 2 2 2" xfId="57722"/>
    <cellStyle name="Saída 9 2 3 2 4 2 3" xfId="45480"/>
    <cellStyle name="Saída 9 2 3 2 4 3" xfId="24115"/>
    <cellStyle name="Saída 9 2 3 2 4 3 2" xfId="53294"/>
    <cellStyle name="Saída 9 2 3 2 4 4" xfId="37147"/>
    <cellStyle name="Saída 9 2 3 2 5" xfId="11701"/>
    <cellStyle name="Saída 9 2 3 2 5 2" xfId="25728"/>
    <cellStyle name="Saída 9 2 3 2 5 2 2" xfId="54907"/>
    <cellStyle name="Saída 9 2 3 2 5 3" xfId="40882"/>
    <cellStyle name="Saída 9 2 3 2 6" xfId="21300"/>
    <cellStyle name="Saída 9 2 3 2 6 2" xfId="50479"/>
    <cellStyle name="Saída 9 2 3 2 7" xfId="30930"/>
    <cellStyle name="Saída 9 2 3 3" xfId="2647"/>
    <cellStyle name="Saída 9 2 3 3 2" xfId="5815"/>
    <cellStyle name="Saída 9 2 3 3 2 2" xfId="14705"/>
    <cellStyle name="Saída 9 2 3 3 2 2 2" xfId="27528"/>
    <cellStyle name="Saída 9 2 3 3 2 2 2 2" xfId="56707"/>
    <cellStyle name="Saída 9 2 3 3 2 2 3" xfId="43886"/>
    <cellStyle name="Saída 9 2 3 3 2 3" xfId="23100"/>
    <cellStyle name="Saída 9 2 3 3 2 3 2" xfId="52279"/>
    <cellStyle name="Saída 9 2 3 3 2 4" xfId="34998"/>
    <cellStyle name="Saída 9 2 3 3 3" xfId="8737"/>
    <cellStyle name="Saída 9 2 3 3 3 2" xfId="16850"/>
    <cellStyle name="Saída 9 2 3 3 3 2 2" xfId="28846"/>
    <cellStyle name="Saída 9 2 3 3 3 2 2 2" xfId="58025"/>
    <cellStyle name="Saída 9 2 3 3 3 2 3" xfId="46031"/>
    <cellStyle name="Saída 9 2 3 3 3 3" xfId="24418"/>
    <cellStyle name="Saída 9 2 3 3 3 3 2" xfId="53597"/>
    <cellStyle name="Saída 9 2 3 3 3 4" xfId="37920"/>
    <cellStyle name="Saída 9 2 3 3 4" xfId="12337"/>
    <cellStyle name="Saída 9 2 3 3 4 2" xfId="26088"/>
    <cellStyle name="Saída 9 2 3 3 4 2 2" xfId="55267"/>
    <cellStyle name="Saída 9 2 3 3 4 3" xfId="41518"/>
    <cellStyle name="Saída 9 2 3 3 5" xfId="21660"/>
    <cellStyle name="Saída 9 2 3 3 5 2" xfId="50839"/>
    <cellStyle name="Saída 9 2 3 3 6" xfId="31830"/>
    <cellStyle name="Saída 9 2 3 4" xfId="4375"/>
    <cellStyle name="Saída 9 2 3 4 2" xfId="13581"/>
    <cellStyle name="Saída 9 2 3 4 2 2" xfId="26808"/>
    <cellStyle name="Saída 9 2 3 4 2 2 2" xfId="55987"/>
    <cellStyle name="Saída 9 2 3 4 2 3" xfId="42762"/>
    <cellStyle name="Saída 9 2 3 4 3" xfId="22380"/>
    <cellStyle name="Saída 9 2 3 4 3 2" xfId="51559"/>
    <cellStyle name="Saída 9 2 3 4 4" xfId="33558"/>
    <cellStyle name="Saída 9 2 3 5" xfId="9603"/>
    <cellStyle name="Saída 9 2 3 5 2" xfId="17468"/>
    <cellStyle name="Saída 9 2 3 5 2 2" xfId="29190"/>
    <cellStyle name="Saída 9 2 3 5 2 2 2" xfId="58369"/>
    <cellStyle name="Saída 9 2 3 5 2 3" xfId="46649"/>
    <cellStyle name="Saída 9 2 3 5 3" xfId="24762"/>
    <cellStyle name="Saída 9 2 3 5 3 2" xfId="53941"/>
    <cellStyle name="Saída 9 2 3 5 4" xfId="38786"/>
    <cellStyle name="Saída 9 2 3 6" xfId="11040"/>
    <cellStyle name="Saída 9 2 3 6 2" xfId="25344"/>
    <cellStyle name="Saída 9 2 3 6 2 2" xfId="54523"/>
    <cellStyle name="Saída 9 2 3 6 3" xfId="40221"/>
    <cellStyle name="Saída 9 2 3 7" xfId="20916"/>
    <cellStyle name="Saída 9 2 3 7 2" xfId="50095"/>
    <cellStyle name="Saída 9 2 3 8" xfId="30006"/>
    <cellStyle name="Saída 9 2 4" xfId="1001"/>
    <cellStyle name="Saída 9 2 4 2" xfId="1911"/>
    <cellStyle name="Saída 9 2 4 2 2" xfId="3711"/>
    <cellStyle name="Saída 9 2 4 2 2 2" xfId="6663"/>
    <cellStyle name="Saída 9 2 4 2 2 2 2" xfId="15364"/>
    <cellStyle name="Saída 9 2 4 2 2 2 2 2" xfId="27962"/>
    <cellStyle name="Saída 9 2 4 2 2 2 2 2 2" xfId="57141"/>
    <cellStyle name="Saída 9 2 4 2 2 2 2 3" xfId="44545"/>
    <cellStyle name="Saída 9 2 4 2 2 2 3" xfId="23534"/>
    <cellStyle name="Saída 9 2 4 2 2 2 3 2" xfId="52713"/>
    <cellStyle name="Saída 9 2 4 2 2 2 4" xfId="35846"/>
    <cellStyle name="Saída 9 2 4 2 2 3" xfId="10458"/>
    <cellStyle name="Saída 9 2 4 2 2 3 2" xfId="18076"/>
    <cellStyle name="Saída 9 2 4 2 2 3 2 2" xfId="29525"/>
    <cellStyle name="Saída 9 2 4 2 2 3 2 2 2" xfId="58704"/>
    <cellStyle name="Saída 9 2 4 2 2 3 2 3" xfId="47257"/>
    <cellStyle name="Saída 9 2 4 2 2 3 3" xfId="25097"/>
    <cellStyle name="Saída 9 2 4 2 2 3 3 2" xfId="54276"/>
    <cellStyle name="Saída 9 2 4 2 2 3 4" xfId="39641"/>
    <cellStyle name="Saída 9 2 4 2 2 4" xfId="13095"/>
    <cellStyle name="Saída 9 2 4 2 2 4 2" xfId="26522"/>
    <cellStyle name="Saída 9 2 4 2 2 4 2 2" xfId="55701"/>
    <cellStyle name="Saída 9 2 4 2 2 4 3" xfId="42276"/>
    <cellStyle name="Saída 9 2 4 2 2 5" xfId="22094"/>
    <cellStyle name="Saída 9 2 4 2 2 5 2" xfId="51273"/>
    <cellStyle name="Saída 9 2 4 2 2 6" xfId="32894"/>
    <cellStyle name="Saída 9 2 4 2 3" xfId="5223"/>
    <cellStyle name="Saída 9 2 4 2 3 2" xfId="14242"/>
    <cellStyle name="Saída 9 2 4 2 3 2 2" xfId="27242"/>
    <cellStyle name="Saída 9 2 4 2 3 2 2 2" xfId="56421"/>
    <cellStyle name="Saída 9 2 4 2 3 2 3" xfId="43423"/>
    <cellStyle name="Saída 9 2 4 2 3 3" xfId="22814"/>
    <cellStyle name="Saída 9 2 4 2 3 3 2" xfId="51993"/>
    <cellStyle name="Saída 9 2 4 2 3 4" xfId="34406"/>
    <cellStyle name="Saída 9 2 4 2 4" xfId="7795"/>
    <cellStyle name="Saída 9 2 4 2 4 2" xfId="16179"/>
    <cellStyle name="Saída 9 2 4 2 4 2 2" xfId="28475"/>
    <cellStyle name="Saída 9 2 4 2 4 2 2 2" xfId="57654"/>
    <cellStyle name="Saída 9 2 4 2 4 2 3" xfId="45360"/>
    <cellStyle name="Saída 9 2 4 2 4 3" xfId="24047"/>
    <cellStyle name="Saída 9 2 4 2 4 3 2" xfId="53226"/>
    <cellStyle name="Saída 9 2 4 2 4 4" xfId="36978"/>
    <cellStyle name="Saída 9 2 4 2 5" xfId="11819"/>
    <cellStyle name="Saída 9 2 4 2 5 2" xfId="25802"/>
    <cellStyle name="Saída 9 2 4 2 5 2 2" xfId="54981"/>
    <cellStyle name="Saída 9 2 4 2 5 3" xfId="41000"/>
    <cellStyle name="Saída 9 2 4 2 6" xfId="21374"/>
    <cellStyle name="Saída 9 2 4 2 6 2" xfId="50553"/>
    <cellStyle name="Saída 9 2 4 2 7" xfId="31094"/>
    <cellStyle name="Saída 9 2 4 3" xfId="2811"/>
    <cellStyle name="Saída 9 2 4 3 2" xfId="5943"/>
    <cellStyle name="Saída 9 2 4 3 2 2" xfId="14806"/>
    <cellStyle name="Saída 9 2 4 3 2 2 2" xfId="27602"/>
    <cellStyle name="Saída 9 2 4 3 2 2 2 2" xfId="56781"/>
    <cellStyle name="Saída 9 2 4 3 2 2 3" xfId="43987"/>
    <cellStyle name="Saída 9 2 4 3 2 3" xfId="23174"/>
    <cellStyle name="Saída 9 2 4 3 2 3 2" xfId="52353"/>
    <cellStyle name="Saída 9 2 4 3 2 4" xfId="35126"/>
    <cellStyle name="Saída 9 2 4 3 3" xfId="8595"/>
    <cellStyle name="Saída 9 2 4 3 3 2" xfId="16746"/>
    <cellStyle name="Saída 9 2 4 3 3 2 2" xfId="28782"/>
    <cellStyle name="Saída 9 2 4 3 3 2 2 2" xfId="57961"/>
    <cellStyle name="Saída 9 2 4 3 3 2 3" xfId="45927"/>
    <cellStyle name="Saída 9 2 4 3 3 3" xfId="24354"/>
    <cellStyle name="Saída 9 2 4 3 3 3 2" xfId="53533"/>
    <cellStyle name="Saída 9 2 4 3 3 4" xfId="37778"/>
    <cellStyle name="Saída 9 2 4 3 4" xfId="12456"/>
    <cellStyle name="Saída 9 2 4 3 4 2" xfId="26162"/>
    <cellStyle name="Saída 9 2 4 3 4 2 2" xfId="55341"/>
    <cellStyle name="Saída 9 2 4 3 4 3" xfId="41637"/>
    <cellStyle name="Saída 9 2 4 3 5" xfId="21734"/>
    <cellStyle name="Saída 9 2 4 3 5 2" xfId="50913"/>
    <cellStyle name="Saída 9 2 4 3 6" xfId="31994"/>
    <cellStyle name="Saída 9 2 4 4" xfId="4503"/>
    <cellStyle name="Saída 9 2 4 4 2" xfId="13685"/>
    <cellStyle name="Saída 9 2 4 4 2 2" xfId="26882"/>
    <cellStyle name="Saída 9 2 4 4 2 2 2" xfId="56061"/>
    <cellStyle name="Saída 9 2 4 4 2 3" xfId="42866"/>
    <cellStyle name="Saída 9 2 4 4 3" xfId="22454"/>
    <cellStyle name="Saída 9 2 4 4 3 2" xfId="51633"/>
    <cellStyle name="Saída 9 2 4 4 4" xfId="33686"/>
    <cellStyle name="Saída 9 2 4 5" xfId="9145"/>
    <cellStyle name="Saída 9 2 4 5 2" xfId="17149"/>
    <cellStyle name="Saída 9 2 4 5 2 2" xfId="29008"/>
    <cellStyle name="Saída 9 2 4 5 2 2 2" xfId="58187"/>
    <cellStyle name="Saída 9 2 4 5 2 3" xfId="46330"/>
    <cellStyle name="Saída 9 2 4 5 3" xfId="24580"/>
    <cellStyle name="Saída 9 2 4 5 3 2" xfId="53759"/>
    <cellStyle name="Saída 9 2 4 5 4" xfId="38328"/>
    <cellStyle name="Saída 9 2 4 6" xfId="11182"/>
    <cellStyle name="Saída 9 2 4 6 2" xfId="25439"/>
    <cellStyle name="Saída 9 2 4 6 2 2" xfId="54618"/>
    <cellStyle name="Saída 9 2 4 6 3" xfId="40363"/>
    <cellStyle name="Saída 9 2 4 7" xfId="21011"/>
    <cellStyle name="Saída 9 2 4 7 2" xfId="50190"/>
    <cellStyle name="Saída 9 2 4 8" xfId="30191"/>
    <cellStyle name="Saída 9 2 5" xfId="1151"/>
    <cellStyle name="Saída 9 2 5 2" xfId="2055"/>
    <cellStyle name="Saída 9 2 5 2 2" xfId="3855"/>
    <cellStyle name="Saída 9 2 5 2 2 2" xfId="6780"/>
    <cellStyle name="Saída 9 2 5 2 2 2 2" xfId="15456"/>
    <cellStyle name="Saída 9 2 5 2 2 2 2 2" xfId="28025"/>
    <cellStyle name="Saída 9 2 5 2 2 2 2 2 2" xfId="57204"/>
    <cellStyle name="Saída 9 2 5 2 2 2 2 3" xfId="44637"/>
    <cellStyle name="Saída 9 2 5 2 2 2 3" xfId="23597"/>
    <cellStyle name="Saída 9 2 5 2 2 2 3 2" xfId="52776"/>
    <cellStyle name="Saída 9 2 5 2 2 2 4" xfId="35963"/>
    <cellStyle name="Saída 9 2 5 2 2 3" xfId="9187"/>
    <cellStyle name="Saída 9 2 5 2 2 3 2" xfId="17184"/>
    <cellStyle name="Saída 9 2 5 2 2 3 2 2" xfId="29027"/>
    <cellStyle name="Saída 9 2 5 2 2 3 2 2 2" xfId="58206"/>
    <cellStyle name="Saída 9 2 5 2 2 3 2 3" xfId="46365"/>
    <cellStyle name="Saída 9 2 5 2 2 3 3" xfId="24599"/>
    <cellStyle name="Saída 9 2 5 2 2 3 3 2" xfId="53778"/>
    <cellStyle name="Saída 9 2 5 2 2 3 4" xfId="38370"/>
    <cellStyle name="Saída 9 2 5 2 2 4" xfId="13195"/>
    <cellStyle name="Saída 9 2 5 2 2 4 2" xfId="26585"/>
    <cellStyle name="Saída 9 2 5 2 2 4 2 2" xfId="55764"/>
    <cellStyle name="Saída 9 2 5 2 2 4 3" xfId="42376"/>
    <cellStyle name="Saída 9 2 5 2 2 5" xfId="22157"/>
    <cellStyle name="Saída 9 2 5 2 2 5 2" xfId="51336"/>
    <cellStyle name="Saída 9 2 5 2 2 6" xfId="33038"/>
    <cellStyle name="Saída 9 2 5 2 3" xfId="5340"/>
    <cellStyle name="Saída 9 2 5 2 3 2" xfId="14335"/>
    <cellStyle name="Saída 9 2 5 2 3 2 2" xfId="27305"/>
    <cellStyle name="Saída 9 2 5 2 3 2 2 2" xfId="56484"/>
    <cellStyle name="Saída 9 2 5 2 3 2 3" xfId="43516"/>
    <cellStyle name="Saída 9 2 5 2 3 3" xfId="22877"/>
    <cellStyle name="Saída 9 2 5 2 3 3 2" xfId="52056"/>
    <cellStyle name="Saída 9 2 5 2 3 4" xfId="34523"/>
    <cellStyle name="Saída 9 2 5 2 4" xfId="8361"/>
    <cellStyle name="Saída 9 2 5 2 4 2" xfId="16586"/>
    <cellStyle name="Saída 9 2 5 2 4 2 2" xfId="28697"/>
    <cellStyle name="Saída 9 2 5 2 4 2 2 2" xfId="57876"/>
    <cellStyle name="Saída 9 2 5 2 4 2 3" xfId="45767"/>
    <cellStyle name="Saída 9 2 5 2 4 3" xfId="24269"/>
    <cellStyle name="Saída 9 2 5 2 4 3 2" xfId="53448"/>
    <cellStyle name="Saída 9 2 5 2 4 4" xfId="37544"/>
    <cellStyle name="Saída 9 2 5 2 5" xfId="11920"/>
    <cellStyle name="Saída 9 2 5 2 5 2" xfId="25865"/>
    <cellStyle name="Saída 9 2 5 2 5 2 2" xfId="55044"/>
    <cellStyle name="Saída 9 2 5 2 5 3" xfId="41101"/>
    <cellStyle name="Saída 9 2 5 2 6" xfId="21437"/>
    <cellStyle name="Saída 9 2 5 2 6 2" xfId="50616"/>
    <cellStyle name="Saída 9 2 5 2 7" xfId="31238"/>
    <cellStyle name="Saída 9 2 5 3" xfId="2955"/>
    <cellStyle name="Saída 9 2 5 3 2" xfId="6060"/>
    <cellStyle name="Saída 9 2 5 3 2 2" xfId="14897"/>
    <cellStyle name="Saída 9 2 5 3 2 2 2" xfId="27665"/>
    <cellStyle name="Saída 9 2 5 3 2 2 2 2" xfId="56844"/>
    <cellStyle name="Saída 9 2 5 3 2 2 3" xfId="44078"/>
    <cellStyle name="Saída 9 2 5 3 2 3" xfId="23237"/>
    <cellStyle name="Saída 9 2 5 3 2 3 2" xfId="52416"/>
    <cellStyle name="Saída 9 2 5 3 2 4" xfId="35243"/>
    <cellStyle name="Saída 9 2 5 3 3" xfId="9889"/>
    <cellStyle name="Saída 9 2 5 3 3 2" xfId="17683"/>
    <cellStyle name="Saída 9 2 5 3 3 2 2" xfId="29306"/>
    <cellStyle name="Saída 9 2 5 3 3 2 2 2" xfId="58485"/>
    <cellStyle name="Saída 9 2 5 3 3 2 3" xfId="46864"/>
    <cellStyle name="Saída 9 2 5 3 3 3" xfId="24878"/>
    <cellStyle name="Saída 9 2 5 3 3 3 2" xfId="54057"/>
    <cellStyle name="Saída 9 2 5 3 3 4" xfId="39072"/>
    <cellStyle name="Saída 9 2 5 3 4" xfId="12559"/>
    <cellStyle name="Saída 9 2 5 3 4 2" xfId="26225"/>
    <cellStyle name="Saída 9 2 5 3 4 2 2" xfId="55404"/>
    <cellStyle name="Saída 9 2 5 3 4 3" xfId="41740"/>
    <cellStyle name="Saída 9 2 5 3 5" xfId="21797"/>
    <cellStyle name="Saída 9 2 5 3 5 2" xfId="50976"/>
    <cellStyle name="Saída 9 2 5 3 6" xfId="32138"/>
    <cellStyle name="Saída 9 2 5 4" xfId="4620"/>
    <cellStyle name="Saída 9 2 5 4 2" xfId="13778"/>
    <cellStyle name="Saída 9 2 5 4 2 2" xfId="26945"/>
    <cellStyle name="Saída 9 2 5 4 2 2 2" xfId="56124"/>
    <cellStyle name="Saída 9 2 5 4 2 3" xfId="42959"/>
    <cellStyle name="Saída 9 2 5 4 3" xfId="22517"/>
    <cellStyle name="Saída 9 2 5 4 3 2" xfId="51696"/>
    <cellStyle name="Saída 9 2 5 4 4" xfId="33803"/>
    <cellStyle name="Saída 9 2 5 5" xfId="8793"/>
    <cellStyle name="Saída 9 2 5 5 2" xfId="16894"/>
    <cellStyle name="Saída 9 2 5 5 2 2" xfId="28866"/>
    <cellStyle name="Saída 9 2 5 5 2 2 2" xfId="58045"/>
    <cellStyle name="Saída 9 2 5 5 2 3" xfId="46075"/>
    <cellStyle name="Saída 9 2 5 5 3" xfId="24438"/>
    <cellStyle name="Saída 9 2 5 5 3 2" xfId="53617"/>
    <cellStyle name="Saída 9 2 5 5 4" xfId="37976"/>
    <cellStyle name="Saída 9 2 5 6" xfId="11288"/>
    <cellStyle name="Saída 9 2 5 6 2" xfId="25505"/>
    <cellStyle name="Saída 9 2 5 6 2 2" xfId="54684"/>
    <cellStyle name="Saída 9 2 5 6 3" xfId="40469"/>
    <cellStyle name="Saída 9 2 5 7" xfId="21077"/>
    <cellStyle name="Saída 9 2 5 7 2" xfId="50256"/>
    <cellStyle name="Saída 9 2 5 8" xfId="30338"/>
    <cellStyle name="Saída 9 2 6" xfId="1297"/>
    <cellStyle name="Saída 9 2 6 2" xfId="2199"/>
    <cellStyle name="Saída 9 2 6 2 2" xfId="3999"/>
    <cellStyle name="Saída 9 2 6 2 2 2" xfId="6897"/>
    <cellStyle name="Saída 9 2 6 2 2 2 2" xfId="15551"/>
    <cellStyle name="Saída 9 2 6 2 2 2 2 2" xfId="28088"/>
    <cellStyle name="Saída 9 2 6 2 2 2 2 2 2" xfId="57267"/>
    <cellStyle name="Saída 9 2 6 2 2 2 2 3" xfId="44732"/>
    <cellStyle name="Saída 9 2 6 2 2 2 3" xfId="23660"/>
    <cellStyle name="Saída 9 2 6 2 2 2 3 2" xfId="52839"/>
    <cellStyle name="Saída 9 2 6 2 2 2 4" xfId="36080"/>
    <cellStyle name="Saída 9 2 6 2 2 3" xfId="7081"/>
    <cellStyle name="Saída 9 2 6 2 2 3 2" xfId="15681"/>
    <cellStyle name="Saída 9 2 6 2 2 3 2 2" xfId="28180"/>
    <cellStyle name="Saída 9 2 6 2 2 3 2 2 2" xfId="57359"/>
    <cellStyle name="Saída 9 2 6 2 2 3 2 3" xfId="44862"/>
    <cellStyle name="Saída 9 2 6 2 2 3 3" xfId="23752"/>
    <cellStyle name="Saída 9 2 6 2 2 3 3 2" xfId="52931"/>
    <cellStyle name="Saída 9 2 6 2 2 3 4" xfId="36264"/>
    <cellStyle name="Saída 9 2 6 2 2 4" xfId="13300"/>
    <cellStyle name="Saída 9 2 6 2 2 4 2" xfId="26648"/>
    <cellStyle name="Saída 9 2 6 2 2 4 2 2" xfId="55827"/>
    <cellStyle name="Saída 9 2 6 2 2 4 3" xfId="42481"/>
    <cellStyle name="Saída 9 2 6 2 2 5" xfId="22220"/>
    <cellStyle name="Saída 9 2 6 2 2 5 2" xfId="51399"/>
    <cellStyle name="Saída 9 2 6 2 2 6" xfId="33182"/>
    <cellStyle name="Saída 9 2 6 2 3" xfId="5457"/>
    <cellStyle name="Saída 9 2 6 2 3 2" xfId="14431"/>
    <cellStyle name="Saída 9 2 6 2 3 2 2" xfId="27368"/>
    <cellStyle name="Saída 9 2 6 2 3 2 2 2" xfId="56547"/>
    <cellStyle name="Saída 9 2 6 2 3 2 3" xfId="43612"/>
    <cellStyle name="Saída 9 2 6 2 3 3" xfId="22940"/>
    <cellStyle name="Saída 9 2 6 2 3 3 2" xfId="52119"/>
    <cellStyle name="Saída 9 2 6 2 3 4" xfId="34640"/>
    <cellStyle name="Saída 9 2 6 2 4" xfId="8899"/>
    <cellStyle name="Saída 9 2 6 2 4 2" xfId="16978"/>
    <cellStyle name="Saída 9 2 6 2 4 2 2" xfId="28912"/>
    <cellStyle name="Saída 9 2 6 2 4 2 2 2" xfId="58091"/>
    <cellStyle name="Saída 9 2 6 2 4 2 3" xfId="46159"/>
    <cellStyle name="Saída 9 2 6 2 4 3" xfId="24484"/>
    <cellStyle name="Saída 9 2 6 2 4 3 2" xfId="53663"/>
    <cellStyle name="Saída 9 2 6 2 4 4" xfId="38082"/>
    <cellStyle name="Saída 9 2 6 2 5" xfId="12024"/>
    <cellStyle name="Saída 9 2 6 2 5 2" xfId="25928"/>
    <cellStyle name="Saída 9 2 6 2 5 2 2" xfId="55107"/>
    <cellStyle name="Saída 9 2 6 2 5 3" xfId="41205"/>
    <cellStyle name="Saída 9 2 6 2 6" xfId="21500"/>
    <cellStyle name="Saída 9 2 6 2 6 2" xfId="50679"/>
    <cellStyle name="Saída 9 2 6 2 7" xfId="31382"/>
    <cellStyle name="Saída 9 2 6 3" xfId="3099"/>
    <cellStyle name="Saída 9 2 6 3 2" xfId="6177"/>
    <cellStyle name="Saída 9 2 6 3 2 2" xfId="14992"/>
    <cellStyle name="Saída 9 2 6 3 2 2 2" xfId="27728"/>
    <cellStyle name="Saída 9 2 6 3 2 2 2 2" xfId="56907"/>
    <cellStyle name="Saída 9 2 6 3 2 2 3" xfId="44173"/>
    <cellStyle name="Saída 9 2 6 3 2 3" xfId="23300"/>
    <cellStyle name="Saída 9 2 6 3 2 3 2" xfId="52479"/>
    <cellStyle name="Saída 9 2 6 3 2 4" xfId="35360"/>
    <cellStyle name="Saída 9 2 6 3 3" xfId="10426"/>
    <cellStyle name="Saída 9 2 6 3 3 2" xfId="18056"/>
    <cellStyle name="Saída 9 2 6 3 3 2 2" xfId="29515"/>
    <cellStyle name="Saída 9 2 6 3 3 2 2 2" xfId="58694"/>
    <cellStyle name="Saída 9 2 6 3 3 2 3" xfId="47237"/>
    <cellStyle name="Saída 9 2 6 3 3 3" xfId="25087"/>
    <cellStyle name="Saída 9 2 6 3 3 3 2" xfId="54266"/>
    <cellStyle name="Saída 9 2 6 3 3 4" xfId="39609"/>
    <cellStyle name="Saída 9 2 6 3 4" xfId="12662"/>
    <cellStyle name="Saída 9 2 6 3 4 2" xfId="26288"/>
    <cellStyle name="Saída 9 2 6 3 4 2 2" xfId="55467"/>
    <cellStyle name="Saída 9 2 6 3 4 3" xfId="41843"/>
    <cellStyle name="Saída 9 2 6 3 5" xfId="21860"/>
    <cellStyle name="Saída 9 2 6 3 5 2" xfId="51039"/>
    <cellStyle name="Saída 9 2 6 3 6" xfId="32282"/>
    <cellStyle name="Saída 9 2 6 4" xfId="4737"/>
    <cellStyle name="Saída 9 2 6 4 2" xfId="13869"/>
    <cellStyle name="Saída 9 2 6 4 2 2" xfId="27008"/>
    <cellStyle name="Saída 9 2 6 4 2 2 2" xfId="56187"/>
    <cellStyle name="Saída 9 2 6 4 2 3" xfId="43050"/>
    <cellStyle name="Saída 9 2 6 4 3" xfId="22580"/>
    <cellStyle name="Saída 9 2 6 4 3 2" xfId="51759"/>
    <cellStyle name="Saída 9 2 6 4 4" xfId="33920"/>
    <cellStyle name="Saída 9 2 6 5" xfId="9342"/>
    <cellStyle name="Saída 9 2 6 5 2" xfId="17298"/>
    <cellStyle name="Saída 9 2 6 5 2 2" xfId="29087"/>
    <cellStyle name="Saída 9 2 6 5 2 2 2" xfId="58266"/>
    <cellStyle name="Saída 9 2 6 5 2 3" xfId="46479"/>
    <cellStyle name="Saída 9 2 6 5 3" xfId="24659"/>
    <cellStyle name="Saída 9 2 6 5 3 2" xfId="53838"/>
    <cellStyle name="Saída 9 2 6 5 4" xfId="38525"/>
    <cellStyle name="Saída 9 2 6 6" xfId="11394"/>
    <cellStyle name="Saída 9 2 6 6 2" xfId="25568"/>
    <cellStyle name="Saída 9 2 6 6 2 2" xfId="54747"/>
    <cellStyle name="Saída 9 2 6 6 3" xfId="40575"/>
    <cellStyle name="Saída 9 2 6 7" xfId="21140"/>
    <cellStyle name="Saída 9 2 6 7 2" xfId="50319"/>
    <cellStyle name="Saída 9 2 6 8" xfId="30482"/>
    <cellStyle name="Saída 9 2 7" xfId="1479"/>
    <cellStyle name="Saída 9 2 7 2" xfId="3279"/>
    <cellStyle name="Saída 9 2 7 2 2" xfId="6321"/>
    <cellStyle name="Saída 9 2 7 2 2 2" xfId="15095"/>
    <cellStyle name="Saída 9 2 7 2 2 2 2" xfId="27800"/>
    <cellStyle name="Saída 9 2 7 2 2 2 2 2" xfId="56979"/>
    <cellStyle name="Saída 9 2 7 2 2 2 3" xfId="44276"/>
    <cellStyle name="Saída 9 2 7 2 2 3" xfId="23372"/>
    <cellStyle name="Saída 9 2 7 2 2 3 2" xfId="52551"/>
    <cellStyle name="Saída 9 2 7 2 2 4" xfId="35504"/>
    <cellStyle name="Saída 9 2 7 2 3" xfId="8730"/>
    <cellStyle name="Saída 9 2 7 2 3 2" xfId="16847"/>
    <cellStyle name="Saída 9 2 7 2 3 2 2" xfId="28843"/>
    <cellStyle name="Saída 9 2 7 2 3 2 2 2" xfId="58022"/>
    <cellStyle name="Saída 9 2 7 2 3 2 3" xfId="46028"/>
    <cellStyle name="Saída 9 2 7 2 3 3" xfId="24415"/>
    <cellStyle name="Saída 9 2 7 2 3 3 2" xfId="53594"/>
    <cellStyle name="Saída 9 2 7 2 3 4" xfId="37913"/>
    <cellStyle name="Saída 9 2 7 2 4" xfId="12786"/>
    <cellStyle name="Saída 9 2 7 2 4 2" xfId="26360"/>
    <cellStyle name="Saída 9 2 7 2 4 2 2" xfId="55539"/>
    <cellStyle name="Saída 9 2 7 2 4 3" xfId="41967"/>
    <cellStyle name="Saída 9 2 7 2 5" xfId="21932"/>
    <cellStyle name="Saída 9 2 7 2 5 2" xfId="51111"/>
    <cellStyle name="Saída 9 2 7 2 6" xfId="32462"/>
    <cellStyle name="Saída 9 2 7 3" xfId="4881"/>
    <cellStyle name="Saída 9 2 7 3 2" xfId="13971"/>
    <cellStyle name="Saída 9 2 7 3 2 2" xfId="27080"/>
    <cellStyle name="Saída 9 2 7 3 2 2 2" xfId="56259"/>
    <cellStyle name="Saída 9 2 7 3 2 3" xfId="43152"/>
    <cellStyle name="Saída 9 2 7 3 3" xfId="22652"/>
    <cellStyle name="Saída 9 2 7 3 3 2" xfId="51831"/>
    <cellStyle name="Saída 9 2 7 3 4" xfId="34064"/>
    <cellStyle name="Saída 9 2 7 4" xfId="8533"/>
    <cellStyle name="Saída 9 2 7 4 2" xfId="16702"/>
    <cellStyle name="Saída 9 2 7 4 2 2" xfId="28757"/>
    <cellStyle name="Saída 9 2 7 4 2 2 2" xfId="57936"/>
    <cellStyle name="Saída 9 2 7 4 2 3" xfId="45883"/>
    <cellStyle name="Saída 9 2 7 4 3" xfId="24329"/>
    <cellStyle name="Saída 9 2 7 4 3 2" xfId="53508"/>
    <cellStyle name="Saída 9 2 7 4 4" xfId="37716"/>
    <cellStyle name="Saída 9 2 7 5" xfId="11516"/>
    <cellStyle name="Saída 9 2 7 5 2" xfId="25640"/>
    <cellStyle name="Saída 9 2 7 5 2 2" xfId="54819"/>
    <cellStyle name="Saída 9 2 7 5 3" xfId="40697"/>
    <cellStyle name="Saída 9 2 7 6" xfId="21212"/>
    <cellStyle name="Saída 9 2 7 6 2" xfId="50391"/>
    <cellStyle name="Saída 9 2 7 7" xfId="30662"/>
    <cellStyle name="Saída 9 2 8" xfId="2379"/>
    <cellStyle name="Saída 9 2 8 2" xfId="5601"/>
    <cellStyle name="Saída 9 2 8 2 2" xfId="14536"/>
    <cellStyle name="Saída 9 2 8 2 2 2" xfId="27440"/>
    <cellStyle name="Saída 9 2 8 2 2 2 2" xfId="56619"/>
    <cellStyle name="Saída 9 2 8 2 2 3" xfId="43717"/>
    <cellStyle name="Saída 9 2 8 2 3" xfId="23012"/>
    <cellStyle name="Saída 9 2 8 2 3 2" xfId="52191"/>
    <cellStyle name="Saída 9 2 8 2 4" xfId="34784"/>
    <cellStyle name="Saída 9 2 8 3" xfId="7530"/>
    <cellStyle name="Saída 9 2 8 3 2" xfId="15996"/>
    <cellStyle name="Saída 9 2 8 3 2 2" xfId="28376"/>
    <cellStyle name="Saída 9 2 8 3 2 2 2" xfId="57555"/>
    <cellStyle name="Saída 9 2 8 3 2 3" xfId="45177"/>
    <cellStyle name="Saída 9 2 8 3 3" xfId="23948"/>
    <cellStyle name="Saída 9 2 8 3 3 2" xfId="53127"/>
    <cellStyle name="Saída 9 2 8 3 4" xfId="36713"/>
    <cellStyle name="Saída 9 2 8 4" xfId="12145"/>
    <cellStyle name="Saída 9 2 8 4 2" xfId="26000"/>
    <cellStyle name="Saída 9 2 8 4 2 2" xfId="55179"/>
    <cellStyle name="Saída 9 2 8 4 3" xfId="41326"/>
    <cellStyle name="Saída 9 2 8 5" xfId="21572"/>
    <cellStyle name="Saída 9 2 8 5 2" xfId="50751"/>
    <cellStyle name="Saída 9 2 8 6" xfId="31562"/>
    <cellStyle name="Saída 9 2 9" xfId="4161"/>
    <cellStyle name="Saída 9 2 9 2" xfId="13414"/>
    <cellStyle name="Saída 9 2 9 2 2" xfId="26720"/>
    <cellStyle name="Saída 9 2 9 2 2 2" xfId="55899"/>
    <cellStyle name="Saída 9 2 9 2 3" xfId="42595"/>
    <cellStyle name="Saída 9 2 9 3" xfId="22292"/>
    <cellStyle name="Saída 9 2 9 3 2" xfId="51471"/>
    <cellStyle name="Saída 9 2 9 4" xfId="33344"/>
    <cellStyle name="Saída 9 3" xfId="501"/>
    <cellStyle name="Saída 9 3 10" xfId="10799"/>
    <cellStyle name="Saída 9 3 10 2" xfId="25198"/>
    <cellStyle name="Saída 9 3 10 2 2" xfId="54377"/>
    <cellStyle name="Saída 9 3 10 3" xfId="39980"/>
    <cellStyle name="Saída 9 3 11" xfId="20770"/>
    <cellStyle name="Saída 9 3 11 2" xfId="49949"/>
    <cellStyle name="Saída 9 3 12" xfId="29707"/>
    <cellStyle name="Saída 9 3 2" xfId="854"/>
    <cellStyle name="Saída 9 3 2 2" xfId="1792"/>
    <cellStyle name="Saída 9 3 2 2 2" xfId="3592"/>
    <cellStyle name="Saída 9 3 2 2 2 2" xfId="6571"/>
    <cellStyle name="Saída 9 3 2 2 2 2 2" xfId="15288"/>
    <cellStyle name="Saída 9 3 2 2 2 2 2 2" xfId="27906"/>
    <cellStyle name="Saída 9 3 2 2 2 2 2 2 2" xfId="57085"/>
    <cellStyle name="Saída 9 3 2 2 2 2 2 3" xfId="44469"/>
    <cellStyle name="Saída 9 3 2 2 2 2 3" xfId="23478"/>
    <cellStyle name="Saída 9 3 2 2 2 2 3 2" xfId="52657"/>
    <cellStyle name="Saída 9 3 2 2 2 2 4" xfId="35754"/>
    <cellStyle name="Saída 9 3 2 2 2 3" xfId="8189"/>
    <cellStyle name="Saída 9 3 2 2 2 3 2" xfId="16456"/>
    <cellStyle name="Saída 9 3 2 2 2 3 2 2" xfId="28629"/>
    <cellStyle name="Saída 9 3 2 2 2 3 2 2 2" xfId="57808"/>
    <cellStyle name="Saída 9 3 2 2 2 3 2 3" xfId="45637"/>
    <cellStyle name="Saída 9 3 2 2 2 3 3" xfId="24201"/>
    <cellStyle name="Saída 9 3 2 2 2 3 3 2" xfId="53380"/>
    <cellStyle name="Saída 9 3 2 2 2 3 4" xfId="37372"/>
    <cellStyle name="Saída 9 3 2 2 2 4" xfId="13004"/>
    <cellStyle name="Saída 9 3 2 2 2 4 2" xfId="26466"/>
    <cellStyle name="Saída 9 3 2 2 2 4 2 2" xfId="55645"/>
    <cellStyle name="Saída 9 3 2 2 2 4 3" xfId="42185"/>
    <cellStyle name="Saída 9 3 2 2 2 5" xfId="22038"/>
    <cellStyle name="Saída 9 3 2 2 2 5 2" xfId="51217"/>
    <cellStyle name="Saída 9 3 2 2 2 6" xfId="32775"/>
    <cellStyle name="Saída 9 3 2 2 3" xfId="5131"/>
    <cellStyle name="Saída 9 3 2 2 3 2" xfId="14165"/>
    <cellStyle name="Saída 9 3 2 2 3 2 2" xfId="27186"/>
    <cellStyle name="Saída 9 3 2 2 3 2 2 2" xfId="56365"/>
    <cellStyle name="Saída 9 3 2 2 3 2 3" xfId="43346"/>
    <cellStyle name="Saída 9 3 2 2 3 3" xfId="22758"/>
    <cellStyle name="Saída 9 3 2 2 3 3 2" xfId="51937"/>
    <cellStyle name="Saída 9 3 2 2 3 4" xfId="34314"/>
    <cellStyle name="Saída 9 3 2 2 4" xfId="7758"/>
    <cellStyle name="Saída 9 3 2 2 4 2" xfId="16155"/>
    <cellStyle name="Saída 9 3 2 2 4 2 2" xfId="28463"/>
    <cellStyle name="Saída 9 3 2 2 4 2 2 2" xfId="57642"/>
    <cellStyle name="Saída 9 3 2 2 4 2 3" xfId="45336"/>
    <cellStyle name="Saída 9 3 2 2 4 3" xfId="24035"/>
    <cellStyle name="Saída 9 3 2 2 4 3 2" xfId="53214"/>
    <cellStyle name="Saída 9 3 2 2 4 4" xfId="36941"/>
    <cellStyle name="Saída 9 3 2 2 5" xfId="11730"/>
    <cellStyle name="Saída 9 3 2 2 5 2" xfId="25746"/>
    <cellStyle name="Saída 9 3 2 2 5 2 2" xfId="54925"/>
    <cellStyle name="Saída 9 3 2 2 5 3" xfId="40911"/>
    <cellStyle name="Saída 9 3 2 2 6" xfId="21318"/>
    <cellStyle name="Saída 9 3 2 2 6 2" xfId="50497"/>
    <cellStyle name="Saída 9 3 2 2 7" xfId="30975"/>
    <cellStyle name="Saída 9 3 2 3" xfId="2692"/>
    <cellStyle name="Saída 9 3 2 3 2" xfId="5851"/>
    <cellStyle name="Saída 9 3 2 3 2 2" xfId="14732"/>
    <cellStyle name="Saída 9 3 2 3 2 2 2" xfId="27546"/>
    <cellStyle name="Saída 9 3 2 3 2 2 2 2" xfId="56725"/>
    <cellStyle name="Saída 9 3 2 3 2 2 3" xfId="43913"/>
    <cellStyle name="Saída 9 3 2 3 2 3" xfId="23118"/>
    <cellStyle name="Saída 9 3 2 3 2 3 2" xfId="52297"/>
    <cellStyle name="Saída 9 3 2 3 2 4" xfId="35034"/>
    <cellStyle name="Saída 9 3 2 3 3" xfId="8558"/>
    <cellStyle name="Saída 9 3 2 3 3 2" xfId="16719"/>
    <cellStyle name="Saída 9 3 2 3 3 2 2" xfId="28769"/>
    <cellStyle name="Saída 9 3 2 3 3 2 2 2" xfId="57948"/>
    <cellStyle name="Saída 9 3 2 3 3 2 3" xfId="45900"/>
    <cellStyle name="Saída 9 3 2 3 3 3" xfId="24341"/>
    <cellStyle name="Saída 9 3 2 3 3 3 2" xfId="53520"/>
    <cellStyle name="Saída 9 3 2 3 3 4" xfId="37741"/>
    <cellStyle name="Saída 9 3 2 3 4" xfId="12367"/>
    <cellStyle name="Saída 9 3 2 3 4 2" xfId="26106"/>
    <cellStyle name="Saída 9 3 2 3 4 2 2" xfId="55285"/>
    <cellStyle name="Saída 9 3 2 3 4 3" xfId="41548"/>
    <cellStyle name="Saída 9 3 2 3 5" xfId="21678"/>
    <cellStyle name="Saída 9 3 2 3 5 2" xfId="50857"/>
    <cellStyle name="Saída 9 3 2 3 6" xfId="31875"/>
    <cellStyle name="Saída 9 3 2 4" xfId="4411"/>
    <cellStyle name="Saída 9 3 2 4 2" xfId="13609"/>
    <cellStyle name="Saída 9 3 2 4 2 2" xfId="26826"/>
    <cellStyle name="Saída 9 3 2 4 2 2 2" xfId="56005"/>
    <cellStyle name="Saída 9 3 2 4 2 3" xfId="42790"/>
    <cellStyle name="Saída 9 3 2 4 3" xfId="22398"/>
    <cellStyle name="Saída 9 3 2 4 3 2" xfId="51577"/>
    <cellStyle name="Saída 9 3 2 4 4" xfId="33594"/>
    <cellStyle name="Saída 9 3 2 5" xfId="8756"/>
    <cellStyle name="Saída 9 3 2 5 2" xfId="16866"/>
    <cellStyle name="Saída 9 3 2 5 2 2" xfId="28853"/>
    <cellStyle name="Saída 9 3 2 5 2 2 2" xfId="58032"/>
    <cellStyle name="Saída 9 3 2 5 2 3" xfId="46047"/>
    <cellStyle name="Saída 9 3 2 5 3" xfId="24425"/>
    <cellStyle name="Saída 9 3 2 5 3 2" xfId="53604"/>
    <cellStyle name="Saída 9 3 2 5 4" xfId="37939"/>
    <cellStyle name="Saída 9 3 2 6" xfId="11069"/>
    <cellStyle name="Saída 9 3 2 6 2" xfId="25362"/>
    <cellStyle name="Saída 9 3 2 6 2 2" xfId="54541"/>
    <cellStyle name="Saída 9 3 2 6 3" xfId="40250"/>
    <cellStyle name="Saída 9 3 2 7" xfId="20934"/>
    <cellStyle name="Saída 9 3 2 7 2" xfId="50113"/>
    <cellStyle name="Saída 9 3 2 8" xfId="30051"/>
    <cellStyle name="Saída 9 3 3" xfId="1046"/>
    <cellStyle name="Saída 9 3 3 2" xfId="1956"/>
    <cellStyle name="Saída 9 3 3 2 2" xfId="3756"/>
    <cellStyle name="Saída 9 3 3 2 2 2" xfId="6699"/>
    <cellStyle name="Saída 9 3 3 2 2 2 2" xfId="15393"/>
    <cellStyle name="Saída 9 3 3 2 2 2 2 2" xfId="27980"/>
    <cellStyle name="Saída 9 3 3 2 2 2 2 2 2" xfId="57159"/>
    <cellStyle name="Saída 9 3 3 2 2 2 2 3" xfId="44574"/>
    <cellStyle name="Saída 9 3 3 2 2 2 3" xfId="23552"/>
    <cellStyle name="Saída 9 3 3 2 2 2 3 2" xfId="52731"/>
    <cellStyle name="Saída 9 3 3 2 2 2 4" xfId="35882"/>
    <cellStyle name="Saída 9 3 3 2 2 3" xfId="8067"/>
    <cellStyle name="Saída 9 3 3 2 2 3 2" xfId="16373"/>
    <cellStyle name="Saída 9 3 3 2 2 3 2 2" xfId="28584"/>
    <cellStyle name="Saída 9 3 3 2 2 3 2 2 2" xfId="57763"/>
    <cellStyle name="Saída 9 3 3 2 2 3 2 3" xfId="45554"/>
    <cellStyle name="Saída 9 3 3 2 2 3 3" xfId="24156"/>
    <cellStyle name="Saída 9 3 3 2 2 3 3 2" xfId="53335"/>
    <cellStyle name="Saída 9 3 3 2 2 3 4" xfId="37250"/>
    <cellStyle name="Saída 9 3 3 2 2 4" xfId="13126"/>
    <cellStyle name="Saída 9 3 3 2 2 4 2" xfId="26540"/>
    <cellStyle name="Saída 9 3 3 2 2 4 2 2" xfId="55719"/>
    <cellStyle name="Saída 9 3 3 2 2 4 3" xfId="42307"/>
    <cellStyle name="Saída 9 3 3 2 2 5" xfId="22112"/>
    <cellStyle name="Saída 9 3 3 2 2 5 2" xfId="51291"/>
    <cellStyle name="Saída 9 3 3 2 2 6" xfId="32939"/>
    <cellStyle name="Saída 9 3 3 2 3" xfId="5259"/>
    <cellStyle name="Saída 9 3 3 2 3 2" xfId="14272"/>
    <cellStyle name="Saída 9 3 3 2 3 2 2" xfId="27260"/>
    <cellStyle name="Saída 9 3 3 2 3 2 2 2" xfId="56439"/>
    <cellStyle name="Saída 9 3 3 2 3 2 3" xfId="43453"/>
    <cellStyle name="Saída 9 3 3 2 3 3" xfId="22832"/>
    <cellStyle name="Saída 9 3 3 2 3 3 2" xfId="52011"/>
    <cellStyle name="Saída 9 3 3 2 3 4" xfId="34442"/>
    <cellStyle name="Saída 9 3 3 2 4" xfId="8285"/>
    <cellStyle name="Saída 9 3 3 2 4 2" xfId="16530"/>
    <cellStyle name="Saída 9 3 3 2 4 2 2" xfId="28669"/>
    <cellStyle name="Saída 9 3 3 2 4 2 2 2" xfId="57848"/>
    <cellStyle name="Saída 9 3 3 2 4 2 3" xfId="45711"/>
    <cellStyle name="Saída 9 3 3 2 4 3" xfId="24241"/>
    <cellStyle name="Saída 9 3 3 2 4 3 2" xfId="53420"/>
    <cellStyle name="Saída 9 3 3 2 4 4" xfId="37468"/>
    <cellStyle name="Saída 9 3 3 2 5" xfId="11850"/>
    <cellStyle name="Saída 9 3 3 2 5 2" xfId="25820"/>
    <cellStyle name="Saída 9 3 3 2 5 2 2" xfId="54999"/>
    <cellStyle name="Saída 9 3 3 2 5 3" xfId="41031"/>
    <cellStyle name="Saída 9 3 3 2 6" xfId="21392"/>
    <cellStyle name="Saída 9 3 3 2 6 2" xfId="50571"/>
    <cellStyle name="Saída 9 3 3 2 7" xfId="31139"/>
    <cellStyle name="Saída 9 3 3 3" xfId="2856"/>
    <cellStyle name="Saída 9 3 3 3 2" xfId="5979"/>
    <cellStyle name="Saída 9 3 3 3 2 2" xfId="14836"/>
    <cellStyle name="Saída 9 3 3 3 2 2 2" xfId="27620"/>
    <cellStyle name="Saída 9 3 3 3 2 2 2 2" xfId="56799"/>
    <cellStyle name="Saída 9 3 3 3 2 2 3" xfId="44017"/>
    <cellStyle name="Saída 9 3 3 3 2 3" xfId="23192"/>
    <cellStyle name="Saída 9 3 3 3 2 3 2" xfId="52371"/>
    <cellStyle name="Saída 9 3 3 3 2 4" xfId="35162"/>
    <cellStyle name="Saída 9 3 3 3 3" xfId="9814"/>
    <cellStyle name="Saída 9 3 3 3 3 2" xfId="17632"/>
    <cellStyle name="Saída 9 3 3 3 3 2 2" xfId="29277"/>
    <cellStyle name="Saída 9 3 3 3 3 2 2 2" xfId="58456"/>
    <cellStyle name="Saída 9 3 3 3 3 2 3" xfId="46813"/>
    <cellStyle name="Saída 9 3 3 3 3 3" xfId="24849"/>
    <cellStyle name="Saída 9 3 3 3 3 3 2" xfId="54028"/>
    <cellStyle name="Saída 9 3 3 3 3 4" xfId="38997"/>
    <cellStyle name="Saída 9 3 3 3 4" xfId="12489"/>
    <cellStyle name="Saída 9 3 3 3 4 2" xfId="26180"/>
    <cellStyle name="Saída 9 3 3 3 4 2 2" xfId="55359"/>
    <cellStyle name="Saída 9 3 3 3 4 3" xfId="41670"/>
    <cellStyle name="Saída 9 3 3 3 5" xfId="21752"/>
    <cellStyle name="Saída 9 3 3 3 5 2" xfId="50931"/>
    <cellStyle name="Saída 9 3 3 3 6" xfId="32039"/>
    <cellStyle name="Saída 9 3 3 4" xfId="4539"/>
    <cellStyle name="Saída 9 3 3 4 2" xfId="13715"/>
    <cellStyle name="Saída 9 3 3 4 2 2" xfId="26900"/>
    <cellStyle name="Saída 9 3 3 4 2 2 2" xfId="56079"/>
    <cellStyle name="Saída 9 3 3 4 2 3" xfId="42896"/>
    <cellStyle name="Saída 9 3 3 4 3" xfId="22472"/>
    <cellStyle name="Saída 9 3 3 4 3 2" xfId="51651"/>
    <cellStyle name="Saída 9 3 3 4 4" xfId="33722"/>
    <cellStyle name="Saída 9 3 3 5" xfId="10488"/>
    <cellStyle name="Saída 9 3 3 5 2" xfId="18100"/>
    <cellStyle name="Saída 9 3 3 5 2 2" xfId="29537"/>
    <cellStyle name="Saída 9 3 3 5 2 2 2" xfId="58716"/>
    <cellStyle name="Saída 9 3 3 5 2 3" xfId="47281"/>
    <cellStyle name="Saída 9 3 3 5 3" xfId="25109"/>
    <cellStyle name="Saída 9 3 3 5 3 2" xfId="54288"/>
    <cellStyle name="Saída 9 3 3 5 4" xfId="39671"/>
    <cellStyle name="Saída 9 3 3 6" xfId="11213"/>
    <cellStyle name="Saída 9 3 3 6 2" xfId="25457"/>
    <cellStyle name="Saída 9 3 3 6 2 2" xfId="54636"/>
    <cellStyle name="Saída 9 3 3 6 3" xfId="40394"/>
    <cellStyle name="Saída 9 3 3 7" xfId="21029"/>
    <cellStyle name="Saída 9 3 3 7 2" xfId="50208"/>
    <cellStyle name="Saída 9 3 3 8" xfId="30236"/>
    <cellStyle name="Saída 9 3 4" xfId="1196"/>
    <cellStyle name="Saída 9 3 4 2" xfId="2100"/>
    <cellStyle name="Saída 9 3 4 2 2" xfId="3900"/>
    <cellStyle name="Saída 9 3 4 2 2 2" xfId="6816"/>
    <cellStyle name="Saída 9 3 4 2 2 2 2" xfId="15486"/>
    <cellStyle name="Saída 9 3 4 2 2 2 2 2" xfId="28043"/>
    <cellStyle name="Saída 9 3 4 2 2 2 2 2 2" xfId="57222"/>
    <cellStyle name="Saída 9 3 4 2 2 2 2 3" xfId="44667"/>
    <cellStyle name="Saída 9 3 4 2 2 2 3" xfId="23615"/>
    <cellStyle name="Saída 9 3 4 2 2 2 3 2" xfId="52794"/>
    <cellStyle name="Saída 9 3 4 2 2 2 4" xfId="35999"/>
    <cellStyle name="Saída 9 3 4 2 2 3" xfId="8645"/>
    <cellStyle name="Saída 9 3 4 2 2 3 2" xfId="16786"/>
    <cellStyle name="Saída 9 3 4 2 2 3 2 2" xfId="28807"/>
    <cellStyle name="Saída 9 3 4 2 2 3 2 2 2" xfId="57986"/>
    <cellStyle name="Saída 9 3 4 2 2 3 2 3" xfId="45967"/>
    <cellStyle name="Saída 9 3 4 2 2 3 3" xfId="24379"/>
    <cellStyle name="Saída 9 3 4 2 2 3 3 2" xfId="53558"/>
    <cellStyle name="Saída 9 3 4 2 2 3 4" xfId="37828"/>
    <cellStyle name="Saída 9 3 4 2 2 4" xfId="13228"/>
    <cellStyle name="Saída 9 3 4 2 2 4 2" xfId="26603"/>
    <cellStyle name="Saída 9 3 4 2 2 4 2 2" xfId="55782"/>
    <cellStyle name="Saída 9 3 4 2 2 4 3" xfId="42409"/>
    <cellStyle name="Saída 9 3 4 2 2 5" xfId="22175"/>
    <cellStyle name="Saída 9 3 4 2 2 5 2" xfId="51354"/>
    <cellStyle name="Saída 9 3 4 2 2 6" xfId="33083"/>
    <cellStyle name="Saída 9 3 4 2 3" xfId="5376"/>
    <cellStyle name="Saída 9 3 4 2 3 2" xfId="14364"/>
    <cellStyle name="Saída 9 3 4 2 3 2 2" xfId="27323"/>
    <cellStyle name="Saída 9 3 4 2 3 2 2 2" xfId="56502"/>
    <cellStyle name="Saída 9 3 4 2 3 2 3" xfId="43545"/>
    <cellStyle name="Saída 9 3 4 2 3 3" xfId="22895"/>
    <cellStyle name="Saída 9 3 4 2 3 3 2" xfId="52074"/>
    <cellStyle name="Saída 9 3 4 2 3 4" xfId="34559"/>
    <cellStyle name="Saída 9 3 4 2 4" xfId="8165"/>
    <cellStyle name="Saída 9 3 4 2 4 2" xfId="16440"/>
    <cellStyle name="Saída 9 3 4 2 4 2 2" xfId="28621"/>
    <cellStyle name="Saída 9 3 4 2 4 2 2 2" xfId="57800"/>
    <cellStyle name="Saída 9 3 4 2 4 2 3" xfId="45621"/>
    <cellStyle name="Saída 9 3 4 2 4 3" xfId="24193"/>
    <cellStyle name="Saída 9 3 4 2 4 3 2" xfId="53372"/>
    <cellStyle name="Saída 9 3 4 2 4 4" xfId="37348"/>
    <cellStyle name="Saída 9 3 4 2 5" xfId="11954"/>
    <cellStyle name="Saída 9 3 4 2 5 2" xfId="25883"/>
    <cellStyle name="Saída 9 3 4 2 5 2 2" xfId="55062"/>
    <cellStyle name="Saída 9 3 4 2 5 3" xfId="41135"/>
    <cellStyle name="Saída 9 3 4 2 6" xfId="21455"/>
    <cellStyle name="Saída 9 3 4 2 6 2" xfId="50634"/>
    <cellStyle name="Saída 9 3 4 2 7" xfId="31283"/>
    <cellStyle name="Saída 9 3 4 3" xfId="3000"/>
    <cellStyle name="Saída 9 3 4 3 2" xfId="6096"/>
    <cellStyle name="Saída 9 3 4 3 2 2" xfId="14925"/>
    <cellStyle name="Saída 9 3 4 3 2 2 2" xfId="27683"/>
    <cellStyle name="Saída 9 3 4 3 2 2 2 2" xfId="56862"/>
    <cellStyle name="Saída 9 3 4 3 2 2 3" xfId="44106"/>
    <cellStyle name="Saída 9 3 4 3 2 3" xfId="23255"/>
    <cellStyle name="Saída 9 3 4 3 2 3 2" xfId="52434"/>
    <cellStyle name="Saída 9 3 4 3 2 4" xfId="35279"/>
    <cellStyle name="Saída 9 3 4 3 3" xfId="8930"/>
    <cellStyle name="Saída 9 3 4 3 3 2" xfId="16997"/>
    <cellStyle name="Saída 9 3 4 3 3 2 2" xfId="28922"/>
    <cellStyle name="Saída 9 3 4 3 3 2 2 2" xfId="58101"/>
    <cellStyle name="Saída 9 3 4 3 3 2 3" xfId="46178"/>
    <cellStyle name="Saída 9 3 4 3 3 3" xfId="24494"/>
    <cellStyle name="Saída 9 3 4 3 3 3 2" xfId="53673"/>
    <cellStyle name="Saída 9 3 4 3 3 4" xfId="38113"/>
    <cellStyle name="Saída 9 3 4 3 4" xfId="12589"/>
    <cellStyle name="Saída 9 3 4 3 4 2" xfId="26243"/>
    <cellStyle name="Saída 9 3 4 3 4 2 2" xfId="55422"/>
    <cellStyle name="Saída 9 3 4 3 4 3" xfId="41770"/>
    <cellStyle name="Saída 9 3 4 3 5" xfId="21815"/>
    <cellStyle name="Saída 9 3 4 3 5 2" xfId="50994"/>
    <cellStyle name="Saída 9 3 4 3 6" xfId="32183"/>
    <cellStyle name="Saída 9 3 4 4" xfId="4656"/>
    <cellStyle name="Saída 9 3 4 4 2" xfId="13805"/>
    <cellStyle name="Saída 9 3 4 4 2 2" xfId="26963"/>
    <cellStyle name="Saída 9 3 4 4 2 2 2" xfId="56142"/>
    <cellStyle name="Saída 9 3 4 4 2 3" xfId="42986"/>
    <cellStyle name="Saída 9 3 4 4 3" xfId="22535"/>
    <cellStyle name="Saída 9 3 4 4 3 2" xfId="51714"/>
    <cellStyle name="Saída 9 3 4 4 4" xfId="33839"/>
    <cellStyle name="Saída 9 3 4 5" xfId="8382"/>
    <cellStyle name="Saída 9 3 4 5 2" xfId="16600"/>
    <cellStyle name="Saída 9 3 4 5 2 2" xfId="28705"/>
    <cellStyle name="Saída 9 3 4 5 2 2 2" xfId="57884"/>
    <cellStyle name="Saída 9 3 4 5 2 3" xfId="45781"/>
    <cellStyle name="Saída 9 3 4 5 3" xfId="24277"/>
    <cellStyle name="Saída 9 3 4 5 3 2" xfId="53456"/>
    <cellStyle name="Saída 9 3 4 5 4" xfId="37565"/>
    <cellStyle name="Saída 9 3 4 6" xfId="11323"/>
    <cellStyle name="Saída 9 3 4 6 2" xfId="25523"/>
    <cellStyle name="Saída 9 3 4 6 2 2" xfId="54702"/>
    <cellStyle name="Saída 9 3 4 6 3" xfId="40504"/>
    <cellStyle name="Saída 9 3 4 7" xfId="21095"/>
    <cellStyle name="Saída 9 3 4 7 2" xfId="50274"/>
    <cellStyle name="Saída 9 3 4 8" xfId="30383"/>
    <cellStyle name="Saída 9 3 5" xfId="1342"/>
    <cellStyle name="Saída 9 3 5 2" xfId="2244"/>
    <cellStyle name="Saída 9 3 5 2 2" xfId="4044"/>
    <cellStyle name="Saída 9 3 5 2 2 2" xfId="6933"/>
    <cellStyle name="Saída 9 3 5 2 2 2 2" xfId="15576"/>
    <cellStyle name="Saída 9 3 5 2 2 2 2 2" xfId="28106"/>
    <cellStyle name="Saída 9 3 5 2 2 2 2 2 2" xfId="57285"/>
    <cellStyle name="Saída 9 3 5 2 2 2 2 3" xfId="44757"/>
    <cellStyle name="Saída 9 3 5 2 2 2 3" xfId="23678"/>
    <cellStyle name="Saída 9 3 5 2 2 2 3 2" xfId="52857"/>
    <cellStyle name="Saída 9 3 5 2 2 2 4" xfId="36116"/>
    <cellStyle name="Saída 9 3 5 2 2 3" xfId="7036"/>
    <cellStyle name="Saída 9 3 5 2 2 3 2" xfId="15653"/>
    <cellStyle name="Saída 9 3 5 2 2 3 2 2" xfId="28162"/>
    <cellStyle name="Saída 9 3 5 2 2 3 2 2 2" xfId="57341"/>
    <cellStyle name="Saída 9 3 5 2 2 3 2 3" xfId="44834"/>
    <cellStyle name="Saída 9 3 5 2 2 3 3" xfId="23734"/>
    <cellStyle name="Saída 9 3 5 2 2 3 3 2" xfId="52913"/>
    <cellStyle name="Saída 9 3 5 2 2 3 4" xfId="36219"/>
    <cellStyle name="Saída 9 3 5 2 2 4" xfId="13330"/>
    <cellStyle name="Saída 9 3 5 2 2 4 2" xfId="26666"/>
    <cellStyle name="Saída 9 3 5 2 2 4 2 2" xfId="55845"/>
    <cellStyle name="Saída 9 3 5 2 2 4 3" xfId="42511"/>
    <cellStyle name="Saída 9 3 5 2 2 5" xfId="22238"/>
    <cellStyle name="Saída 9 3 5 2 2 5 2" xfId="51417"/>
    <cellStyle name="Saída 9 3 5 2 2 6" xfId="33227"/>
    <cellStyle name="Saída 9 3 5 2 3" xfId="5493"/>
    <cellStyle name="Saída 9 3 5 2 3 2" xfId="14456"/>
    <cellStyle name="Saída 9 3 5 2 3 2 2" xfId="27386"/>
    <cellStyle name="Saída 9 3 5 2 3 2 2 2" xfId="56565"/>
    <cellStyle name="Saída 9 3 5 2 3 2 3" xfId="43637"/>
    <cellStyle name="Saída 9 3 5 2 3 3" xfId="22958"/>
    <cellStyle name="Saída 9 3 5 2 3 3 2" xfId="52137"/>
    <cellStyle name="Saída 9 3 5 2 3 4" xfId="34676"/>
    <cellStyle name="Saída 9 3 5 2 4" xfId="7670"/>
    <cellStyle name="Saída 9 3 5 2 4 2" xfId="16096"/>
    <cellStyle name="Saída 9 3 5 2 4 2 2" xfId="28428"/>
    <cellStyle name="Saída 9 3 5 2 4 2 2 2" xfId="57607"/>
    <cellStyle name="Saída 9 3 5 2 4 2 3" xfId="45277"/>
    <cellStyle name="Saída 9 3 5 2 4 3" xfId="24000"/>
    <cellStyle name="Saída 9 3 5 2 4 3 2" xfId="53179"/>
    <cellStyle name="Saída 9 3 5 2 4 4" xfId="36853"/>
    <cellStyle name="Saída 9 3 5 2 5" xfId="12053"/>
    <cellStyle name="Saída 9 3 5 2 5 2" xfId="25946"/>
    <cellStyle name="Saída 9 3 5 2 5 2 2" xfId="55125"/>
    <cellStyle name="Saída 9 3 5 2 5 3" xfId="41234"/>
    <cellStyle name="Saída 9 3 5 2 6" xfId="21518"/>
    <cellStyle name="Saída 9 3 5 2 6 2" xfId="50697"/>
    <cellStyle name="Saída 9 3 5 2 7" xfId="31427"/>
    <cellStyle name="Saída 9 3 5 3" xfId="3144"/>
    <cellStyle name="Saída 9 3 5 3 2" xfId="6213"/>
    <cellStyle name="Saída 9 3 5 3 2 2" xfId="15016"/>
    <cellStyle name="Saída 9 3 5 3 2 2 2" xfId="27746"/>
    <cellStyle name="Saída 9 3 5 3 2 2 2 2" xfId="56925"/>
    <cellStyle name="Saída 9 3 5 3 2 2 3" xfId="44197"/>
    <cellStyle name="Saída 9 3 5 3 2 3" xfId="23318"/>
    <cellStyle name="Saída 9 3 5 3 2 3 2" xfId="52497"/>
    <cellStyle name="Saída 9 3 5 3 2 4" xfId="35396"/>
    <cellStyle name="Saída 9 3 5 3 3" xfId="7225"/>
    <cellStyle name="Saída 9 3 5 3 3 2" xfId="15787"/>
    <cellStyle name="Saída 9 3 5 3 3 2 2" xfId="28246"/>
    <cellStyle name="Saída 9 3 5 3 3 2 2 2" xfId="57425"/>
    <cellStyle name="Saída 9 3 5 3 3 2 3" xfId="44968"/>
    <cellStyle name="Saída 9 3 5 3 3 3" xfId="23818"/>
    <cellStyle name="Saída 9 3 5 3 3 3 2" xfId="52997"/>
    <cellStyle name="Saída 9 3 5 3 3 4" xfId="36408"/>
    <cellStyle name="Saída 9 3 5 3 4" xfId="12691"/>
    <cellStyle name="Saída 9 3 5 3 4 2" xfId="26306"/>
    <cellStyle name="Saída 9 3 5 3 4 2 2" xfId="55485"/>
    <cellStyle name="Saída 9 3 5 3 4 3" xfId="41872"/>
    <cellStyle name="Saída 9 3 5 3 5" xfId="21878"/>
    <cellStyle name="Saída 9 3 5 3 5 2" xfId="51057"/>
    <cellStyle name="Saída 9 3 5 3 6" xfId="32327"/>
    <cellStyle name="Saída 9 3 5 4" xfId="4773"/>
    <cellStyle name="Saída 9 3 5 4 2" xfId="13893"/>
    <cellStyle name="Saída 9 3 5 4 2 2" xfId="27026"/>
    <cellStyle name="Saída 9 3 5 4 2 2 2" xfId="56205"/>
    <cellStyle name="Saída 9 3 5 4 2 3" xfId="43074"/>
    <cellStyle name="Saída 9 3 5 4 3" xfId="22598"/>
    <cellStyle name="Saída 9 3 5 4 3 2" xfId="51777"/>
    <cellStyle name="Saída 9 3 5 4 4" xfId="33956"/>
    <cellStyle name="Saída 9 3 5 5" xfId="7321"/>
    <cellStyle name="Saída 9 3 5 5 2" xfId="15855"/>
    <cellStyle name="Saída 9 3 5 5 2 2" xfId="28288"/>
    <cellStyle name="Saída 9 3 5 5 2 2 2" xfId="57467"/>
    <cellStyle name="Saída 9 3 5 5 2 3" xfId="45036"/>
    <cellStyle name="Saída 9 3 5 5 3" xfId="23860"/>
    <cellStyle name="Saída 9 3 5 5 3 2" xfId="53039"/>
    <cellStyle name="Saída 9 3 5 5 4" xfId="36504"/>
    <cellStyle name="Saída 9 3 5 6" xfId="11422"/>
    <cellStyle name="Saída 9 3 5 6 2" xfId="25586"/>
    <cellStyle name="Saída 9 3 5 6 2 2" xfId="54765"/>
    <cellStyle name="Saída 9 3 5 6 3" xfId="40603"/>
    <cellStyle name="Saída 9 3 5 7" xfId="21158"/>
    <cellStyle name="Saída 9 3 5 7 2" xfId="50337"/>
    <cellStyle name="Saída 9 3 5 8" xfId="30527"/>
    <cellStyle name="Saída 9 3 6" xfId="1524"/>
    <cellStyle name="Saída 9 3 6 2" xfId="3324"/>
    <cellStyle name="Saída 9 3 6 2 2" xfId="6357"/>
    <cellStyle name="Saída 9 3 6 2 2 2" xfId="15119"/>
    <cellStyle name="Saída 9 3 6 2 2 2 2" xfId="27818"/>
    <cellStyle name="Saída 9 3 6 2 2 2 2 2" xfId="56997"/>
    <cellStyle name="Saída 9 3 6 2 2 2 3" xfId="44300"/>
    <cellStyle name="Saída 9 3 6 2 2 3" xfId="23390"/>
    <cellStyle name="Saída 9 3 6 2 2 3 2" xfId="52569"/>
    <cellStyle name="Saída 9 3 6 2 2 4" xfId="35540"/>
    <cellStyle name="Saída 9 3 6 2 3" xfId="8551"/>
    <cellStyle name="Saída 9 3 6 2 3 2" xfId="16715"/>
    <cellStyle name="Saída 9 3 6 2 3 2 2" xfId="28765"/>
    <cellStyle name="Saída 9 3 6 2 3 2 2 2" xfId="57944"/>
    <cellStyle name="Saída 9 3 6 2 3 2 3" xfId="45896"/>
    <cellStyle name="Saída 9 3 6 2 3 3" xfId="24337"/>
    <cellStyle name="Saída 9 3 6 2 3 3 2" xfId="53516"/>
    <cellStyle name="Saída 9 3 6 2 3 4" xfId="37734"/>
    <cellStyle name="Saída 9 3 6 2 4" xfId="12815"/>
    <cellStyle name="Saída 9 3 6 2 4 2" xfId="26378"/>
    <cellStyle name="Saída 9 3 6 2 4 2 2" xfId="55557"/>
    <cellStyle name="Saída 9 3 6 2 4 3" xfId="41996"/>
    <cellStyle name="Saída 9 3 6 2 5" xfId="21950"/>
    <cellStyle name="Saída 9 3 6 2 5 2" xfId="51129"/>
    <cellStyle name="Saída 9 3 6 2 6" xfId="32507"/>
    <cellStyle name="Saída 9 3 6 3" xfId="4917"/>
    <cellStyle name="Saída 9 3 6 3 2" xfId="13998"/>
    <cellStyle name="Saída 9 3 6 3 2 2" xfId="27098"/>
    <cellStyle name="Saída 9 3 6 3 2 2 2" xfId="56277"/>
    <cellStyle name="Saída 9 3 6 3 2 3" xfId="43179"/>
    <cellStyle name="Saída 9 3 6 3 3" xfId="22670"/>
    <cellStyle name="Saída 9 3 6 3 3 2" xfId="51849"/>
    <cellStyle name="Saída 9 3 6 3 4" xfId="34100"/>
    <cellStyle name="Saída 9 3 6 4" xfId="8493"/>
    <cellStyle name="Saída 9 3 6 4 2" xfId="16676"/>
    <cellStyle name="Saída 9 3 6 4 2 2" xfId="28743"/>
    <cellStyle name="Saída 9 3 6 4 2 2 2" xfId="57922"/>
    <cellStyle name="Saída 9 3 6 4 2 3" xfId="45857"/>
    <cellStyle name="Saída 9 3 6 4 3" xfId="24315"/>
    <cellStyle name="Saída 9 3 6 4 3 2" xfId="53494"/>
    <cellStyle name="Saída 9 3 6 4 4" xfId="37676"/>
    <cellStyle name="Saída 9 3 6 5" xfId="11543"/>
    <cellStyle name="Saída 9 3 6 5 2" xfId="25658"/>
    <cellStyle name="Saída 9 3 6 5 2 2" xfId="54837"/>
    <cellStyle name="Saída 9 3 6 5 3" xfId="40724"/>
    <cellStyle name="Saída 9 3 6 6" xfId="21230"/>
    <cellStyle name="Saída 9 3 6 6 2" xfId="50409"/>
    <cellStyle name="Saída 9 3 6 7" xfId="30707"/>
    <cellStyle name="Saída 9 3 7" xfId="2424"/>
    <cellStyle name="Saída 9 3 7 2" xfId="5637"/>
    <cellStyle name="Saída 9 3 7 2 2" xfId="14565"/>
    <cellStyle name="Saída 9 3 7 2 2 2" xfId="27458"/>
    <cellStyle name="Saída 9 3 7 2 2 2 2" xfId="56637"/>
    <cellStyle name="Saída 9 3 7 2 2 3" xfId="43746"/>
    <cellStyle name="Saída 9 3 7 2 3" xfId="23030"/>
    <cellStyle name="Saída 9 3 7 2 3 2" xfId="52209"/>
    <cellStyle name="Saída 9 3 7 2 4" xfId="34820"/>
    <cellStyle name="Saída 9 3 7 3" xfId="10002"/>
    <cellStyle name="Saída 9 3 7 3 2" xfId="17764"/>
    <cellStyle name="Saída 9 3 7 3 2 2" xfId="29347"/>
    <cellStyle name="Saída 9 3 7 3 2 2 2" xfId="58526"/>
    <cellStyle name="Saída 9 3 7 3 2 3" xfId="46945"/>
    <cellStyle name="Saída 9 3 7 3 3" xfId="24919"/>
    <cellStyle name="Saída 9 3 7 3 3 2" xfId="54098"/>
    <cellStyle name="Saída 9 3 7 3 4" xfId="39185"/>
    <cellStyle name="Saída 9 3 7 4" xfId="12177"/>
    <cellStyle name="Saída 9 3 7 4 2" xfId="26018"/>
    <cellStyle name="Saída 9 3 7 4 2 2" xfId="55197"/>
    <cellStyle name="Saída 9 3 7 4 3" xfId="41358"/>
    <cellStyle name="Saída 9 3 7 5" xfId="21590"/>
    <cellStyle name="Saída 9 3 7 5 2" xfId="50769"/>
    <cellStyle name="Saída 9 3 7 6" xfId="31607"/>
    <cellStyle name="Saída 9 3 8" xfId="4197"/>
    <cellStyle name="Saída 9 3 8 2" xfId="13446"/>
    <cellStyle name="Saída 9 3 8 2 2" xfId="26738"/>
    <cellStyle name="Saída 9 3 8 2 2 2" xfId="55917"/>
    <cellStyle name="Saída 9 3 8 2 3" xfId="42627"/>
    <cellStyle name="Saída 9 3 8 3" xfId="22310"/>
    <cellStyle name="Saída 9 3 8 3 2" xfId="51489"/>
    <cellStyle name="Saída 9 3 8 4" xfId="33380"/>
    <cellStyle name="Saída 9 3 9" xfId="8339"/>
    <cellStyle name="Saída 9 3 9 2" xfId="16571"/>
    <cellStyle name="Saída 9 3 9 2 2" xfId="28689"/>
    <cellStyle name="Saída 9 3 9 2 2 2" xfId="57868"/>
    <cellStyle name="Saída 9 3 9 2 3" xfId="45752"/>
    <cellStyle name="Saída 9 3 9 3" xfId="24261"/>
    <cellStyle name="Saída 9 3 9 3 2" xfId="53440"/>
    <cellStyle name="Saída 9 3 9 4" xfId="37522"/>
    <cellStyle name="Saída 9 4" xfId="722"/>
    <cellStyle name="Saída 9 4 2" xfId="1684"/>
    <cellStyle name="Saída 9 4 2 2" xfId="3484"/>
    <cellStyle name="Saída 9 4 2 2 2" xfId="6490"/>
    <cellStyle name="Saída 9 4 2 2 2 2" xfId="15224"/>
    <cellStyle name="Saída 9 4 2 2 2 2 2" xfId="27861"/>
    <cellStyle name="Saída 9 4 2 2 2 2 2 2" xfId="57040"/>
    <cellStyle name="Saída 9 4 2 2 2 2 3" xfId="44405"/>
    <cellStyle name="Saída 9 4 2 2 2 3" xfId="23433"/>
    <cellStyle name="Saída 9 4 2 2 2 3 2" xfId="52612"/>
    <cellStyle name="Saída 9 4 2 2 2 4" xfId="35673"/>
    <cellStyle name="Saída 9 4 2 2 3" xfId="8549"/>
    <cellStyle name="Saída 9 4 2 2 3 2" xfId="16713"/>
    <cellStyle name="Saída 9 4 2 2 3 2 2" xfId="28764"/>
    <cellStyle name="Saída 9 4 2 2 3 2 2 2" xfId="57943"/>
    <cellStyle name="Saída 9 4 2 2 3 2 3" xfId="45894"/>
    <cellStyle name="Saída 9 4 2 2 3 3" xfId="24336"/>
    <cellStyle name="Saída 9 4 2 2 3 3 2" xfId="53515"/>
    <cellStyle name="Saída 9 4 2 2 3 4" xfId="37732"/>
    <cellStyle name="Saída 9 4 2 2 4" xfId="12928"/>
    <cellStyle name="Saída 9 4 2 2 4 2" xfId="26421"/>
    <cellStyle name="Saída 9 4 2 2 4 2 2" xfId="55600"/>
    <cellStyle name="Saída 9 4 2 2 4 3" xfId="42109"/>
    <cellStyle name="Saída 9 4 2 2 5" xfId="21993"/>
    <cellStyle name="Saída 9 4 2 2 5 2" xfId="51172"/>
    <cellStyle name="Saída 9 4 2 2 6" xfId="32667"/>
    <cellStyle name="Saída 9 4 2 3" xfId="5050"/>
    <cellStyle name="Saída 9 4 2 3 2" xfId="14100"/>
    <cellStyle name="Saída 9 4 2 3 2 2" xfId="27141"/>
    <cellStyle name="Saída 9 4 2 3 2 2 2" xfId="56320"/>
    <cellStyle name="Saída 9 4 2 3 2 3" xfId="43281"/>
    <cellStyle name="Saída 9 4 2 3 3" xfId="22713"/>
    <cellStyle name="Saída 9 4 2 3 3 2" xfId="51892"/>
    <cellStyle name="Saída 9 4 2 3 4" xfId="34233"/>
    <cellStyle name="Saída 9 4 2 4" xfId="8491"/>
    <cellStyle name="Saída 9 4 2 4 2" xfId="16674"/>
    <cellStyle name="Saída 9 4 2 4 2 2" xfId="28742"/>
    <cellStyle name="Saída 9 4 2 4 2 2 2" xfId="57921"/>
    <cellStyle name="Saída 9 4 2 4 2 3" xfId="45855"/>
    <cellStyle name="Saída 9 4 2 4 3" xfId="24314"/>
    <cellStyle name="Saída 9 4 2 4 3 2" xfId="53493"/>
    <cellStyle name="Saída 9 4 2 4 4" xfId="37674"/>
    <cellStyle name="Saída 9 4 2 5" xfId="11655"/>
    <cellStyle name="Saída 9 4 2 5 2" xfId="25701"/>
    <cellStyle name="Saída 9 4 2 5 2 2" xfId="54880"/>
    <cellStyle name="Saída 9 4 2 5 3" xfId="40836"/>
    <cellStyle name="Saída 9 4 2 6" xfId="21273"/>
    <cellStyle name="Saída 9 4 2 6 2" xfId="50452"/>
    <cellStyle name="Saída 9 4 2 7" xfId="30867"/>
    <cellStyle name="Saída 9 4 3" xfId="2584"/>
    <cellStyle name="Saída 9 4 3 2" xfId="5770"/>
    <cellStyle name="Saída 9 4 3 2 2" xfId="14665"/>
    <cellStyle name="Saída 9 4 3 2 2 2" xfId="27501"/>
    <cellStyle name="Saída 9 4 3 2 2 2 2" xfId="56680"/>
    <cellStyle name="Saída 9 4 3 2 2 3" xfId="43846"/>
    <cellStyle name="Saída 9 4 3 2 3" xfId="23073"/>
    <cellStyle name="Saída 9 4 3 2 3 2" xfId="52252"/>
    <cellStyle name="Saída 9 4 3 2 4" xfId="34953"/>
    <cellStyle name="Saída 9 4 3 3" xfId="10000"/>
    <cellStyle name="Saída 9 4 3 3 2" xfId="17762"/>
    <cellStyle name="Saída 9 4 3 3 2 2" xfId="29346"/>
    <cellStyle name="Saída 9 4 3 3 2 2 2" xfId="58525"/>
    <cellStyle name="Saída 9 4 3 3 2 3" xfId="46943"/>
    <cellStyle name="Saída 9 4 3 3 3" xfId="24918"/>
    <cellStyle name="Saída 9 4 3 3 3 2" xfId="54097"/>
    <cellStyle name="Saída 9 4 3 3 4" xfId="39183"/>
    <cellStyle name="Saída 9 4 3 4" xfId="12290"/>
    <cellStyle name="Saída 9 4 3 4 2" xfId="26061"/>
    <cellStyle name="Saída 9 4 3 4 2 2" xfId="55240"/>
    <cellStyle name="Saída 9 4 3 4 3" xfId="41471"/>
    <cellStyle name="Saída 9 4 3 5" xfId="21633"/>
    <cellStyle name="Saída 9 4 3 5 2" xfId="50812"/>
    <cellStyle name="Saída 9 4 3 6" xfId="31767"/>
    <cellStyle name="Saída 9 4 4" xfId="4330"/>
    <cellStyle name="Saída 9 4 4 2" xfId="13544"/>
    <cellStyle name="Saída 9 4 4 2 2" xfId="26781"/>
    <cellStyle name="Saída 9 4 4 2 2 2" xfId="55960"/>
    <cellStyle name="Saída 9 4 4 2 3" xfId="42725"/>
    <cellStyle name="Saída 9 4 4 3" xfId="22353"/>
    <cellStyle name="Saída 9 4 4 3 2" xfId="51532"/>
    <cellStyle name="Saída 9 4 4 4" xfId="33513"/>
    <cellStyle name="Saída 9 4 5" xfId="7363"/>
    <cellStyle name="Saída 9 4 5 2" xfId="15884"/>
    <cellStyle name="Saída 9 4 5 2 2" xfId="28308"/>
    <cellStyle name="Saída 9 4 5 2 2 2" xfId="57487"/>
    <cellStyle name="Saída 9 4 5 2 3" xfId="45065"/>
    <cellStyle name="Saída 9 4 5 3" xfId="23880"/>
    <cellStyle name="Saída 9 4 5 3 2" xfId="53059"/>
    <cellStyle name="Saída 9 4 5 4" xfId="36546"/>
    <cellStyle name="Saída 9 4 6" xfId="10972"/>
    <cellStyle name="Saída 9 4 6 2" xfId="25296"/>
    <cellStyle name="Saída 9 4 6 2 2" xfId="54475"/>
    <cellStyle name="Saída 9 4 6 3" xfId="40153"/>
    <cellStyle name="Saída 9 4 7" xfId="20868"/>
    <cellStyle name="Saída 9 4 7 2" xfId="50047"/>
    <cellStyle name="Saída 9 4 8" xfId="29922"/>
    <cellStyle name="Saída 9 5" xfId="914"/>
    <cellStyle name="Saída 9 5 2" xfId="1848"/>
    <cellStyle name="Saída 9 5 2 2" xfId="3648"/>
    <cellStyle name="Saída 9 5 2 2 2" xfId="6618"/>
    <cellStyle name="Saída 9 5 2 2 2 2" xfId="15330"/>
    <cellStyle name="Saída 9 5 2 2 2 2 2" xfId="27935"/>
    <cellStyle name="Saída 9 5 2 2 2 2 2 2" xfId="57114"/>
    <cellStyle name="Saída 9 5 2 2 2 2 3" xfId="44511"/>
    <cellStyle name="Saída 9 5 2 2 2 3" xfId="23507"/>
    <cellStyle name="Saída 9 5 2 2 2 3 2" xfId="52686"/>
    <cellStyle name="Saída 9 5 2 2 2 4" xfId="35801"/>
    <cellStyle name="Saída 9 5 2 2 3" xfId="9805"/>
    <cellStyle name="Saída 9 5 2 2 3 2" xfId="17625"/>
    <cellStyle name="Saída 9 5 2 2 3 2 2" xfId="29274"/>
    <cellStyle name="Saída 9 5 2 2 3 2 2 2" xfId="58453"/>
    <cellStyle name="Saída 9 5 2 2 3 2 3" xfId="46806"/>
    <cellStyle name="Saída 9 5 2 2 3 3" xfId="24846"/>
    <cellStyle name="Saída 9 5 2 2 3 3 2" xfId="54025"/>
    <cellStyle name="Saída 9 5 2 2 3 4" xfId="38988"/>
    <cellStyle name="Saída 9 5 2 2 4" xfId="13049"/>
    <cellStyle name="Saída 9 5 2 2 4 2" xfId="26495"/>
    <cellStyle name="Saída 9 5 2 2 4 2 2" xfId="55674"/>
    <cellStyle name="Saída 9 5 2 2 4 3" xfId="42230"/>
    <cellStyle name="Saída 9 5 2 2 5" xfId="22067"/>
    <cellStyle name="Saída 9 5 2 2 5 2" xfId="51246"/>
    <cellStyle name="Saída 9 5 2 2 6" xfId="32831"/>
    <cellStyle name="Saída 9 5 2 3" xfId="5178"/>
    <cellStyle name="Saída 9 5 2 3 2" xfId="14208"/>
    <cellStyle name="Saída 9 5 2 3 2 2" xfId="27215"/>
    <cellStyle name="Saída 9 5 2 3 2 2 2" xfId="56394"/>
    <cellStyle name="Saída 9 5 2 3 2 3" xfId="43389"/>
    <cellStyle name="Saída 9 5 2 3 3" xfId="22787"/>
    <cellStyle name="Saída 9 5 2 3 3 2" xfId="51966"/>
    <cellStyle name="Saída 9 5 2 3 4" xfId="34361"/>
    <cellStyle name="Saída 9 5 2 4" xfId="8390"/>
    <cellStyle name="Saída 9 5 2 4 2" xfId="16606"/>
    <cellStyle name="Saída 9 5 2 4 2 2" xfId="28708"/>
    <cellStyle name="Saída 9 5 2 4 2 2 2" xfId="57887"/>
    <cellStyle name="Saída 9 5 2 4 2 3" xfId="45787"/>
    <cellStyle name="Saída 9 5 2 4 3" xfId="24280"/>
    <cellStyle name="Saída 9 5 2 4 3 2" xfId="53459"/>
    <cellStyle name="Saída 9 5 2 4 4" xfId="37573"/>
    <cellStyle name="Saída 9 5 2 5" xfId="11773"/>
    <cellStyle name="Saída 9 5 2 5 2" xfId="25775"/>
    <cellStyle name="Saída 9 5 2 5 2 2" xfId="54954"/>
    <cellStyle name="Saída 9 5 2 5 3" xfId="40954"/>
    <cellStyle name="Saída 9 5 2 6" xfId="21347"/>
    <cellStyle name="Saída 9 5 2 6 2" xfId="50526"/>
    <cellStyle name="Saída 9 5 2 7" xfId="31031"/>
    <cellStyle name="Saída 9 5 3" xfId="2748"/>
    <cellStyle name="Saída 9 5 3 2" xfId="5898"/>
    <cellStyle name="Saída 9 5 3 2 2" xfId="14773"/>
    <cellStyle name="Saída 9 5 3 2 2 2" xfId="27575"/>
    <cellStyle name="Saída 9 5 3 2 2 2 2" xfId="56754"/>
    <cellStyle name="Saída 9 5 3 2 2 3" xfId="43954"/>
    <cellStyle name="Saída 9 5 3 2 3" xfId="23147"/>
    <cellStyle name="Saída 9 5 3 2 3 2" xfId="52326"/>
    <cellStyle name="Saída 9 5 3 2 4" xfId="35081"/>
    <cellStyle name="Saída 9 5 3 3" xfId="9944"/>
    <cellStyle name="Saída 9 5 3 3 2" xfId="17724"/>
    <cellStyle name="Saída 9 5 3 3 2 2" xfId="29328"/>
    <cellStyle name="Saída 9 5 3 3 2 2 2" xfId="58507"/>
    <cellStyle name="Saída 9 5 3 3 2 3" xfId="46905"/>
    <cellStyle name="Saída 9 5 3 3 3" xfId="24900"/>
    <cellStyle name="Saída 9 5 3 3 3 2" xfId="54079"/>
    <cellStyle name="Saída 9 5 3 3 4" xfId="39127"/>
    <cellStyle name="Saída 9 5 3 4" xfId="12414"/>
    <cellStyle name="Saída 9 5 3 4 2" xfId="26135"/>
    <cellStyle name="Saída 9 5 3 4 2 2" xfId="55314"/>
    <cellStyle name="Saída 9 5 3 4 3" xfId="41595"/>
    <cellStyle name="Saída 9 5 3 5" xfId="21707"/>
    <cellStyle name="Saída 9 5 3 5 2" xfId="50886"/>
    <cellStyle name="Saída 9 5 3 6" xfId="31931"/>
    <cellStyle name="Saída 9 5 4" xfId="4458"/>
    <cellStyle name="Saída 9 5 4 2" xfId="13651"/>
    <cellStyle name="Saída 9 5 4 2 2" xfId="26855"/>
    <cellStyle name="Saída 9 5 4 2 2 2" xfId="56034"/>
    <cellStyle name="Saída 9 5 4 2 3" xfId="42832"/>
    <cellStyle name="Saída 9 5 4 3" xfId="22427"/>
    <cellStyle name="Saída 9 5 4 3 2" xfId="51606"/>
    <cellStyle name="Saída 9 5 4 4" xfId="33641"/>
    <cellStyle name="Saída 9 5 5" xfId="10214"/>
    <cellStyle name="Saída 9 5 5 2" xfId="17909"/>
    <cellStyle name="Saída 9 5 5 2 2" xfId="29435"/>
    <cellStyle name="Saída 9 5 5 2 2 2" xfId="58614"/>
    <cellStyle name="Saída 9 5 5 2 3" xfId="47090"/>
    <cellStyle name="Saída 9 5 5 3" xfId="25007"/>
    <cellStyle name="Saída 9 5 5 3 2" xfId="54186"/>
    <cellStyle name="Saída 9 5 5 4" xfId="39397"/>
    <cellStyle name="Saída 9 5 6" xfId="11116"/>
    <cellStyle name="Saída 9 5 6 2" xfId="25391"/>
    <cellStyle name="Saída 9 5 6 2 2" xfId="54570"/>
    <cellStyle name="Saída 9 5 6 3" xfId="40297"/>
    <cellStyle name="Saída 9 5 7" xfId="20963"/>
    <cellStyle name="Saída 9 5 7 2" xfId="50142"/>
    <cellStyle name="Saída 9 5 8" xfId="30107"/>
    <cellStyle name="Saída 9 6" xfId="761"/>
    <cellStyle name="Saída 9 6 2" xfId="1702"/>
    <cellStyle name="Saída 9 6 2 2" xfId="3502"/>
    <cellStyle name="Saída 9 6 2 2 2" xfId="6499"/>
    <cellStyle name="Saída 9 6 2 2 2 2" xfId="15233"/>
    <cellStyle name="Saída 9 6 2 2 2 2 2" xfId="27870"/>
    <cellStyle name="Saída 9 6 2 2 2 2 2 2" xfId="57049"/>
    <cellStyle name="Saída 9 6 2 2 2 2 3" xfId="44414"/>
    <cellStyle name="Saída 9 6 2 2 2 3" xfId="23442"/>
    <cellStyle name="Saída 9 6 2 2 2 3 2" xfId="52621"/>
    <cellStyle name="Saída 9 6 2 2 2 4" xfId="35682"/>
    <cellStyle name="Saída 9 6 2 2 3" xfId="9281"/>
    <cellStyle name="Saída 9 6 2 2 3 2" xfId="17252"/>
    <cellStyle name="Saída 9 6 2 2 3 2 2" xfId="29063"/>
    <cellStyle name="Saída 9 6 2 2 3 2 2 2" xfId="58242"/>
    <cellStyle name="Saída 9 6 2 2 3 2 3" xfId="46433"/>
    <cellStyle name="Saída 9 6 2 2 3 3" xfId="24635"/>
    <cellStyle name="Saída 9 6 2 2 3 3 2" xfId="53814"/>
    <cellStyle name="Saída 9 6 2 2 3 4" xfId="38464"/>
    <cellStyle name="Saída 9 6 2 2 4" xfId="12939"/>
    <cellStyle name="Saída 9 6 2 2 4 2" xfId="26430"/>
    <cellStyle name="Saída 9 6 2 2 4 2 2" xfId="55609"/>
    <cellStyle name="Saída 9 6 2 2 4 3" xfId="42120"/>
    <cellStyle name="Saída 9 6 2 2 5" xfId="22002"/>
    <cellStyle name="Saída 9 6 2 2 5 2" xfId="51181"/>
    <cellStyle name="Saída 9 6 2 2 6" xfId="32685"/>
    <cellStyle name="Saída 9 6 2 3" xfId="5059"/>
    <cellStyle name="Saída 9 6 2 3 2" xfId="14109"/>
    <cellStyle name="Saída 9 6 2 3 2 2" xfId="27150"/>
    <cellStyle name="Saída 9 6 2 3 2 2 2" xfId="56329"/>
    <cellStyle name="Saída 9 6 2 3 2 3" xfId="43290"/>
    <cellStyle name="Saída 9 6 2 3 3" xfId="22722"/>
    <cellStyle name="Saída 9 6 2 3 3 2" xfId="51901"/>
    <cellStyle name="Saída 9 6 2 3 4" xfId="34242"/>
    <cellStyle name="Saída 9 6 2 4" xfId="10360"/>
    <cellStyle name="Saída 9 6 2 4 2" xfId="18009"/>
    <cellStyle name="Saída 9 6 2 4 2 2" xfId="29490"/>
    <cellStyle name="Saída 9 6 2 4 2 2 2" xfId="58669"/>
    <cellStyle name="Saída 9 6 2 4 2 3" xfId="47190"/>
    <cellStyle name="Saída 9 6 2 4 3" xfId="25062"/>
    <cellStyle name="Saída 9 6 2 4 3 2" xfId="54241"/>
    <cellStyle name="Saída 9 6 2 4 4" xfId="39543"/>
    <cellStyle name="Saída 9 6 2 5" xfId="11666"/>
    <cellStyle name="Saída 9 6 2 5 2" xfId="25710"/>
    <cellStyle name="Saída 9 6 2 5 2 2" xfId="54889"/>
    <cellStyle name="Saída 9 6 2 5 3" xfId="40847"/>
    <cellStyle name="Saída 9 6 2 6" xfId="21282"/>
    <cellStyle name="Saída 9 6 2 6 2" xfId="50461"/>
    <cellStyle name="Saída 9 6 2 7" xfId="30885"/>
    <cellStyle name="Saída 9 6 3" xfId="2602"/>
    <cellStyle name="Saída 9 6 3 2" xfId="5779"/>
    <cellStyle name="Saída 9 6 3 2 2" xfId="14674"/>
    <cellStyle name="Saída 9 6 3 2 2 2" xfId="27510"/>
    <cellStyle name="Saída 9 6 3 2 2 2 2" xfId="56689"/>
    <cellStyle name="Saída 9 6 3 2 2 3" xfId="43855"/>
    <cellStyle name="Saída 9 6 3 2 3" xfId="23082"/>
    <cellStyle name="Saída 9 6 3 2 3 2" xfId="52261"/>
    <cellStyle name="Saída 9 6 3 2 4" xfId="34962"/>
    <cellStyle name="Saída 9 6 3 3" xfId="9583"/>
    <cellStyle name="Saída 9 6 3 3 2" xfId="17461"/>
    <cellStyle name="Saída 9 6 3 3 2 2" xfId="29184"/>
    <cellStyle name="Saída 9 6 3 3 2 2 2" xfId="58363"/>
    <cellStyle name="Saída 9 6 3 3 2 3" xfId="46642"/>
    <cellStyle name="Saída 9 6 3 3 3" xfId="24756"/>
    <cellStyle name="Saída 9 6 3 3 3 2" xfId="53935"/>
    <cellStyle name="Saída 9 6 3 3 4" xfId="38766"/>
    <cellStyle name="Saída 9 6 3 4" xfId="12301"/>
    <cellStyle name="Saída 9 6 3 4 2" xfId="26070"/>
    <cellStyle name="Saída 9 6 3 4 2 2" xfId="55249"/>
    <cellStyle name="Saída 9 6 3 4 3" xfId="41482"/>
    <cellStyle name="Saída 9 6 3 5" xfId="21642"/>
    <cellStyle name="Saída 9 6 3 5 2" xfId="50821"/>
    <cellStyle name="Saída 9 6 3 6" xfId="31785"/>
    <cellStyle name="Saída 9 6 4" xfId="4339"/>
    <cellStyle name="Saída 9 6 4 2" xfId="13553"/>
    <cellStyle name="Saída 9 6 4 2 2" xfId="26790"/>
    <cellStyle name="Saída 9 6 4 2 2 2" xfId="55969"/>
    <cellStyle name="Saída 9 6 4 2 3" xfId="42734"/>
    <cellStyle name="Saída 9 6 4 3" xfId="22362"/>
    <cellStyle name="Saída 9 6 4 3 2" xfId="51541"/>
    <cellStyle name="Saída 9 6 4 4" xfId="33522"/>
    <cellStyle name="Saída 9 6 5" xfId="7345"/>
    <cellStyle name="Saída 9 6 5 2" xfId="15872"/>
    <cellStyle name="Saída 9 6 5 2 2" xfId="28299"/>
    <cellStyle name="Saída 9 6 5 2 2 2" xfId="57478"/>
    <cellStyle name="Saída 9 6 5 2 3" xfId="45053"/>
    <cellStyle name="Saída 9 6 5 3" xfId="23871"/>
    <cellStyle name="Saída 9 6 5 3 2" xfId="53050"/>
    <cellStyle name="Saída 9 6 5 4" xfId="36528"/>
    <cellStyle name="Saída 9 6 6" xfId="11003"/>
    <cellStyle name="Saída 9 6 6 2" xfId="25324"/>
    <cellStyle name="Saída 9 6 6 2 2" xfId="54503"/>
    <cellStyle name="Saída 9 6 6 3" xfId="40184"/>
    <cellStyle name="Saída 9 6 7" xfId="20896"/>
    <cellStyle name="Saída 9 6 7 2" xfId="50075"/>
    <cellStyle name="Saída 9 6 8" xfId="29959"/>
    <cellStyle name="Saída 9 7" xfId="953"/>
    <cellStyle name="Saída 9 7 2" xfId="1866"/>
    <cellStyle name="Saída 9 7 2 2" xfId="3666"/>
    <cellStyle name="Saída 9 7 2 2 2" xfId="6627"/>
    <cellStyle name="Saída 9 7 2 2 2 2" xfId="15339"/>
    <cellStyle name="Saída 9 7 2 2 2 2 2" xfId="27944"/>
    <cellStyle name="Saída 9 7 2 2 2 2 2 2" xfId="57123"/>
    <cellStyle name="Saída 9 7 2 2 2 2 3" xfId="44520"/>
    <cellStyle name="Saída 9 7 2 2 2 3" xfId="23516"/>
    <cellStyle name="Saída 9 7 2 2 2 3 2" xfId="52695"/>
    <cellStyle name="Saída 9 7 2 2 2 4" xfId="35810"/>
    <cellStyle name="Saída 9 7 2 2 3" xfId="9115"/>
    <cellStyle name="Saída 9 7 2 2 3 2" xfId="17130"/>
    <cellStyle name="Saída 9 7 2 2 3 2 2" xfId="28999"/>
    <cellStyle name="Saída 9 7 2 2 3 2 2 2" xfId="58178"/>
    <cellStyle name="Saída 9 7 2 2 3 2 3" xfId="46311"/>
    <cellStyle name="Saída 9 7 2 2 3 3" xfId="24571"/>
    <cellStyle name="Saída 9 7 2 2 3 3 2" xfId="53750"/>
    <cellStyle name="Saída 9 7 2 2 3 4" xfId="38298"/>
    <cellStyle name="Saída 9 7 2 2 4" xfId="13060"/>
    <cellStyle name="Saída 9 7 2 2 4 2" xfId="26504"/>
    <cellStyle name="Saída 9 7 2 2 4 2 2" xfId="55683"/>
    <cellStyle name="Saída 9 7 2 2 4 3" xfId="42241"/>
    <cellStyle name="Saída 9 7 2 2 5" xfId="22076"/>
    <cellStyle name="Saída 9 7 2 2 5 2" xfId="51255"/>
    <cellStyle name="Saída 9 7 2 2 6" xfId="32849"/>
    <cellStyle name="Saída 9 7 2 3" xfId="5187"/>
    <cellStyle name="Saída 9 7 2 3 2" xfId="14217"/>
    <cellStyle name="Saída 9 7 2 3 2 2" xfId="27224"/>
    <cellStyle name="Saída 9 7 2 3 2 2 2" xfId="56403"/>
    <cellStyle name="Saída 9 7 2 3 2 3" xfId="43398"/>
    <cellStyle name="Saída 9 7 2 3 3" xfId="22796"/>
    <cellStyle name="Saída 9 7 2 3 3 2" xfId="51975"/>
    <cellStyle name="Saída 9 7 2 3 4" xfId="34370"/>
    <cellStyle name="Saída 9 7 2 4" xfId="10241"/>
    <cellStyle name="Saída 9 7 2 4 2" xfId="17929"/>
    <cellStyle name="Saída 9 7 2 4 2 2" xfId="29448"/>
    <cellStyle name="Saída 9 7 2 4 2 2 2" xfId="58627"/>
    <cellStyle name="Saída 9 7 2 4 2 3" xfId="47110"/>
    <cellStyle name="Saída 9 7 2 4 3" xfId="25020"/>
    <cellStyle name="Saída 9 7 2 4 3 2" xfId="54199"/>
    <cellStyle name="Saída 9 7 2 4 4" xfId="39424"/>
    <cellStyle name="Saída 9 7 2 5" xfId="11785"/>
    <cellStyle name="Saída 9 7 2 5 2" xfId="25784"/>
    <cellStyle name="Saída 9 7 2 5 2 2" xfId="54963"/>
    <cellStyle name="Saída 9 7 2 5 3" xfId="40966"/>
    <cellStyle name="Saída 9 7 2 6" xfId="21356"/>
    <cellStyle name="Saída 9 7 2 6 2" xfId="50535"/>
    <cellStyle name="Saída 9 7 2 7" xfId="31049"/>
    <cellStyle name="Saída 9 7 3" xfId="2766"/>
    <cellStyle name="Saída 9 7 3 2" xfId="5907"/>
    <cellStyle name="Saída 9 7 3 2 2" xfId="14782"/>
    <cellStyle name="Saída 9 7 3 2 2 2" xfId="27584"/>
    <cellStyle name="Saída 9 7 3 2 2 2 2" xfId="56763"/>
    <cellStyle name="Saída 9 7 3 2 2 3" xfId="43963"/>
    <cellStyle name="Saída 9 7 3 2 3" xfId="23156"/>
    <cellStyle name="Saída 9 7 3 2 3 2" xfId="52335"/>
    <cellStyle name="Saída 9 7 3 2 4" xfId="35090"/>
    <cellStyle name="Saída 9 7 3 3" xfId="9465"/>
    <cellStyle name="Saída 9 7 3 3 2" xfId="17377"/>
    <cellStyle name="Saída 9 7 3 3 2 2" xfId="29138"/>
    <cellStyle name="Saída 9 7 3 3 2 2 2" xfId="58317"/>
    <cellStyle name="Saída 9 7 3 3 2 3" xfId="46558"/>
    <cellStyle name="Saída 9 7 3 3 3" xfId="24710"/>
    <cellStyle name="Saída 9 7 3 3 3 2" xfId="53889"/>
    <cellStyle name="Saída 9 7 3 3 4" xfId="38648"/>
    <cellStyle name="Saída 9 7 3 4" xfId="12425"/>
    <cellStyle name="Saída 9 7 3 4 2" xfId="26144"/>
    <cellStyle name="Saída 9 7 3 4 2 2" xfId="55323"/>
    <cellStyle name="Saída 9 7 3 4 3" xfId="41606"/>
    <cellStyle name="Saída 9 7 3 5" xfId="21716"/>
    <cellStyle name="Saída 9 7 3 5 2" xfId="50895"/>
    <cellStyle name="Saída 9 7 3 6" xfId="31949"/>
    <cellStyle name="Saída 9 7 4" xfId="4467"/>
    <cellStyle name="Saída 9 7 4 2" xfId="13660"/>
    <cellStyle name="Saída 9 7 4 2 2" xfId="26864"/>
    <cellStyle name="Saída 9 7 4 2 2 2" xfId="56043"/>
    <cellStyle name="Saída 9 7 4 2 3" xfId="42841"/>
    <cellStyle name="Saída 9 7 4 3" xfId="22436"/>
    <cellStyle name="Saída 9 7 4 3 2" xfId="51615"/>
    <cellStyle name="Saída 9 7 4 4" xfId="33650"/>
    <cellStyle name="Saída 9 7 5" xfId="7688"/>
    <cellStyle name="Saída 9 7 5 2" xfId="16109"/>
    <cellStyle name="Saída 9 7 5 2 2" xfId="28436"/>
    <cellStyle name="Saída 9 7 5 2 2 2" xfId="57615"/>
    <cellStyle name="Saída 9 7 5 2 3" xfId="45290"/>
    <cellStyle name="Saída 9 7 5 3" xfId="24008"/>
    <cellStyle name="Saída 9 7 5 3 2" xfId="53187"/>
    <cellStyle name="Saída 9 7 5 4" xfId="36871"/>
    <cellStyle name="Saída 9 7 6" xfId="11148"/>
    <cellStyle name="Saída 9 7 6 2" xfId="25419"/>
    <cellStyle name="Saída 9 7 6 2 2" xfId="54598"/>
    <cellStyle name="Saída 9 7 6 3" xfId="40329"/>
    <cellStyle name="Saída 9 7 7" xfId="20991"/>
    <cellStyle name="Saída 9 7 7 2" xfId="50170"/>
    <cellStyle name="Saída 9 7 8" xfId="30144"/>
    <cellStyle name="Saída 9 8" xfId="1434"/>
    <cellStyle name="Saída 9 8 2" xfId="3234"/>
    <cellStyle name="Saída 9 8 2 2" xfId="6285"/>
    <cellStyle name="Saída 9 8 2 2 2" xfId="15068"/>
    <cellStyle name="Saída 9 8 2 2 2 2" xfId="27782"/>
    <cellStyle name="Saída 9 8 2 2 2 2 2" xfId="56961"/>
    <cellStyle name="Saída 9 8 2 2 2 3" xfId="44249"/>
    <cellStyle name="Saída 9 8 2 2 3" xfId="23354"/>
    <cellStyle name="Saída 9 8 2 2 3 2" xfId="52533"/>
    <cellStyle name="Saída 9 8 2 2 4" xfId="35468"/>
    <cellStyle name="Saída 9 8 2 3" xfId="9576"/>
    <cellStyle name="Saída 9 8 2 3 2" xfId="17457"/>
    <cellStyle name="Saída 9 8 2 3 2 2" xfId="29181"/>
    <cellStyle name="Saída 9 8 2 3 2 2 2" xfId="58360"/>
    <cellStyle name="Saída 9 8 2 3 2 3" xfId="46638"/>
    <cellStyle name="Saída 9 8 2 3 3" xfId="24753"/>
    <cellStyle name="Saída 9 8 2 3 3 2" xfId="53932"/>
    <cellStyle name="Saída 9 8 2 3 4" xfId="38759"/>
    <cellStyle name="Saída 9 8 2 4" xfId="12753"/>
    <cellStyle name="Saída 9 8 2 4 2" xfId="26342"/>
    <cellStyle name="Saída 9 8 2 4 2 2" xfId="55521"/>
    <cellStyle name="Saída 9 8 2 4 3" xfId="41934"/>
    <cellStyle name="Saída 9 8 2 5" xfId="21914"/>
    <cellStyle name="Saída 9 8 2 5 2" xfId="51093"/>
    <cellStyle name="Saída 9 8 2 6" xfId="32417"/>
    <cellStyle name="Saída 9 8 3" xfId="4845"/>
    <cellStyle name="Saída 9 8 3 2" xfId="13944"/>
    <cellStyle name="Saída 9 8 3 2 2" xfId="27062"/>
    <cellStyle name="Saída 9 8 3 2 2 2" xfId="56241"/>
    <cellStyle name="Saída 9 8 3 2 3" xfId="43125"/>
    <cellStyle name="Saída 9 8 3 3" xfId="22634"/>
    <cellStyle name="Saída 9 8 3 3 2" xfId="51813"/>
    <cellStyle name="Saída 9 8 3 4" xfId="34028"/>
    <cellStyle name="Saída 9 8 4" xfId="9155"/>
    <cellStyle name="Saída 9 8 4 2" xfId="17158"/>
    <cellStyle name="Saída 9 8 4 2 2" xfId="29013"/>
    <cellStyle name="Saída 9 8 4 2 2 2" xfId="58192"/>
    <cellStyle name="Saída 9 8 4 2 3" xfId="46339"/>
    <cellStyle name="Saída 9 8 4 3" xfId="24585"/>
    <cellStyle name="Saída 9 8 4 3 2" xfId="53764"/>
    <cellStyle name="Saída 9 8 4 4" xfId="38338"/>
    <cellStyle name="Saída 9 8 5" xfId="11482"/>
    <cellStyle name="Saída 9 8 5 2" xfId="25622"/>
    <cellStyle name="Saída 9 8 5 2 2" xfId="54801"/>
    <cellStyle name="Saída 9 8 5 3" xfId="40663"/>
    <cellStyle name="Saída 9 8 6" xfId="21194"/>
    <cellStyle name="Saída 9 8 6 2" xfId="50373"/>
    <cellStyle name="Saída 9 8 7" xfId="30617"/>
    <cellStyle name="Saída 9 9" xfId="2334"/>
    <cellStyle name="Saída 9 9 2" xfId="5565"/>
    <cellStyle name="Saída 9 9 2 2" xfId="14510"/>
    <cellStyle name="Saída 9 9 2 2 2" xfId="27422"/>
    <cellStyle name="Saída 9 9 2 2 2 2" xfId="56601"/>
    <cellStyle name="Saída 9 9 2 2 3" xfId="43691"/>
    <cellStyle name="Saída 9 9 2 3" xfId="22994"/>
    <cellStyle name="Saída 9 9 2 3 2" xfId="52173"/>
    <cellStyle name="Saída 9 9 2 4" xfId="34748"/>
    <cellStyle name="Saída 9 9 3" xfId="7658"/>
    <cellStyle name="Saída 9 9 3 2" xfId="16087"/>
    <cellStyle name="Saída 9 9 3 2 2" xfId="28425"/>
    <cellStyle name="Saída 9 9 3 2 2 2" xfId="57604"/>
    <cellStyle name="Saída 9 9 3 2 3" xfId="45268"/>
    <cellStyle name="Saída 9 9 3 3" xfId="23997"/>
    <cellStyle name="Saída 9 9 3 3 2" xfId="53176"/>
    <cellStyle name="Saída 9 9 3 4" xfId="36841"/>
    <cellStyle name="Saída 9 9 4" xfId="12114"/>
    <cellStyle name="Saída 9 9 4 2" xfId="25982"/>
    <cellStyle name="Saída 9 9 4 2 2" xfId="55161"/>
    <cellStyle name="Saída 9 9 4 3" xfId="41295"/>
    <cellStyle name="Saída 9 9 5" xfId="21554"/>
    <cellStyle name="Saída 9 9 5 2" xfId="50733"/>
    <cellStyle name="Saída 9 9 6" xfId="31517"/>
    <cellStyle name="Texto de Aviso 10" xfId="349"/>
    <cellStyle name="Texto de Aviso 2" xfId="350"/>
    <cellStyle name="Texto de Aviso 3" xfId="351"/>
    <cellStyle name="Texto de Aviso 4" xfId="352"/>
    <cellStyle name="Texto de Aviso 5" xfId="353"/>
    <cellStyle name="Texto de Aviso 6" xfId="354"/>
    <cellStyle name="Texto de Aviso 7" xfId="355"/>
    <cellStyle name="Texto de Aviso 8" xfId="356"/>
    <cellStyle name="Texto de Aviso 9" xfId="357"/>
    <cellStyle name="Texto Explicativo 10" xfId="358"/>
    <cellStyle name="Texto Explicativo 2" xfId="359"/>
    <cellStyle name="Texto Explicativo 3" xfId="360"/>
    <cellStyle name="Texto Explicativo 4" xfId="361"/>
    <cellStyle name="Texto Explicativo 5" xfId="362"/>
    <cellStyle name="Texto Explicativo 6" xfId="363"/>
    <cellStyle name="Texto Explicativo 7" xfId="364"/>
    <cellStyle name="Texto Explicativo 8" xfId="365"/>
    <cellStyle name="Texto Explicativo 9" xfId="366"/>
    <cellStyle name="Título 1 10" xfId="367"/>
    <cellStyle name="Título 1 2" xfId="368"/>
    <cellStyle name="Título 1 3" xfId="369"/>
    <cellStyle name="Título 1 4" xfId="370"/>
    <cellStyle name="Título 1 5" xfId="371"/>
    <cellStyle name="Título 1 6" xfId="372"/>
    <cellStyle name="Título 1 7" xfId="373"/>
    <cellStyle name="Título 1 8" xfId="374"/>
    <cellStyle name="Título 1 9" xfId="375"/>
    <cellStyle name="Título 10" xfId="376"/>
    <cellStyle name="Título 11" xfId="377"/>
    <cellStyle name="Título 12" xfId="378"/>
    <cellStyle name="Título 13" xfId="379"/>
    <cellStyle name="Título 2 10" xfId="380"/>
    <cellStyle name="Título 2 2" xfId="381"/>
    <cellStyle name="Título 2 3" xfId="382"/>
    <cellStyle name="Título 2 4" xfId="383"/>
    <cellStyle name="Título 2 5" xfId="384"/>
    <cellStyle name="Título 2 6" xfId="385"/>
    <cellStyle name="Título 2 7" xfId="386"/>
    <cellStyle name="Título 2 8" xfId="387"/>
    <cellStyle name="Título 2 9" xfId="388"/>
    <cellStyle name="Título 3 10" xfId="389"/>
    <cellStyle name="Título 3 2" xfId="390"/>
    <cellStyle name="Título 3 3" xfId="391"/>
    <cellStyle name="Título 3 4" xfId="392"/>
    <cellStyle name="Título 3 5" xfId="393"/>
    <cellStyle name="Título 3 6" xfId="394"/>
    <cellStyle name="Título 3 7" xfId="395"/>
    <cellStyle name="Título 3 8" xfId="396"/>
    <cellStyle name="Título 3 9" xfId="397"/>
    <cellStyle name="Título 4 10" xfId="398"/>
    <cellStyle name="Título 4 2" xfId="399"/>
    <cellStyle name="Título 4 3" xfId="400"/>
    <cellStyle name="Título 4 4" xfId="401"/>
    <cellStyle name="Título 4 5" xfId="402"/>
    <cellStyle name="Título 4 6" xfId="403"/>
    <cellStyle name="Título 4 7" xfId="404"/>
    <cellStyle name="Título 4 8" xfId="405"/>
    <cellStyle name="Título 4 9" xfId="406"/>
    <cellStyle name="Título 5" xfId="407"/>
    <cellStyle name="Título 6" xfId="408"/>
    <cellStyle name="Título 7" xfId="409"/>
    <cellStyle name="Título 8" xfId="410"/>
    <cellStyle name="Título 9" xfId="411"/>
    <cellStyle name="Total 10" xfId="412"/>
    <cellStyle name="Total 10 10" xfId="4126"/>
    <cellStyle name="Total 10 10 2" xfId="13390"/>
    <cellStyle name="Total 10 10 2 2" xfId="26703"/>
    <cellStyle name="Total 10 10 2 2 2" xfId="55882"/>
    <cellStyle name="Total 10 10 2 3" xfId="42571"/>
    <cellStyle name="Total 10 10 3" xfId="22275"/>
    <cellStyle name="Total 10 10 3 2" xfId="51454"/>
    <cellStyle name="Total 10 10 4" xfId="33309"/>
    <cellStyle name="Total 10 11" xfId="10737"/>
    <cellStyle name="Total 10 11 2" xfId="25163"/>
    <cellStyle name="Total 10 11 2 2" xfId="54342"/>
    <cellStyle name="Total 10 11 3" xfId="39918"/>
    <cellStyle name="Total 10 12" xfId="20735"/>
    <cellStyle name="Total 10 12 2" xfId="49914"/>
    <cellStyle name="Total 10 13" xfId="58755"/>
    <cellStyle name="Total 10 14" xfId="29618"/>
    <cellStyle name="Total 10 2" xfId="457"/>
    <cellStyle name="Total 10 2 10" xfId="7734"/>
    <cellStyle name="Total 10 2 10 2" xfId="16138"/>
    <cellStyle name="Total 10 2 10 2 2" xfId="28452"/>
    <cellStyle name="Total 10 2 10 2 2 2" xfId="57631"/>
    <cellStyle name="Total 10 2 10 2 3" xfId="45319"/>
    <cellStyle name="Total 10 2 10 3" xfId="24024"/>
    <cellStyle name="Total 10 2 10 3 2" xfId="53203"/>
    <cellStyle name="Total 10 2 10 4" xfId="36917"/>
    <cellStyle name="Total 10 2 11" xfId="10771"/>
    <cellStyle name="Total 10 2 11 2" xfId="25181"/>
    <cellStyle name="Total 10 2 11 2 2" xfId="54360"/>
    <cellStyle name="Total 10 2 11 3" xfId="39952"/>
    <cellStyle name="Total 10 2 12" xfId="20753"/>
    <cellStyle name="Total 10 2 12 2" xfId="49932"/>
    <cellStyle name="Total 10 2 13" xfId="58800"/>
    <cellStyle name="Total 10 2 14" xfId="29663"/>
    <cellStyle name="Total 10 2 2" xfId="547"/>
    <cellStyle name="Total 10 2 2 10" xfId="10834"/>
    <cellStyle name="Total 10 2 2 10 2" xfId="25217"/>
    <cellStyle name="Total 10 2 2 10 2 2" xfId="54396"/>
    <cellStyle name="Total 10 2 2 10 3" xfId="40015"/>
    <cellStyle name="Total 10 2 2 11" xfId="20789"/>
    <cellStyle name="Total 10 2 2 11 2" xfId="49968"/>
    <cellStyle name="Total 10 2 2 12" xfId="29753"/>
    <cellStyle name="Total 10 2 2 2" xfId="900"/>
    <cellStyle name="Total 10 2 2 2 2" xfId="1838"/>
    <cellStyle name="Total 10 2 2 2 2 2" xfId="3638"/>
    <cellStyle name="Total 10 2 2 2 2 2 2" xfId="6608"/>
    <cellStyle name="Total 10 2 2 2 2 2 2 2" xfId="15320"/>
    <cellStyle name="Total 10 2 2 2 2 2 2 2 2" xfId="27925"/>
    <cellStyle name="Total 10 2 2 2 2 2 2 2 2 2" xfId="57104"/>
    <cellStyle name="Total 10 2 2 2 2 2 2 2 3" xfId="44501"/>
    <cellStyle name="Total 10 2 2 2 2 2 2 3" xfId="23497"/>
    <cellStyle name="Total 10 2 2 2 2 2 2 3 2" xfId="52676"/>
    <cellStyle name="Total 10 2 2 2 2 2 2 4" xfId="35791"/>
    <cellStyle name="Total 10 2 2 2 2 2 3" xfId="9455"/>
    <cellStyle name="Total 10 2 2 2 2 2 3 2" xfId="17370"/>
    <cellStyle name="Total 10 2 2 2 2 2 3 2 2" xfId="29133"/>
    <cellStyle name="Total 10 2 2 2 2 2 3 2 2 2" xfId="58312"/>
    <cellStyle name="Total 10 2 2 2 2 2 3 2 3" xfId="46551"/>
    <cellStyle name="Total 10 2 2 2 2 2 3 3" xfId="24705"/>
    <cellStyle name="Total 10 2 2 2 2 2 3 3 2" xfId="53884"/>
    <cellStyle name="Total 10 2 2 2 2 2 3 4" xfId="38638"/>
    <cellStyle name="Total 10 2 2 2 2 2 4" xfId="13039"/>
    <cellStyle name="Total 10 2 2 2 2 2 4 2" xfId="26485"/>
    <cellStyle name="Total 10 2 2 2 2 2 4 2 2" xfId="55664"/>
    <cellStyle name="Total 10 2 2 2 2 2 4 3" xfId="42220"/>
    <cellStyle name="Total 10 2 2 2 2 2 5" xfId="22057"/>
    <cellStyle name="Total 10 2 2 2 2 2 5 2" xfId="51236"/>
    <cellStyle name="Total 10 2 2 2 2 2 6" xfId="32821"/>
    <cellStyle name="Total 10 2 2 2 2 3" xfId="5168"/>
    <cellStyle name="Total 10 2 2 2 2 3 2" xfId="14198"/>
    <cellStyle name="Total 10 2 2 2 2 3 2 2" xfId="27205"/>
    <cellStyle name="Total 10 2 2 2 2 3 2 2 2" xfId="56384"/>
    <cellStyle name="Total 10 2 2 2 2 3 2 3" xfId="43379"/>
    <cellStyle name="Total 10 2 2 2 2 3 3" xfId="22777"/>
    <cellStyle name="Total 10 2 2 2 2 3 3 2" xfId="51956"/>
    <cellStyle name="Total 10 2 2 2 2 3 4" xfId="34351"/>
    <cellStyle name="Total 10 2 2 2 2 4" xfId="9397"/>
    <cellStyle name="Total 10 2 2 2 2 4 2" xfId="17333"/>
    <cellStyle name="Total 10 2 2 2 2 4 2 2" xfId="29109"/>
    <cellStyle name="Total 10 2 2 2 2 4 2 2 2" xfId="58288"/>
    <cellStyle name="Total 10 2 2 2 2 4 2 3" xfId="46514"/>
    <cellStyle name="Total 10 2 2 2 2 4 3" xfId="24681"/>
    <cellStyle name="Total 10 2 2 2 2 4 3 2" xfId="53860"/>
    <cellStyle name="Total 10 2 2 2 2 4 4" xfId="38580"/>
    <cellStyle name="Total 10 2 2 2 2 5" xfId="11763"/>
    <cellStyle name="Total 10 2 2 2 2 5 2" xfId="25765"/>
    <cellStyle name="Total 10 2 2 2 2 5 2 2" xfId="54944"/>
    <cellStyle name="Total 10 2 2 2 2 5 3" xfId="40944"/>
    <cellStyle name="Total 10 2 2 2 2 6" xfId="21337"/>
    <cellStyle name="Total 10 2 2 2 2 6 2" xfId="50516"/>
    <cellStyle name="Total 10 2 2 2 2 7" xfId="31021"/>
    <cellStyle name="Total 10 2 2 2 3" xfId="2738"/>
    <cellStyle name="Total 10 2 2 2 3 2" xfId="5888"/>
    <cellStyle name="Total 10 2 2 2 3 2 2" xfId="14763"/>
    <cellStyle name="Total 10 2 2 2 3 2 2 2" xfId="27565"/>
    <cellStyle name="Total 10 2 2 2 3 2 2 2 2" xfId="56744"/>
    <cellStyle name="Total 10 2 2 2 3 2 2 3" xfId="43944"/>
    <cellStyle name="Total 10 2 2 2 3 2 3" xfId="23137"/>
    <cellStyle name="Total 10 2 2 2 3 2 3 2" xfId="52316"/>
    <cellStyle name="Total 10 2 2 2 3 2 4" xfId="35071"/>
    <cellStyle name="Total 10 2 2 2 3 3" xfId="8239"/>
    <cellStyle name="Total 10 2 2 2 3 3 2" xfId="16497"/>
    <cellStyle name="Total 10 2 2 2 3 3 2 2" xfId="28651"/>
    <cellStyle name="Total 10 2 2 2 3 3 2 2 2" xfId="57830"/>
    <cellStyle name="Total 10 2 2 2 3 3 2 3" xfId="45678"/>
    <cellStyle name="Total 10 2 2 2 3 3 3" xfId="24223"/>
    <cellStyle name="Total 10 2 2 2 3 3 3 2" xfId="53402"/>
    <cellStyle name="Total 10 2 2 2 3 3 4" xfId="37422"/>
    <cellStyle name="Total 10 2 2 2 3 4" xfId="12404"/>
    <cellStyle name="Total 10 2 2 2 3 4 2" xfId="26125"/>
    <cellStyle name="Total 10 2 2 2 3 4 2 2" xfId="55304"/>
    <cellStyle name="Total 10 2 2 2 3 4 3" xfId="41585"/>
    <cellStyle name="Total 10 2 2 2 3 5" xfId="21697"/>
    <cellStyle name="Total 10 2 2 2 3 5 2" xfId="50876"/>
    <cellStyle name="Total 10 2 2 2 3 6" xfId="31921"/>
    <cellStyle name="Total 10 2 2 2 4" xfId="4448"/>
    <cellStyle name="Total 10 2 2 2 4 2" xfId="13641"/>
    <cellStyle name="Total 10 2 2 2 4 2 2" xfId="26845"/>
    <cellStyle name="Total 10 2 2 2 4 2 2 2" xfId="56024"/>
    <cellStyle name="Total 10 2 2 2 4 2 3" xfId="42822"/>
    <cellStyle name="Total 10 2 2 2 4 3" xfId="22417"/>
    <cellStyle name="Total 10 2 2 2 4 3 2" xfId="51596"/>
    <cellStyle name="Total 10 2 2 2 4 4" xfId="33631"/>
    <cellStyle name="Total 10 2 2 2 5" xfId="7769"/>
    <cellStyle name="Total 10 2 2 2 5 2" xfId="16162"/>
    <cellStyle name="Total 10 2 2 2 5 2 2" xfId="28466"/>
    <cellStyle name="Total 10 2 2 2 5 2 2 2" xfId="57645"/>
    <cellStyle name="Total 10 2 2 2 5 2 3" xfId="45343"/>
    <cellStyle name="Total 10 2 2 2 5 3" xfId="24038"/>
    <cellStyle name="Total 10 2 2 2 5 3 2" xfId="53217"/>
    <cellStyle name="Total 10 2 2 2 5 4" xfId="36952"/>
    <cellStyle name="Total 10 2 2 2 6" xfId="11104"/>
    <cellStyle name="Total 10 2 2 2 6 2" xfId="25381"/>
    <cellStyle name="Total 10 2 2 2 6 2 2" xfId="54560"/>
    <cellStyle name="Total 10 2 2 2 6 3" xfId="40285"/>
    <cellStyle name="Total 10 2 2 2 7" xfId="20953"/>
    <cellStyle name="Total 10 2 2 2 7 2" xfId="50132"/>
    <cellStyle name="Total 10 2 2 2 8" xfId="30097"/>
    <cellStyle name="Total 10 2 2 3" xfId="1092"/>
    <cellStyle name="Total 10 2 2 3 2" xfId="2002"/>
    <cellStyle name="Total 10 2 2 3 2 2" xfId="3802"/>
    <cellStyle name="Total 10 2 2 3 2 2 2" xfId="6736"/>
    <cellStyle name="Total 10 2 2 3 2 2 2 2" xfId="15422"/>
    <cellStyle name="Total 10 2 2 3 2 2 2 2 2" xfId="27999"/>
    <cellStyle name="Total 10 2 2 3 2 2 2 2 2 2" xfId="57178"/>
    <cellStyle name="Total 10 2 2 3 2 2 2 2 3" xfId="44603"/>
    <cellStyle name="Total 10 2 2 3 2 2 2 3" xfId="23571"/>
    <cellStyle name="Total 10 2 2 3 2 2 2 3 2" xfId="52750"/>
    <cellStyle name="Total 10 2 2 3 2 2 2 4" xfId="35919"/>
    <cellStyle name="Total 10 2 2 3 2 2 3" xfId="9314"/>
    <cellStyle name="Total 10 2 2 3 2 2 3 2" xfId="17275"/>
    <cellStyle name="Total 10 2 2 3 2 2 3 2 2" xfId="29073"/>
    <cellStyle name="Total 10 2 2 3 2 2 3 2 2 2" xfId="58252"/>
    <cellStyle name="Total 10 2 2 3 2 2 3 2 3" xfId="46456"/>
    <cellStyle name="Total 10 2 2 3 2 2 3 3" xfId="24645"/>
    <cellStyle name="Total 10 2 2 3 2 2 3 3 2" xfId="53824"/>
    <cellStyle name="Total 10 2 2 3 2 2 3 4" xfId="38497"/>
    <cellStyle name="Total 10 2 2 3 2 2 4" xfId="13159"/>
    <cellStyle name="Total 10 2 2 3 2 2 4 2" xfId="26559"/>
    <cellStyle name="Total 10 2 2 3 2 2 4 2 2" xfId="55738"/>
    <cellStyle name="Total 10 2 2 3 2 2 4 3" xfId="42340"/>
    <cellStyle name="Total 10 2 2 3 2 2 5" xfId="22131"/>
    <cellStyle name="Total 10 2 2 3 2 2 5 2" xfId="51310"/>
    <cellStyle name="Total 10 2 2 3 2 2 6" xfId="32985"/>
    <cellStyle name="Total 10 2 2 3 2 3" xfId="5296"/>
    <cellStyle name="Total 10 2 2 3 2 3 2" xfId="14301"/>
    <cellStyle name="Total 10 2 2 3 2 3 2 2" xfId="27279"/>
    <cellStyle name="Total 10 2 2 3 2 3 2 2 2" xfId="56458"/>
    <cellStyle name="Total 10 2 2 3 2 3 2 3" xfId="43482"/>
    <cellStyle name="Total 10 2 2 3 2 3 3" xfId="22851"/>
    <cellStyle name="Total 10 2 2 3 2 3 3 2" xfId="52030"/>
    <cellStyle name="Total 10 2 2 3 2 3 4" xfId="34479"/>
    <cellStyle name="Total 10 2 2 3 2 4" xfId="9257"/>
    <cellStyle name="Total 10 2 2 3 2 4 2" xfId="17233"/>
    <cellStyle name="Total 10 2 2 3 2 4 2 2" xfId="29051"/>
    <cellStyle name="Total 10 2 2 3 2 4 2 2 2" xfId="58230"/>
    <cellStyle name="Total 10 2 2 3 2 4 2 3" xfId="46414"/>
    <cellStyle name="Total 10 2 2 3 2 4 3" xfId="24623"/>
    <cellStyle name="Total 10 2 2 3 2 4 3 2" xfId="53802"/>
    <cellStyle name="Total 10 2 2 3 2 4 4" xfId="38440"/>
    <cellStyle name="Total 10 2 2 3 2 5" xfId="11883"/>
    <cellStyle name="Total 10 2 2 3 2 5 2" xfId="25839"/>
    <cellStyle name="Total 10 2 2 3 2 5 2 2" xfId="55018"/>
    <cellStyle name="Total 10 2 2 3 2 5 3" xfId="41064"/>
    <cellStyle name="Total 10 2 2 3 2 6" xfId="21411"/>
    <cellStyle name="Total 10 2 2 3 2 6 2" xfId="50590"/>
    <cellStyle name="Total 10 2 2 3 2 7" xfId="31185"/>
    <cellStyle name="Total 10 2 2 3 3" xfId="2902"/>
    <cellStyle name="Total 10 2 2 3 3 2" xfId="6016"/>
    <cellStyle name="Total 10 2 2 3 3 2 2" xfId="14862"/>
    <cellStyle name="Total 10 2 2 3 3 2 2 2" xfId="27639"/>
    <cellStyle name="Total 10 2 2 3 3 2 2 2 2" xfId="56818"/>
    <cellStyle name="Total 10 2 2 3 3 2 2 3" xfId="44043"/>
    <cellStyle name="Total 10 2 2 3 3 2 3" xfId="23211"/>
    <cellStyle name="Total 10 2 2 3 3 2 3 2" xfId="52390"/>
    <cellStyle name="Total 10 2 2 3 3 2 4" xfId="35199"/>
    <cellStyle name="Total 10 2 2 3 3 3" xfId="7538"/>
    <cellStyle name="Total 10 2 2 3 3 3 2" xfId="16004"/>
    <cellStyle name="Total 10 2 2 3 3 3 2 2" xfId="28381"/>
    <cellStyle name="Total 10 2 2 3 3 3 2 2 2" xfId="57560"/>
    <cellStyle name="Total 10 2 2 3 3 3 2 3" xfId="45185"/>
    <cellStyle name="Total 10 2 2 3 3 3 3" xfId="23953"/>
    <cellStyle name="Total 10 2 2 3 3 3 3 2" xfId="53132"/>
    <cellStyle name="Total 10 2 2 3 3 3 4" xfId="36721"/>
    <cellStyle name="Total 10 2 2 3 3 4" xfId="12519"/>
    <cellStyle name="Total 10 2 2 3 3 4 2" xfId="26199"/>
    <cellStyle name="Total 10 2 2 3 3 4 2 2" xfId="55378"/>
    <cellStyle name="Total 10 2 2 3 3 4 3" xfId="41700"/>
    <cellStyle name="Total 10 2 2 3 3 5" xfId="21771"/>
    <cellStyle name="Total 10 2 2 3 3 5 2" xfId="50950"/>
    <cellStyle name="Total 10 2 2 3 3 6" xfId="32085"/>
    <cellStyle name="Total 10 2 2 3 4" xfId="4576"/>
    <cellStyle name="Total 10 2 2 3 4 2" xfId="13742"/>
    <cellStyle name="Total 10 2 2 3 4 2 2" xfId="26919"/>
    <cellStyle name="Total 10 2 2 3 4 2 2 2" xfId="56098"/>
    <cellStyle name="Total 10 2 2 3 4 2 3" xfId="42923"/>
    <cellStyle name="Total 10 2 2 3 4 3" xfId="22491"/>
    <cellStyle name="Total 10 2 2 3 4 3 2" xfId="51670"/>
    <cellStyle name="Total 10 2 2 3 4 4" xfId="33759"/>
    <cellStyle name="Total 10 2 2 3 5" xfId="9522"/>
    <cellStyle name="Total 10 2 2 3 5 2" xfId="17418"/>
    <cellStyle name="Total 10 2 2 3 5 2 2" xfId="29162"/>
    <cellStyle name="Total 10 2 2 3 5 2 2 2" xfId="58341"/>
    <cellStyle name="Total 10 2 2 3 5 2 3" xfId="46599"/>
    <cellStyle name="Total 10 2 2 3 5 3" xfId="24734"/>
    <cellStyle name="Total 10 2 2 3 5 3 2" xfId="53913"/>
    <cellStyle name="Total 10 2 2 3 5 4" xfId="38705"/>
    <cellStyle name="Total 10 2 2 3 6" xfId="11247"/>
    <cellStyle name="Total 10 2 2 3 6 2" xfId="25476"/>
    <cellStyle name="Total 10 2 2 3 6 2 2" xfId="54655"/>
    <cellStyle name="Total 10 2 2 3 6 3" xfId="40428"/>
    <cellStyle name="Total 10 2 2 3 7" xfId="21048"/>
    <cellStyle name="Total 10 2 2 3 7 2" xfId="50227"/>
    <cellStyle name="Total 10 2 2 3 8" xfId="30282"/>
    <cellStyle name="Total 10 2 2 4" xfId="1242"/>
    <cellStyle name="Total 10 2 2 4 2" xfId="2146"/>
    <cellStyle name="Total 10 2 2 4 2 2" xfId="3946"/>
    <cellStyle name="Total 10 2 2 4 2 2 2" xfId="6853"/>
    <cellStyle name="Total 10 2 2 4 2 2 2 2" xfId="15512"/>
    <cellStyle name="Total 10 2 2 4 2 2 2 2 2" xfId="28062"/>
    <cellStyle name="Total 10 2 2 4 2 2 2 2 2 2" xfId="57241"/>
    <cellStyle name="Total 10 2 2 4 2 2 2 2 3" xfId="44693"/>
    <cellStyle name="Total 10 2 2 4 2 2 2 3" xfId="23634"/>
    <cellStyle name="Total 10 2 2 4 2 2 2 3 2" xfId="52813"/>
    <cellStyle name="Total 10 2 2 4 2 2 2 4" xfId="36036"/>
    <cellStyle name="Total 10 2 2 4 2 2 3" xfId="7134"/>
    <cellStyle name="Total 10 2 2 4 2 2 3 2" xfId="15724"/>
    <cellStyle name="Total 10 2 2 4 2 2 3 2 2" xfId="28206"/>
    <cellStyle name="Total 10 2 2 4 2 2 3 2 2 2" xfId="57385"/>
    <cellStyle name="Total 10 2 2 4 2 2 3 2 3" xfId="44905"/>
    <cellStyle name="Total 10 2 2 4 2 2 3 3" xfId="23778"/>
    <cellStyle name="Total 10 2 2 4 2 2 3 3 2" xfId="52957"/>
    <cellStyle name="Total 10 2 2 4 2 2 3 4" xfId="36317"/>
    <cellStyle name="Total 10 2 2 4 2 2 4" xfId="13257"/>
    <cellStyle name="Total 10 2 2 4 2 2 4 2" xfId="26622"/>
    <cellStyle name="Total 10 2 2 4 2 2 4 2 2" xfId="55801"/>
    <cellStyle name="Total 10 2 2 4 2 2 4 3" xfId="42438"/>
    <cellStyle name="Total 10 2 2 4 2 2 5" xfId="22194"/>
    <cellStyle name="Total 10 2 2 4 2 2 5 2" xfId="51373"/>
    <cellStyle name="Total 10 2 2 4 2 2 6" xfId="33129"/>
    <cellStyle name="Total 10 2 2 4 2 3" xfId="5413"/>
    <cellStyle name="Total 10 2 2 4 2 3 2" xfId="14390"/>
    <cellStyle name="Total 10 2 2 4 2 3 2 2" xfId="27342"/>
    <cellStyle name="Total 10 2 2 4 2 3 2 2 2" xfId="56521"/>
    <cellStyle name="Total 10 2 2 4 2 3 2 3" xfId="43571"/>
    <cellStyle name="Total 10 2 2 4 2 3 3" xfId="22914"/>
    <cellStyle name="Total 10 2 2 4 2 3 3 2" xfId="52093"/>
    <cellStyle name="Total 10 2 2 4 2 3 4" xfId="34596"/>
    <cellStyle name="Total 10 2 2 4 2 4" xfId="8741"/>
    <cellStyle name="Total 10 2 2 4 2 4 2" xfId="16853"/>
    <cellStyle name="Total 10 2 2 4 2 4 2 2" xfId="28847"/>
    <cellStyle name="Total 10 2 2 4 2 4 2 2 2" xfId="58026"/>
    <cellStyle name="Total 10 2 2 4 2 4 2 3" xfId="46034"/>
    <cellStyle name="Total 10 2 2 4 2 4 3" xfId="24419"/>
    <cellStyle name="Total 10 2 2 4 2 4 3 2" xfId="53598"/>
    <cellStyle name="Total 10 2 2 4 2 4 4" xfId="37924"/>
    <cellStyle name="Total 10 2 2 4 2 5" xfId="11982"/>
    <cellStyle name="Total 10 2 2 4 2 5 2" xfId="25902"/>
    <cellStyle name="Total 10 2 2 4 2 5 2 2" xfId="55081"/>
    <cellStyle name="Total 10 2 2 4 2 5 3" xfId="41163"/>
    <cellStyle name="Total 10 2 2 4 2 6" xfId="21474"/>
    <cellStyle name="Total 10 2 2 4 2 6 2" xfId="50653"/>
    <cellStyle name="Total 10 2 2 4 2 7" xfId="31329"/>
    <cellStyle name="Total 10 2 2 4 3" xfId="3046"/>
    <cellStyle name="Total 10 2 2 4 3 2" xfId="6133"/>
    <cellStyle name="Total 10 2 2 4 3 2 2" xfId="14951"/>
    <cellStyle name="Total 10 2 2 4 3 2 2 2" xfId="27702"/>
    <cellStyle name="Total 10 2 2 4 3 2 2 2 2" xfId="56881"/>
    <cellStyle name="Total 10 2 2 4 3 2 2 3" xfId="44132"/>
    <cellStyle name="Total 10 2 2 4 3 2 3" xfId="23274"/>
    <cellStyle name="Total 10 2 2 4 3 2 3 2" xfId="52453"/>
    <cellStyle name="Total 10 2 2 4 3 2 4" xfId="35316"/>
    <cellStyle name="Total 10 2 2 4 3 3" xfId="10268"/>
    <cellStyle name="Total 10 2 2 4 3 3 2" xfId="17949"/>
    <cellStyle name="Total 10 2 2 4 3 3 2 2" xfId="29458"/>
    <cellStyle name="Total 10 2 2 4 3 3 2 2 2" xfId="58637"/>
    <cellStyle name="Total 10 2 2 4 3 3 2 3" xfId="47130"/>
    <cellStyle name="Total 10 2 2 4 3 3 3" xfId="25030"/>
    <cellStyle name="Total 10 2 2 4 3 3 3 2" xfId="54209"/>
    <cellStyle name="Total 10 2 2 4 3 3 4" xfId="39451"/>
    <cellStyle name="Total 10 2 2 4 3 4" xfId="12618"/>
    <cellStyle name="Total 10 2 2 4 3 4 2" xfId="26262"/>
    <cellStyle name="Total 10 2 2 4 3 4 2 2" xfId="55441"/>
    <cellStyle name="Total 10 2 2 4 3 4 3" xfId="41799"/>
    <cellStyle name="Total 10 2 2 4 3 5" xfId="21834"/>
    <cellStyle name="Total 10 2 2 4 3 5 2" xfId="51013"/>
    <cellStyle name="Total 10 2 2 4 3 6" xfId="32229"/>
    <cellStyle name="Total 10 2 2 4 4" xfId="4693"/>
    <cellStyle name="Total 10 2 2 4 4 2" xfId="13831"/>
    <cellStyle name="Total 10 2 2 4 4 2 2" xfId="26982"/>
    <cellStyle name="Total 10 2 2 4 4 2 2 2" xfId="56161"/>
    <cellStyle name="Total 10 2 2 4 4 2 3" xfId="43012"/>
    <cellStyle name="Total 10 2 2 4 4 3" xfId="22554"/>
    <cellStyle name="Total 10 2 2 4 4 3 2" xfId="51733"/>
    <cellStyle name="Total 10 2 2 4 4 4" xfId="33876"/>
    <cellStyle name="Total 10 2 2 4 5" xfId="9908"/>
    <cellStyle name="Total 10 2 2 4 5 2" xfId="17696"/>
    <cellStyle name="Total 10 2 2 4 5 2 2" xfId="29311"/>
    <cellStyle name="Total 10 2 2 4 5 2 2 2" xfId="58490"/>
    <cellStyle name="Total 10 2 2 4 5 2 3" xfId="46877"/>
    <cellStyle name="Total 10 2 2 4 5 3" xfId="24883"/>
    <cellStyle name="Total 10 2 2 4 5 3 2" xfId="54062"/>
    <cellStyle name="Total 10 2 2 4 5 4" xfId="39091"/>
    <cellStyle name="Total 10 2 2 4 6" xfId="11352"/>
    <cellStyle name="Total 10 2 2 4 6 2" xfId="25542"/>
    <cellStyle name="Total 10 2 2 4 6 2 2" xfId="54721"/>
    <cellStyle name="Total 10 2 2 4 6 3" xfId="40533"/>
    <cellStyle name="Total 10 2 2 4 7" xfId="21114"/>
    <cellStyle name="Total 10 2 2 4 7 2" xfId="50293"/>
    <cellStyle name="Total 10 2 2 4 8" xfId="30429"/>
    <cellStyle name="Total 10 2 2 5" xfId="1388"/>
    <cellStyle name="Total 10 2 2 5 2" xfId="2290"/>
    <cellStyle name="Total 10 2 2 5 2 2" xfId="4090"/>
    <cellStyle name="Total 10 2 2 5 2 2 2" xfId="6970"/>
    <cellStyle name="Total 10 2 2 5 2 2 2 2" xfId="15602"/>
    <cellStyle name="Total 10 2 2 5 2 2 2 2 2" xfId="28125"/>
    <cellStyle name="Total 10 2 2 5 2 2 2 2 2 2" xfId="57304"/>
    <cellStyle name="Total 10 2 2 5 2 2 2 2 3" xfId="44783"/>
    <cellStyle name="Total 10 2 2 5 2 2 2 3" xfId="23697"/>
    <cellStyle name="Total 10 2 2 5 2 2 2 3 2" xfId="52876"/>
    <cellStyle name="Total 10 2 2 5 2 2 2 4" xfId="36153"/>
    <cellStyle name="Total 10 2 2 5 2 2 3" xfId="6990"/>
    <cellStyle name="Total 10 2 2 5 2 2 3 2" xfId="15620"/>
    <cellStyle name="Total 10 2 2 5 2 2 3 2 2" xfId="28143"/>
    <cellStyle name="Total 10 2 2 5 2 2 3 2 2 2" xfId="57322"/>
    <cellStyle name="Total 10 2 2 5 2 2 3 2 3" xfId="44801"/>
    <cellStyle name="Total 10 2 2 5 2 2 3 3" xfId="23715"/>
    <cellStyle name="Total 10 2 2 5 2 2 3 3 2" xfId="52894"/>
    <cellStyle name="Total 10 2 2 5 2 2 3 4" xfId="36173"/>
    <cellStyle name="Total 10 2 2 5 2 2 4" xfId="13362"/>
    <cellStyle name="Total 10 2 2 5 2 2 4 2" xfId="26685"/>
    <cellStyle name="Total 10 2 2 5 2 2 4 2 2" xfId="55864"/>
    <cellStyle name="Total 10 2 2 5 2 2 4 3" xfId="42543"/>
    <cellStyle name="Total 10 2 2 5 2 2 5" xfId="22257"/>
    <cellStyle name="Total 10 2 2 5 2 2 5 2" xfId="51436"/>
    <cellStyle name="Total 10 2 2 5 2 2 6" xfId="33273"/>
    <cellStyle name="Total 10 2 2 5 2 3" xfId="5530"/>
    <cellStyle name="Total 10 2 2 5 2 3 2" xfId="14483"/>
    <cellStyle name="Total 10 2 2 5 2 3 2 2" xfId="27405"/>
    <cellStyle name="Total 10 2 2 5 2 3 2 2 2" xfId="56584"/>
    <cellStyle name="Total 10 2 2 5 2 3 2 3" xfId="43664"/>
    <cellStyle name="Total 10 2 2 5 2 3 3" xfId="22977"/>
    <cellStyle name="Total 10 2 2 5 2 3 3 2" xfId="52156"/>
    <cellStyle name="Total 10 2 2 5 2 3 4" xfId="34713"/>
    <cellStyle name="Total 10 2 2 5 2 4" xfId="7290"/>
    <cellStyle name="Total 10 2 2 5 2 4 2" xfId="15833"/>
    <cellStyle name="Total 10 2 2 5 2 4 2 2" xfId="28275"/>
    <cellStyle name="Total 10 2 2 5 2 4 2 2 2" xfId="57454"/>
    <cellStyle name="Total 10 2 2 5 2 4 2 3" xfId="45014"/>
    <cellStyle name="Total 10 2 2 5 2 4 3" xfId="23847"/>
    <cellStyle name="Total 10 2 2 5 2 4 3 2" xfId="53026"/>
    <cellStyle name="Total 10 2 2 5 2 4 4" xfId="36473"/>
    <cellStyle name="Total 10 2 2 5 2 5" xfId="12083"/>
    <cellStyle name="Total 10 2 2 5 2 5 2" xfId="25965"/>
    <cellStyle name="Total 10 2 2 5 2 5 2 2" xfId="55144"/>
    <cellStyle name="Total 10 2 2 5 2 5 3" xfId="41264"/>
    <cellStyle name="Total 10 2 2 5 2 6" xfId="21537"/>
    <cellStyle name="Total 10 2 2 5 2 6 2" xfId="50716"/>
    <cellStyle name="Total 10 2 2 5 2 7" xfId="31473"/>
    <cellStyle name="Total 10 2 2 5 3" xfId="3190"/>
    <cellStyle name="Total 10 2 2 5 3 2" xfId="6250"/>
    <cellStyle name="Total 10 2 2 5 3 2 2" xfId="15043"/>
    <cellStyle name="Total 10 2 2 5 3 2 2 2" xfId="27765"/>
    <cellStyle name="Total 10 2 2 5 3 2 2 2 2" xfId="56944"/>
    <cellStyle name="Total 10 2 2 5 3 2 2 3" xfId="44224"/>
    <cellStyle name="Total 10 2 2 5 3 2 3" xfId="23337"/>
    <cellStyle name="Total 10 2 2 5 3 2 3 2" xfId="52516"/>
    <cellStyle name="Total 10 2 2 5 3 2 4" xfId="35433"/>
    <cellStyle name="Total 10 2 2 5 3 3" xfId="7179"/>
    <cellStyle name="Total 10 2 2 5 3 3 2" xfId="15755"/>
    <cellStyle name="Total 10 2 2 5 3 3 2 2" xfId="28227"/>
    <cellStyle name="Total 10 2 2 5 3 3 2 2 2" xfId="57406"/>
    <cellStyle name="Total 10 2 2 5 3 3 2 3" xfId="44936"/>
    <cellStyle name="Total 10 2 2 5 3 3 3" xfId="23799"/>
    <cellStyle name="Total 10 2 2 5 3 3 3 2" xfId="52978"/>
    <cellStyle name="Total 10 2 2 5 3 3 4" xfId="36362"/>
    <cellStyle name="Total 10 2 2 5 3 4" xfId="12724"/>
    <cellStyle name="Total 10 2 2 5 3 4 2" xfId="26325"/>
    <cellStyle name="Total 10 2 2 5 3 4 2 2" xfId="55504"/>
    <cellStyle name="Total 10 2 2 5 3 4 3" xfId="41905"/>
    <cellStyle name="Total 10 2 2 5 3 5" xfId="21897"/>
    <cellStyle name="Total 10 2 2 5 3 5 2" xfId="51076"/>
    <cellStyle name="Total 10 2 2 5 3 6" xfId="32373"/>
    <cellStyle name="Total 10 2 2 5 4" xfId="4810"/>
    <cellStyle name="Total 10 2 2 5 4 2" xfId="13919"/>
    <cellStyle name="Total 10 2 2 5 4 2 2" xfId="27045"/>
    <cellStyle name="Total 10 2 2 5 4 2 2 2" xfId="56224"/>
    <cellStyle name="Total 10 2 2 5 4 2 3" xfId="43100"/>
    <cellStyle name="Total 10 2 2 5 4 3" xfId="22617"/>
    <cellStyle name="Total 10 2 2 5 4 3 2" xfId="51796"/>
    <cellStyle name="Total 10 2 2 5 4 4" xfId="33993"/>
    <cellStyle name="Total 10 2 2 5 5" xfId="8135"/>
    <cellStyle name="Total 10 2 2 5 5 2" xfId="16419"/>
    <cellStyle name="Total 10 2 2 5 5 2 2" xfId="28610"/>
    <cellStyle name="Total 10 2 2 5 5 2 2 2" xfId="57789"/>
    <cellStyle name="Total 10 2 2 5 5 2 3" xfId="45600"/>
    <cellStyle name="Total 10 2 2 5 5 3" xfId="24182"/>
    <cellStyle name="Total 10 2 2 5 5 3 2" xfId="53361"/>
    <cellStyle name="Total 10 2 2 5 5 4" xfId="37318"/>
    <cellStyle name="Total 10 2 2 5 6" xfId="11452"/>
    <cellStyle name="Total 10 2 2 5 6 2" xfId="25605"/>
    <cellStyle name="Total 10 2 2 5 6 2 2" xfId="54784"/>
    <cellStyle name="Total 10 2 2 5 6 3" xfId="40633"/>
    <cellStyle name="Total 10 2 2 5 7" xfId="21177"/>
    <cellStyle name="Total 10 2 2 5 7 2" xfId="50356"/>
    <cellStyle name="Total 10 2 2 5 8" xfId="30573"/>
    <cellStyle name="Total 10 2 2 6" xfId="1570"/>
    <cellStyle name="Total 10 2 2 6 2" xfId="3370"/>
    <cellStyle name="Total 10 2 2 6 2 2" xfId="6394"/>
    <cellStyle name="Total 10 2 2 6 2 2 2" xfId="15149"/>
    <cellStyle name="Total 10 2 2 6 2 2 2 2" xfId="27837"/>
    <cellStyle name="Total 10 2 2 6 2 2 2 2 2" xfId="57016"/>
    <cellStyle name="Total 10 2 2 6 2 2 2 3" xfId="44330"/>
    <cellStyle name="Total 10 2 2 6 2 2 3" xfId="23409"/>
    <cellStyle name="Total 10 2 2 6 2 2 3 2" xfId="52588"/>
    <cellStyle name="Total 10 2 2 6 2 2 4" xfId="35577"/>
    <cellStyle name="Total 10 2 2 6 2 3" xfId="8232"/>
    <cellStyle name="Total 10 2 2 6 2 3 2" xfId="16492"/>
    <cellStyle name="Total 10 2 2 6 2 3 2 2" xfId="28647"/>
    <cellStyle name="Total 10 2 2 6 2 3 2 2 2" xfId="57826"/>
    <cellStyle name="Total 10 2 2 6 2 3 2 3" xfId="45673"/>
    <cellStyle name="Total 10 2 2 6 2 3 3" xfId="24219"/>
    <cellStyle name="Total 10 2 2 6 2 3 3 2" xfId="53398"/>
    <cellStyle name="Total 10 2 2 6 2 3 4" xfId="37415"/>
    <cellStyle name="Total 10 2 2 6 2 4" xfId="12846"/>
    <cellStyle name="Total 10 2 2 6 2 4 2" xfId="26397"/>
    <cellStyle name="Total 10 2 2 6 2 4 2 2" xfId="55576"/>
    <cellStyle name="Total 10 2 2 6 2 4 3" xfId="42027"/>
    <cellStyle name="Total 10 2 2 6 2 5" xfId="21969"/>
    <cellStyle name="Total 10 2 2 6 2 5 2" xfId="51148"/>
    <cellStyle name="Total 10 2 2 6 2 6" xfId="32553"/>
    <cellStyle name="Total 10 2 2 6 3" xfId="4954"/>
    <cellStyle name="Total 10 2 2 6 3 2" xfId="14028"/>
    <cellStyle name="Total 10 2 2 6 3 2 2" xfId="27117"/>
    <cellStyle name="Total 10 2 2 6 3 2 2 2" xfId="56296"/>
    <cellStyle name="Total 10 2 2 6 3 2 3" xfId="43209"/>
    <cellStyle name="Total 10 2 2 6 3 3" xfId="22689"/>
    <cellStyle name="Total 10 2 2 6 3 3 2" xfId="51868"/>
    <cellStyle name="Total 10 2 2 6 3 4" xfId="34137"/>
    <cellStyle name="Total 10 2 2 6 4" xfId="10068"/>
    <cellStyle name="Total 10 2 2 6 4 2" xfId="17804"/>
    <cellStyle name="Total 10 2 2 6 4 2 2" xfId="29371"/>
    <cellStyle name="Total 10 2 2 6 4 2 2 2" xfId="58550"/>
    <cellStyle name="Total 10 2 2 6 4 2 3" xfId="46985"/>
    <cellStyle name="Total 10 2 2 6 4 3" xfId="24943"/>
    <cellStyle name="Total 10 2 2 6 4 3 2" xfId="54122"/>
    <cellStyle name="Total 10 2 2 6 4 4" xfId="39251"/>
    <cellStyle name="Total 10 2 2 6 5" xfId="11575"/>
    <cellStyle name="Total 10 2 2 6 5 2" xfId="25677"/>
    <cellStyle name="Total 10 2 2 6 5 2 2" xfId="54856"/>
    <cellStyle name="Total 10 2 2 6 5 3" xfId="40756"/>
    <cellStyle name="Total 10 2 2 6 6" xfId="21249"/>
    <cellStyle name="Total 10 2 2 6 6 2" xfId="50428"/>
    <cellStyle name="Total 10 2 2 6 7" xfId="30753"/>
    <cellStyle name="Total 10 2 2 7" xfId="2470"/>
    <cellStyle name="Total 10 2 2 7 2" xfId="5674"/>
    <cellStyle name="Total 10 2 2 7 2 2" xfId="14596"/>
    <cellStyle name="Total 10 2 2 7 2 2 2" xfId="27477"/>
    <cellStyle name="Total 10 2 2 7 2 2 2 2" xfId="56656"/>
    <cellStyle name="Total 10 2 2 7 2 2 3" xfId="43777"/>
    <cellStyle name="Total 10 2 2 7 2 3" xfId="23049"/>
    <cellStyle name="Total 10 2 2 7 2 3 2" xfId="52228"/>
    <cellStyle name="Total 10 2 2 7 2 4" xfId="34857"/>
    <cellStyle name="Total 10 2 2 7 3" xfId="9293"/>
    <cellStyle name="Total 10 2 2 7 3 2" xfId="17258"/>
    <cellStyle name="Total 10 2 2 7 3 2 2" xfId="29065"/>
    <cellStyle name="Total 10 2 2 7 3 2 2 2" xfId="58244"/>
    <cellStyle name="Total 10 2 2 7 3 2 3" xfId="46439"/>
    <cellStyle name="Total 10 2 2 7 3 3" xfId="24637"/>
    <cellStyle name="Total 10 2 2 7 3 3 2" xfId="53816"/>
    <cellStyle name="Total 10 2 2 7 3 4" xfId="38476"/>
    <cellStyle name="Total 10 2 2 7 4" xfId="12212"/>
    <cellStyle name="Total 10 2 2 7 4 2" xfId="26037"/>
    <cellStyle name="Total 10 2 2 7 4 2 2" xfId="55216"/>
    <cellStyle name="Total 10 2 2 7 4 3" xfId="41393"/>
    <cellStyle name="Total 10 2 2 7 5" xfId="21609"/>
    <cellStyle name="Total 10 2 2 7 5 2" xfId="50788"/>
    <cellStyle name="Total 10 2 2 7 6" xfId="31653"/>
    <cellStyle name="Total 10 2 2 8" xfId="4234"/>
    <cellStyle name="Total 10 2 2 8 2" xfId="13477"/>
    <cellStyle name="Total 10 2 2 8 2 2" xfId="26757"/>
    <cellStyle name="Total 10 2 2 8 2 2 2" xfId="55936"/>
    <cellStyle name="Total 10 2 2 8 2 3" xfId="42658"/>
    <cellStyle name="Total 10 2 2 8 3" xfId="22329"/>
    <cellStyle name="Total 10 2 2 8 3 2" xfId="51508"/>
    <cellStyle name="Total 10 2 2 8 4" xfId="33417"/>
    <cellStyle name="Total 10 2 2 9" xfId="8876"/>
    <cellStyle name="Total 10 2 2 9 2" xfId="16961"/>
    <cellStyle name="Total 10 2 2 9 2 2" xfId="28904"/>
    <cellStyle name="Total 10 2 2 9 2 2 2" xfId="58083"/>
    <cellStyle name="Total 10 2 2 9 2 3" xfId="46142"/>
    <cellStyle name="Total 10 2 2 9 3" xfId="24476"/>
    <cellStyle name="Total 10 2 2 9 3 2" xfId="53655"/>
    <cellStyle name="Total 10 2 2 9 4" xfId="38059"/>
    <cellStyle name="Total 10 2 3" xfId="810"/>
    <cellStyle name="Total 10 2 3 2" xfId="1748"/>
    <cellStyle name="Total 10 2 3 2 2" xfId="3548"/>
    <cellStyle name="Total 10 2 3 2 2 2" xfId="6536"/>
    <cellStyle name="Total 10 2 3 2 2 2 2" xfId="15265"/>
    <cellStyle name="Total 10 2 3 2 2 2 2 2" xfId="27889"/>
    <cellStyle name="Total 10 2 3 2 2 2 2 2 2" xfId="57068"/>
    <cellStyle name="Total 10 2 3 2 2 2 2 3" xfId="44446"/>
    <cellStyle name="Total 10 2 3 2 2 2 3" xfId="23461"/>
    <cellStyle name="Total 10 2 3 2 2 2 3 2" xfId="52640"/>
    <cellStyle name="Total 10 2 3 2 2 2 4" xfId="35719"/>
    <cellStyle name="Total 10 2 3 2 2 3" xfId="9844"/>
    <cellStyle name="Total 10 2 3 2 2 3 2" xfId="17652"/>
    <cellStyle name="Total 10 2 3 2 2 3 2 2" xfId="29288"/>
    <cellStyle name="Total 10 2 3 2 2 3 2 2 2" xfId="58467"/>
    <cellStyle name="Total 10 2 3 2 2 3 2 3" xfId="46833"/>
    <cellStyle name="Total 10 2 3 2 2 3 3" xfId="24860"/>
    <cellStyle name="Total 10 2 3 2 2 3 3 2" xfId="54039"/>
    <cellStyle name="Total 10 2 3 2 2 3 4" xfId="39027"/>
    <cellStyle name="Total 10 2 3 2 2 4" xfId="12976"/>
    <cellStyle name="Total 10 2 3 2 2 4 2" xfId="26449"/>
    <cellStyle name="Total 10 2 3 2 2 4 2 2" xfId="55628"/>
    <cellStyle name="Total 10 2 3 2 2 4 3" xfId="42157"/>
    <cellStyle name="Total 10 2 3 2 2 5" xfId="22021"/>
    <cellStyle name="Total 10 2 3 2 2 5 2" xfId="51200"/>
    <cellStyle name="Total 10 2 3 2 2 6" xfId="32731"/>
    <cellStyle name="Total 10 2 3 2 3" xfId="5096"/>
    <cellStyle name="Total 10 2 3 2 3 2" xfId="14141"/>
    <cellStyle name="Total 10 2 3 2 3 2 2" xfId="27169"/>
    <cellStyle name="Total 10 2 3 2 3 2 2 2" xfId="56348"/>
    <cellStyle name="Total 10 2 3 2 3 2 3" xfId="43322"/>
    <cellStyle name="Total 10 2 3 2 3 3" xfId="22741"/>
    <cellStyle name="Total 10 2 3 2 3 3 2" xfId="51920"/>
    <cellStyle name="Total 10 2 3 2 3 4" xfId="34279"/>
    <cellStyle name="Total 10 2 3 2 4" xfId="9376"/>
    <cellStyle name="Total 10 2 3 2 4 2" xfId="17318"/>
    <cellStyle name="Total 10 2 3 2 4 2 2" xfId="29100"/>
    <cellStyle name="Total 10 2 3 2 4 2 2 2" xfId="58279"/>
    <cellStyle name="Total 10 2 3 2 4 2 3" xfId="46499"/>
    <cellStyle name="Total 10 2 3 2 4 3" xfId="24672"/>
    <cellStyle name="Total 10 2 3 2 4 3 2" xfId="53851"/>
    <cellStyle name="Total 10 2 3 2 4 4" xfId="38559"/>
    <cellStyle name="Total 10 2 3 2 5" xfId="11702"/>
    <cellStyle name="Total 10 2 3 2 5 2" xfId="25729"/>
    <cellStyle name="Total 10 2 3 2 5 2 2" xfId="54908"/>
    <cellStyle name="Total 10 2 3 2 5 3" xfId="40883"/>
    <cellStyle name="Total 10 2 3 2 6" xfId="21301"/>
    <cellStyle name="Total 10 2 3 2 6 2" xfId="50480"/>
    <cellStyle name="Total 10 2 3 2 7" xfId="30931"/>
    <cellStyle name="Total 10 2 3 3" xfId="2648"/>
    <cellStyle name="Total 10 2 3 3 2" xfId="5816"/>
    <cellStyle name="Total 10 2 3 3 2 2" xfId="14706"/>
    <cellStyle name="Total 10 2 3 3 2 2 2" xfId="27529"/>
    <cellStyle name="Total 10 2 3 3 2 2 2 2" xfId="56708"/>
    <cellStyle name="Total 10 2 3 3 2 2 3" xfId="43887"/>
    <cellStyle name="Total 10 2 3 3 2 3" xfId="23101"/>
    <cellStyle name="Total 10 2 3 3 2 3 2" xfId="52280"/>
    <cellStyle name="Total 10 2 3 3 2 4" xfId="34999"/>
    <cellStyle name="Total 10 2 3 3 3" xfId="7955"/>
    <cellStyle name="Total 10 2 3 3 3 2" xfId="16295"/>
    <cellStyle name="Total 10 2 3 3 3 2 2" xfId="28540"/>
    <cellStyle name="Total 10 2 3 3 3 2 2 2" xfId="57719"/>
    <cellStyle name="Total 10 2 3 3 3 2 3" xfId="45476"/>
    <cellStyle name="Total 10 2 3 3 3 3" xfId="24112"/>
    <cellStyle name="Total 10 2 3 3 3 3 2" xfId="53291"/>
    <cellStyle name="Total 10 2 3 3 3 4" xfId="37138"/>
    <cellStyle name="Total 10 2 3 3 4" xfId="12338"/>
    <cellStyle name="Total 10 2 3 3 4 2" xfId="26089"/>
    <cellStyle name="Total 10 2 3 3 4 2 2" xfId="55268"/>
    <cellStyle name="Total 10 2 3 3 4 3" xfId="41519"/>
    <cellStyle name="Total 10 2 3 3 5" xfId="21661"/>
    <cellStyle name="Total 10 2 3 3 5 2" xfId="50840"/>
    <cellStyle name="Total 10 2 3 3 6" xfId="31831"/>
    <cellStyle name="Total 10 2 3 4" xfId="4376"/>
    <cellStyle name="Total 10 2 3 4 2" xfId="13582"/>
    <cellStyle name="Total 10 2 3 4 2 2" xfId="26809"/>
    <cellStyle name="Total 10 2 3 4 2 2 2" xfId="55988"/>
    <cellStyle name="Total 10 2 3 4 2 3" xfId="42763"/>
    <cellStyle name="Total 10 2 3 4 3" xfId="22381"/>
    <cellStyle name="Total 10 2 3 4 3 2" xfId="51560"/>
    <cellStyle name="Total 10 2 3 4 4" xfId="33559"/>
    <cellStyle name="Total 10 2 3 5" xfId="10371"/>
    <cellStyle name="Total 10 2 3 5 2" xfId="18015"/>
    <cellStyle name="Total 10 2 3 5 2 2" xfId="29493"/>
    <cellStyle name="Total 10 2 3 5 2 2 2" xfId="58672"/>
    <cellStyle name="Total 10 2 3 5 2 3" xfId="47196"/>
    <cellStyle name="Total 10 2 3 5 3" xfId="25065"/>
    <cellStyle name="Total 10 2 3 5 3 2" xfId="54244"/>
    <cellStyle name="Total 10 2 3 5 4" xfId="39554"/>
    <cellStyle name="Total 10 2 3 6" xfId="11041"/>
    <cellStyle name="Total 10 2 3 6 2" xfId="25345"/>
    <cellStyle name="Total 10 2 3 6 2 2" xfId="54524"/>
    <cellStyle name="Total 10 2 3 6 3" xfId="40222"/>
    <cellStyle name="Total 10 2 3 7" xfId="20917"/>
    <cellStyle name="Total 10 2 3 7 2" xfId="50096"/>
    <cellStyle name="Total 10 2 3 8" xfId="30007"/>
    <cellStyle name="Total 10 2 4" xfId="1002"/>
    <cellStyle name="Total 10 2 4 2" xfId="1912"/>
    <cellStyle name="Total 10 2 4 2 2" xfId="3712"/>
    <cellStyle name="Total 10 2 4 2 2 2" xfId="6664"/>
    <cellStyle name="Total 10 2 4 2 2 2 2" xfId="15365"/>
    <cellStyle name="Total 10 2 4 2 2 2 2 2" xfId="27963"/>
    <cellStyle name="Total 10 2 4 2 2 2 2 2 2" xfId="57142"/>
    <cellStyle name="Total 10 2 4 2 2 2 2 3" xfId="44546"/>
    <cellStyle name="Total 10 2 4 2 2 2 3" xfId="23535"/>
    <cellStyle name="Total 10 2 4 2 2 2 3 2" xfId="52714"/>
    <cellStyle name="Total 10 2 4 2 2 2 4" xfId="35847"/>
    <cellStyle name="Total 10 2 4 2 2 3" xfId="8922"/>
    <cellStyle name="Total 10 2 4 2 2 3 2" xfId="16992"/>
    <cellStyle name="Total 10 2 4 2 2 3 2 2" xfId="28918"/>
    <cellStyle name="Total 10 2 4 2 2 3 2 2 2" xfId="58097"/>
    <cellStyle name="Total 10 2 4 2 2 3 2 3" xfId="46173"/>
    <cellStyle name="Total 10 2 4 2 2 3 3" xfId="24490"/>
    <cellStyle name="Total 10 2 4 2 2 3 3 2" xfId="53669"/>
    <cellStyle name="Total 10 2 4 2 2 3 4" xfId="38105"/>
    <cellStyle name="Total 10 2 4 2 2 4" xfId="13096"/>
    <cellStyle name="Total 10 2 4 2 2 4 2" xfId="26523"/>
    <cellStyle name="Total 10 2 4 2 2 4 2 2" xfId="55702"/>
    <cellStyle name="Total 10 2 4 2 2 4 3" xfId="42277"/>
    <cellStyle name="Total 10 2 4 2 2 5" xfId="22095"/>
    <cellStyle name="Total 10 2 4 2 2 5 2" xfId="51274"/>
    <cellStyle name="Total 10 2 4 2 2 6" xfId="32895"/>
    <cellStyle name="Total 10 2 4 2 3" xfId="5224"/>
    <cellStyle name="Total 10 2 4 2 3 2" xfId="14243"/>
    <cellStyle name="Total 10 2 4 2 3 2 2" xfId="27243"/>
    <cellStyle name="Total 10 2 4 2 3 2 2 2" xfId="56422"/>
    <cellStyle name="Total 10 2 4 2 3 2 3" xfId="43424"/>
    <cellStyle name="Total 10 2 4 2 3 3" xfId="22815"/>
    <cellStyle name="Total 10 2 4 2 3 3 2" xfId="51994"/>
    <cellStyle name="Total 10 2 4 2 3 4" xfId="34407"/>
    <cellStyle name="Total 10 2 4 2 4" xfId="7468"/>
    <cellStyle name="Total 10 2 4 2 4 2" xfId="15954"/>
    <cellStyle name="Total 10 2 4 2 4 2 2" xfId="28352"/>
    <cellStyle name="Total 10 2 4 2 4 2 2 2" xfId="57531"/>
    <cellStyle name="Total 10 2 4 2 4 2 3" xfId="45135"/>
    <cellStyle name="Total 10 2 4 2 4 3" xfId="23924"/>
    <cellStyle name="Total 10 2 4 2 4 3 2" xfId="53103"/>
    <cellStyle name="Total 10 2 4 2 4 4" xfId="36651"/>
    <cellStyle name="Total 10 2 4 2 5" xfId="11820"/>
    <cellStyle name="Total 10 2 4 2 5 2" xfId="25803"/>
    <cellStyle name="Total 10 2 4 2 5 2 2" xfId="54982"/>
    <cellStyle name="Total 10 2 4 2 5 3" xfId="41001"/>
    <cellStyle name="Total 10 2 4 2 6" xfId="21375"/>
    <cellStyle name="Total 10 2 4 2 6 2" xfId="50554"/>
    <cellStyle name="Total 10 2 4 2 7" xfId="31095"/>
    <cellStyle name="Total 10 2 4 3" xfId="2812"/>
    <cellStyle name="Total 10 2 4 3 2" xfId="5944"/>
    <cellStyle name="Total 10 2 4 3 2 2" xfId="14807"/>
    <cellStyle name="Total 10 2 4 3 2 2 2" xfId="27603"/>
    <cellStyle name="Total 10 2 4 3 2 2 2 2" xfId="56782"/>
    <cellStyle name="Total 10 2 4 3 2 2 3" xfId="43988"/>
    <cellStyle name="Total 10 2 4 3 2 3" xfId="23175"/>
    <cellStyle name="Total 10 2 4 3 2 3 2" xfId="52354"/>
    <cellStyle name="Total 10 2 4 3 2 4" xfId="35127"/>
    <cellStyle name="Total 10 2 4 3 3" xfId="7786"/>
    <cellStyle name="Total 10 2 4 3 3 2" xfId="16174"/>
    <cellStyle name="Total 10 2 4 3 3 2 2" xfId="28471"/>
    <cellStyle name="Total 10 2 4 3 3 2 2 2" xfId="57650"/>
    <cellStyle name="Total 10 2 4 3 3 2 3" xfId="45355"/>
    <cellStyle name="Total 10 2 4 3 3 3" xfId="24043"/>
    <cellStyle name="Total 10 2 4 3 3 3 2" xfId="53222"/>
    <cellStyle name="Total 10 2 4 3 3 4" xfId="36969"/>
    <cellStyle name="Total 10 2 4 3 4" xfId="12457"/>
    <cellStyle name="Total 10 2 4 3 4 2" xfId="26163"/>
    <cellStyle name="Total 10 2 4 3 4 2 2" xfId="55342"/>
    <cellStyle name="Total 10 2 4 3 4 3" xfId="41638"/>
    <cellStyle name="Total 10 2 4 3 5" xfId="21735"/>
    <cellStyle name="Total 10 2 4 3 5 2" xfId="50914"/>
    <cellStyle name="Total 10 2 4 3 6" xfId="31995"/>
    <cellStyle name="Total 10 2 4 4" xfId="4504"/>
    <cellStyle name="Total 10 2 4 4 2" xfId="13686"/>
    <cellStyle name="Total 10 2 4 4 2 2" xfId="26883"/>
    <cellStyle name="Total 10 2 4 4 2 2 2" xfId="56062"/>
    <cellStyle name="Total 10 2 4 4 2 3" xfId="42867"/>
    <cellStyle name="Total 10 2 4 4 3" xfId="22455"/>
    <cellStyle name="Total 10 2 4 4 3 2" xfId="51634"/>
    <cellStyle name="Total 10 2 4 4 4" xfId="33687"/>
    <cellStyle name="Total 10 2 4 5" xfId="9911"/>
    <cellStyle name="Total 10 2 4 5 2" xfId="17697"/>
    <cellStyle name="Total 10 2 4 5 2 2" xfId="29312"/>
    <cellStyle name="Total 10 2 4 5 2 2 2" xfId="58491"/>
    <cellStyle name="Total 10 2 4 5 2 3" xfId="46878"/>
    <cellStyle name="Total 10 2 4 5 3" xfId="24884"/>
    <cellStyle name="Total 10 2 4 5 3 2" xfId="54063"/>
    <cellStyle name="Total 10 2 4 5 4" xfId="39094"/>
    <cellStyle name="Total 10 2 4 6" xfId="11183"/>
    <cellStyle name="Total 10 2 4 6 2" xfId="25440"/>
    <cellStyle name="Total 10 2 4 6 2 2" xfId="54619"/>
    <cellStyle name="Total 10 2 4 6 3" xfId="40364"/>
    <cellStyle name="Total 10 2 4 7" xfId="21012"/>
    <cellStyle name="Total 10 2 4 7 2" xfId="50191"/>
    <cellStyle name="Total 10 2 4 8" xfId="30192"/>
    <cellStyle name="Total 10 2 5" xfId="1152"/>
    <cellStyle name="Total 10 2 5 2" xfId="2056"/>
    <cellStyle name="Total 10 2 5 2 2" xfId="3856"/>
    <cellStyle name="Total 10 2 5 2 2 2" xfId="6781"/>
    <cellStyle name="Total 10 2 5 2 2 2 2" xfId="15457"/>
    <cellStyle name="Total 10 2 5 2 2 2 2 2" xfId="28026"/>
    <cellStyle name="Total 10 2 5 2 2 2 2 2 2" xfId="57205"/>
    <cellStyle name="Total 10 2 5 2 2 2 2 3" xfId="44638"/>
    <cellStyle name="Total 10 2 5 2 2 2 3" xfId="23598"/>
    <cellStyle name="Total 10 2 5 2 2 2 3 2" xfId="52777"/>
    <cellStyle name="Total 10 2 5 2 2 2 4" xfId="35964"/>
    <cellStyle name="Total 10 2 5 2 2 3" xfId="9953"/>
    <cellStyle name="Total 10 2 5 2 2 3 2" xfId="17730"/>
    <cellStyle name="Total 10 2 5 2 2 3 2 2" xfId="29331"/>
    <cellStyle name="Total 10 2 5 2 2 3 2 2 2" xfId="58510"/>
    <cellStyle name="Total 10 2 5 2 2 3 2 3" xfId="46911"/>
    <cellStyle name="Total 10 2 5 2 2 3 3" xfId="24903"/>
    <cellStyle name="Total 10 2 5 2 2 3 3 2" xfId="54082"/>
    <cellStyle name="Total 10 2 5 2 2 3 4" xfId="39136"/>
    <cellStyle name="Total 10 2 5 2 2 4" xfId="13196"/>
    <cellStyle name="Total 10 2 5 2 2 4 2" xfId="26586"/>
    <cellStyle name="Total 10 2 5 2 2 4 2 2" xfId="55765"/>
    <cellStyle name="Total 10 2 5 2 2 4 3" xfId="42377"/>
    <cellStyle name="Total 10 2 5 2 2 5" xfId="22158"/>
    <cellStyle name="Total 10 2 5 2 2 5 2" xfId="51337"/>
    <cellStyle name="Total 10 2 5 2 2 6" xfId="33039"/>
    <cellStyle name="Total 10 2 5 2 3" xfId="5341"/>
    <cellStyle name="Total 10 2 5 2 3 2" xfId="14336"/>
    <cellStyle name="Total 10 2 5 2 3 2 2" xfId="27306"/>
    <cellStyle name="Total 10 2 5 2 3 2 2 2" xfId="56485"/>
    <cellStyle name="Total 10 2 5 2 3 2 3" xfId="43517"/>
    <cellStyle name="Total 10 2 5 2 3 3" xfId="22878"/>
    <cellStyle name="Total 10 2 5 2 3 3 2" xfId="52057"/>
    <cellStyle name="Total 10 2 5 2 3 4" xfId="34524"/>
    <cellStyle name="Total 10 2 5 2 4" xfId="9746"/>
    <cellStyle name="Total 10 2 5 2 4 2" xfId="17580"/>
    <cellStyle name="Total 10 2 5 2 4 2 2" xfId="29248"/>
    <cellStyle name="Total 10 2 5 2 4 2 2 2" xfId="58427"/>
    <cellStyle name="Total 10 2 5 2 4 2 3" xfId="46761"/>
    <cellStyle name="Total 10 2 5 2 4 3" xfId="24820"/>
    <cellStyle name="Total 10 2 5 2 4 3 2" xfId="53999"/>
    <cellStyle name="Total 10 2 5 2 4 4" xfId="38929"/>
    <cellStyle name="Total 10 2 5 2 5" xfId="11921"/>
    <cellStyle name="Total 10 2 5 2 5 2" xfId="25866"/>
    <cellStyle name="Total 10 2 5 2 5 2 2" xfId="55045"/>
    <cellStyle name="Total 10 2 5 2 5 3" xfId="41102"/>
    <cellStyle name="Total 10 2 5 2 6" xfId="21438"/>
    <cellStyle name="Total 10 2 5 2 6 2" xfId="50617"/>
    <cellStyle name="Total 10 2 5 2 7" xfId="31239"/>
    <cellStyle name="Total 10 2 5 3" xfId="2956"/>
    <cellStyle name="Total 10 2 5 3 2" xfId="6061"/>
    <cellStyle name="Total 10 2 5 3 2 2" xfId="14898"/>
    <cellStyle name="Total 10 2 5 3 2 2 2" xfId="27666"/>
    <cellStyle name="Total 10 2 5 3 2 2 2 2" xfId="56845"/>
    <cellStyle name="Total 10 2 5 3 2 2 3" xfId="44079"/>
    <cellStyle name="Total 10 2 5 3 2 3" xfId="23238"/>
    <cellStyle name="Total 10 2 5 3 2 3 2" xfId="52417"/>
    <cellStyle name="Total 10 2 5 3 2 4" xfId="35244"/>
    <cellStyle name="Total 10 2 5 3 3" xfId="8352"/>
    <cellStyle name="Total 10 2 5 3 3 2" xfId="16581"/>
    <cellStyle name="Total 10 2 5 3 3 2 2" xfId="28695"/>
    <cellStyle name="Total 10 2 5 3 3 2 2 2" xfId="57874"/>
    <cellStyle name="Total 10 2 5 3 3 2 3" xfId="45762"/>
    <cellStyle name="Total 10 2 5 3 3 3" xfId="24267"/>
    <cellStyle name="Total 10 2 5 3 3 3 2" xfId="53446"/>
    <cellStyle name="Total 10 2 5 3 3 4" xfId="37535"/>
    <cellStyle name="Total 10 2 5 3 4" xfId="12560"/>
    <cellStyle name="Total 10 2 5 3 4 2" xfId="26226"/>
    <cellStyle name="Total 10 2 5 3 4 2 2" xfId="55405"/>
    <cellStyle name="Total 10 2 5 3 4 3" xfId="41741"/>
    <cellStyle name="Total 10 2 5 3 5" xfId="21798"/>
    <cellStyle name="Total 10 2 5 3 5 2" xfId="50977"/>
    <cellStyle name="Total 10 2 5 3 6" xfId="32139"/>
    <cellStyle name="Total 10 2 5 4" xfId="4621"/>
    <cellStyle name="Total 10 2 5 4 2" xfId="13779"/>
    <cellStyle name="Total 10 2 5 4 2 2" xfId="26946"/>
    <cellStyle name="Total 10 2 5 4 2 2 2" xfId="56125"/>
    <cellStyle name="Total 10 2 5 4 2 3" xfId="42960"/>
    <cellStyle name="Total 10 2 5 4 3" xfId="22518"/>
    <cellStyle name="Total 10 2 5 4 3 2" xfId="51697"/>
    <cellStyle name="Total 10 2 5 4 4" xfId="33804"/>
    <cellStyle name="Total 10 2 5 5" xfId="8019"/>
    <cellStyle name="Total 10 2 5 5 2" xfId="16339"/>
    <cellStyle name="Total 10 2 5 5 2 2" xfId="28563"/>
    <cellStyle name="Total 10 2 5 5 2 2 2" xfId="57742"/>
    <cellStyle name="Total 10 2 5 5 2 3" xfId="45520"/>
    <cellStyle name="Total 10 2 5 5 3" xfId="24135"/>
    <cellStyle name="Total 10 2 5 5 3 2" xfId="53314"/>
    <cellStyle name="Total 10 2 5 5 4" xfId="37202"/>
    <cellStyle name="Total 10 2 5 6" xfId="11289"/>
    <cellStyle name="Total 10 2 5 6 2" xfId="25506"/>
    <cellStyle name="Total 10 2 5 6 2 2" xfId="54685"/>
    <cellStyle name="Total 10 2 5 6 3" xfId="40470"/>
    <cellStyle name="Total 10 2 5 7" xfId="21078"/>
    <cellStyle name="Total 10 2 5 7 2" xfId="50257"/>
    <cellStyle name="Total 10 2 5 8" xfId="30339"/>
    <cellStyle name="Total 10 2 6" xfId="1298"/>
    <cellStyle name="Total 10 2 6 2" xfId="2200"/>
    <cellStyle name="Total 10 2 6 2 2" xfId="4000"/>
    <cellStyle name="Total 10 2 6 2 2 2" xfId="6898"/>
    <cellStyle name="Total 10 2 6 2 2 2 2" xfId="15552"/>
    <cellStyle name="Total 10 2 6 2 2 2 2 2" xfId="28089"/>
    <cellStyle name="Total 10 2 6 2 2 2 2 2 2" xfId="57268"/>
    <cellStyle name="Total 10 2 6 2 2 2 2 3" xfId="44733"/>
    <cellStyle name="Total 10 2 6 2 2 2 3" xfId="23661"/>
    <cellStyle name="Total 10 2 6 2 2 2 3 2" xfId="52840"/>
    <cellStyle name="Total 10 2 6 2 2 2 4" xfId="36081"/>
    <cellStyle name="Total 10 2 6 2 2 3" xfId="7080"/>
    <cellStyle name="Total 10 2 6 2 2 3 2" xfId="15680"/>
    <cellStyle name="Total 10 2 6 2 2 3 2 2" xfId="28179"/>
    <cellStyle name="Total 10 2 6 2 2 3 2 2 2" xfId="57358"/>
    <cellStyle name="Total 10 2 6 2 2 3 2 3" xfId="44861"/>
    <cellStyle name="Total 10 2 6 2 2 3 3" xfId="23751"/>
    <cellStyle name="Total 10 2 6 2 2 3 3 2" xfId="52930"/>
    <cellStyle name="Total 10 2 6 2 2 3 4" xfId="36263"/>
    <cellStyle name="Total 10 2 6 2 2 4" xfId="13301"/>
    <cellStyle name="Total 10 2 6 2 2 4 2" xfId="26649"/>
    <cellStyle name="Total 10 2 6 2 2 4 2 2" xfId="55828"/>
    <cellStyle name="Total 10 2 6 2 2 4 3" xfId="42482"/>
    <cellStyle name="Total 10 2 6 2 2 5" xfId="22221"/>
    <cellStyle name="Total 10 2 6 2 2 5 2" xfId="51400"/>
    <cellStyle name="Total 10 2 6 2 2 6" xfId="33183"/>
    <cellStyle name="Total 10 2 6 2 3" xfId="5458"/>
    <cellStyle name="Total 10 2 6 2 3 2" xfId="14432"/>
    <cellStyle name="Total 10 2 6 2 3 2 2" xfId="27369"/>
    <cellStyle name="Total 10 2 6 2 3 2 2 2" xfId="56548"/>
    <cellStyle name="Total 10 2 6 2 3 2 3" xfId="43613"/>
    <cellStyle name="Total 10 2 6 2 3 3" xfId="22941"/>
    <cellStyle name="Total 10 2 6 2 3 3 2" xfId="52120"/>
    <cellStyle name="Total 10 2 6 2 3 4" xfId="34641"/>
    <cellStyle name="Total 10 2 6 2 4" xfId="8125"/>
    <cellStyle name="Total 10 2 6 2 4 2" xfId="16411"/>
    <cellStyle name="Total 10 2 6 2 4 2 2" xfId="28607"/>
    <cellStyle name="Total 10 2 6 2 4 2 2 2" xfId="57786"/>
    <cellStyle name="Total 10 2 6 2 4 2 3" xfId="45592"/>
    <cellStyle name="Total 10 2 6 2 4 3" xfId="24179"/>
    <cellStyle name="Total 10 2 6 2 4 3 2" xfId="53358"/>
    <cellStyle name="Total 10 2 6 2 4 4" xfId="37308"/>
    <cellStyle name="Total 10 2 6 2 5" xfId="12025"/>
    <cellStyle name="Total 10 2 6 2 5 2" xfId="25929"/>
    <cellStyle name="Total 10 2 6 2 5 2 2" xfId="55108"/>
    <cellStyle name="Total 10 2 6 2 5 3" xfId="41206"/>
    <cellStyle name="Total 10 2 6 2 6" xfId="21501"/>
    <cellStyle name="Total 10 2 6 2 6 2" xfId="50680"/>
    <cellStyle name="Total 10 2 6 2 7" xfId="31383"/>
    <cellStyle name="Total 10 2 6 3" xfId="3100"/>
    <cellStyle name="Total 10 2 6 3 2" xfId="6178"/>
    <cellStyle name="Total 10 2 6 3 2 2" xfId="14993"/>
    <cellStyle name="Total 10 2 6 3 2 2 2" xfId="27729"/>
    <cellStyle name="Total 10 2 6 3 2 2 2 2" xfId="56908"/>
    <cellStyle name="Total 10 2 6 3 2 2 3" xfId="44174"/>
    <cellStyle name="Total 10 2 6 3 2 3" xfId="23301"/>
    <cellStyle name="Total 10 2 6 3 2 3 2" xfId="52480"/>
    <cellStyle name="Total 10 2 6 3 2 4" xfId="35361"/>
    <cellStyle name="Total 10 2 6 3 3" xfId="8890"/>
    <cellStyle name="Total 10 2 6 3 3 2" xfId="16971"/>
    <cellStyle name="Total 10 2 6 3 3 2 2" xfId="28909"/>
    <cellStyle name="Total 10 2 6 3 3 2 2 2" xfId="58088"/>
    <cellStyle name="Total 10 2 6 3 3 2 3" xfId="46152"/>
    <cellStyle name="Total 10 2 6 3 3 3" xfId="24481"/>
    <cellStyle name="Total 10 2 6 3 3 3 2" xfId="53660"/>
    <cellStyle name="Total 10 2 6 3 3 4" xfId="38073"/>
    <cellStyle name="Total 10 2 6 3 4" xfId="12663"/>
    <cellStyle name="Total 10 2 6 3 4 2" xfId="26289"/>
    <cellStyle name="Total 10 2 6 3 4 2 2" xfId="55468"/>
    <cellStyle name="Total 10 2 6 3 4 3" xfId="41844"/>
    <cellStyle name="Total 10 2 6 3 5" xfId="21861"/>
    <cellStyle name="Total 10 2 6 3 5 2" xfId="51040"/>
    <cellStyle name="Total 10 2 6 3 6" xfId="32283"/>
    <cellStyle name="Total 10 2 6 4" xfId="4738"/>
    <cellStyle name="Total 10 2 6 4 2" xfId="13870"/>
    <cellStyle name="Total 10 2 6 4 2 2" xfId="27009"/>
    <cellStyle name="Total 10 2 6 4 2 2 2" xfId="56188"/>
    <cellStyle name="Total 10 2 6 4 2 3" xfId="43051"/>
    <cellStyle name="Total 10 2 6 4 3" xfId="22581"/>
    <cellStyle name="Total 10 2 6 4 3 2" xfId="51760"/>
    <cellStyle name="Total 10 2 6 4 4" xfId="33921"/>
    <cellStyle name="Total 10 2 6 5" xfId="10108"/>
    <cellStyle name="Total 10 2 6 5 2" xfId="17834"/>
    <cellStyle name="Total 10 2 6 5 2 2" xfId="29391"/>
    <cellStyle name="Total 10 2 6 5 2 2 2" xfId="58570"/>
    <cellStyle name="Total 10 2 6 5 2 3" xfId="47015"/>
    <cellStyle name="Total 10 2 6 5 3" xfId="24963"/>
    <cellStyle name="Total 10 2 6 5 3 2" xfId="54142"/>
    <cellStyle name="Total 10 2 6 5 4" xfId="39291"/>
    <cellStyle name="Total 10 2 6 6" xfId="11395"/>
    <cellStyle name="Total 10 2 6 6 2" xfId="25569"/>
    <cellStyle name="Total 10 2 6 6 2 2" xfId="54748"/>
    <cellStyle name="Total 10 2 6 6 3" xfId="40576"/>
    <cellStyle name="Total 10 2 6 7" xfId="21141"/>
    <cellStyle name="Total 10 2 6 7 2" xfId="50320"/>
    <cellStyle name="Total 10 2 6 8" xfId="30483"/>
    <cellStyle name="Total 10 2 7" xfId="1480"/>
    <cellStyle name="Total 10 2 7 2" xfId="3280"/>
    <cellStyle name="Total 10 2 7 2 2" xfId="6322"/>
    <cellStyle name="Total 10 2 7 2 2 2" xfId="15096"/>
    <cellStyle name="Total 10 2 7 2 2 2 2" xfId="27801"/>
    <cellStyle name="Total 10 2 7 2 2 2 2 2" xfId="56980"/>
    <cellStyle name="Total 10 2 7 2 2 2 3" xfId="44277"/>
    <cellStyle name="Total 10 2 7 2 2 3" xfId="23373"/>
    <cellStyle name="Total 10 2 7 2 2 3 2" xfId="52552"/>
    <cellStyle name="Total 10 2 7 2 2 4" xfId="35505"/>
    <cellStyle name="Total 10 2 7 2 3" xfId="7948"/>
    <cellStyle name="Total 10 2 7 2 3 2" xfId="16290"/>
    <cellStyle name="Total 10 2 7 2 3 2 2" xfId="28537"/>
    <cellStyle name="Total 10 2 7 2 3 2 2 2" xfId="57716"/>
    <cellStyle name="Total 10 2 7 2 3 2 3" xfId="45471"/>
    <cellStyle name="Total 10 2 7 2 3 3" xfId="24109"/>
    <cellStyle name="Total 10 2 7 2 3 3 2" xfId="53288"/>
    <cellStyle name="Total 10 2 7 2 3 4" xfId="37131"/>
    <cellStyle name="Total 10 2 7 2 4" xfId="12787"/>
    <cellStyle name="Total 10 2 7 2 4 2" xfId="26361"/>
    <cellStyle name="Total 10 2 7 2 4 2 2" xfId="55540"/>
    <cellStyle name="Total 10 2 7 2 4 3" xfId="41968"/>
    <cellStyle name="Total 10 2 7 2 5" xfId="21933"/>
    <cellStyle name="Total 10 2 7 2 5 2" xfId="51112"/>
    <cellStyle name="Total 10 2 7 2 6" xfId="32463"/>
    <cellStyle name="Total 10 2 7 3" xfId="4882"/>
    <cellStyle name="Total 10 2 7 3 2" xfId="13972"/>
    <cellStyle name="Total 10 2 7 3 2 2" xfId="27081"/>
    <cellStyle name="Total 10 2 7 3 2 2 2" xfId="56260"/>
    <cellStyle name="Total 10 2 7 3 2 3" xfId="43153"/>
    <cellStyle name="Total 10 2 7 3 3" xfId="22653"/>
    <cellStyle name="Total 10 2 7 3 3 2" xfId="51832"/>
    <cellStyle name="Total 10 2 7 3 4" xfId="34065"/>
    <cellStyle name="Total 10 2 7 4" xfId="7724"/>
    <cellStyle name="Total 10 2 7 4 2" xfId="16132"/>
    <cellStyle name="Total 10 2 7 4 2 2" xfId="28448"/>
    <cellStyle name="Total 10 2 7 4 2 2 2" xfId="57627"/>
    <cellStyle name="Total 10 2 7 4 2 3" xfId="45313"/>
    <cellStyle name="Total 10 2 7 4 3" xfId="24020"/>
    <cellStyle name="Total 10 2 7 4 3 2" xfId="53199"/>
    <cellStyle name="Total 10 2 7 4 4" xfId="36907"/>
    <cellStyle name="Total 10 2 7 5" xfId="11517"/>
    <cellStyle name="Total 10 2 7 5 2" xfId="25641"/>
    <cellStyle name="Total 10 2 7 5 2 2" xfId="54820"/>
    <cellStyle name="Total 10 2 7 5 3" xfId="40698"/>
    <cellStyle name="Total 10 2 7 6" xfId="21213"/>
    <cellStyle name="Total 10 2 7 6 2" xfId="50392"/>
    <cellStyle name="Total 10 2 7 7" xfId="30663"/>
    <cellStyle name="Total 10 2 8" xfId="2380"/>
    <cellStyle name="Total 10 2 8 2" xfId="5602"/>
    <cellStyle name="Total 10 2 8 2 2" xfId="14537"/>
    <cellStyle name="Total 10 2 8 2 2 2" xfId="27441"/>
    <cellStyle name="Total 10 2 8 2 2 2 2" xfId="56620"/>
    <cellStyle name="Total 10 2 8 2 2 3" xfId="43718"/>
    <cellStyle name="Total 10 2 8 2 3" xfId="23013"/>
    <cellStyle name="Total 10 2 8 2 3 2" xfId="52192"/>
    <cellStyle name="Total 10 2 8 2 4" xfId="34785"/>
    <cellStyle name="Total 10 2 8 3" xfId="7605"/>
    <cellStyle name="Total 10 2 8 3 2" xfId="16051"/>
    <cellStyle name="Total 10 2 8 3 2 2" xfId="28402"/>
    <cellStyle name="Total 10 2 8 3 2 2 2" xfId="57581"/>
    <cellStyle name="Total 10 2 8 3 2 3" xfId="45232"/>
    <cellStyle name="Total 10 2 8 3 3" xfId="23974"/>
    <cellStyle name="Total 10 2 8 3 3 2" xfId="53153"/>
    <cellStyle name="Total 10 2 8 3 4" xfId="36788"/>
    <cellStyle name="Total 10 2 8 4" xfId="12146"/>
    <cellStyle name="Total 10 2 8 4 2" xfId="26001"/>
    <cellStyle name="Total 10 2 8 4 2 2" xfId="55180"/>
    <cellStyle name="Total 10 2 8 4 3" xfId="41327"/>
    <cellStyle name="Total 10 2 8 5" xfId="21573"/>
    <cellStyle name="Total 10 2 8 5 2" xfId="50752"/>
    <cellStyle name="Total 10 2 8 6" xfId="31563"/>
    <cellStyle name="Total 10 2 9" xfId="4162"/>
    <cellStyle name="Total 10 2 9 2" xfId="13415"/>
    <cellStyle name="Total 10 2 9 2 2" xfId="26721"/>
    <cellStyle name="Total 10 2 9 2 2 2" xfId="55900"/>
    <cellStyle name="Total 10 2 9 2 3" xfId="42596"/>
    <cellStyle name="Total 10 2 9 3" xfId="22293"/>
    <cellStyle name="Total 10 2 9 3 2" xfId="51472"/>
    <cellStyle name="Total 10 2 9 4" xfId="33345"/>
    <cellStyle name="Total 10 3" xfId="502"/>
    <cellStyle name="Total 10 3 10" xfId="10800"/>
    <cellStyle name="Total 10 3 10 2" xfId="25199"/>
    <cellStyle name="Total 10 3 10 2 2" xfId="54378"/>
    <cellStyle name="Total 10 3 10 3" xfId="39981"/>
    <cellStyle name="Total 10 3 11" xfId="20771"/>
    <cellStyle name="Total 10 3 11 2" xfId="49950"/>
    <cellStyle name="Total 10 3 12" xfId="29708"/>
    <cellStyle name="Total 10 3 2" xfId="855"/>
    <cellStyle name="Total 10 3 2 2" xfId="1793"/>
    <cellStyle name="Total 10 3 2 2 2" xfId="3593"/>
    <cellStyle name="Total 10 3 2 2 2 2" xfId="6572"/>
    <cellStyle name="Total 10 3 2 2 2 2 2" xfId="15289"/>
    <cellStyle name="Total 10 3 2 2 2 2 2 2" xfId="27907"/>
    <cellStyle name="Total 10 3 2 2 2 2 2 2 2" xfId="57086"/>
    <cellStyle name="Total 10 3 2 2 2 2 2 3" xfId="44470"/>
    <cellStyle name="Total 10 3 2 2 2 2 3" xfId="23479"/>
    <cellStyle name="Total 10 3 2 2 2 2 3 2" xfId="52658"/>
    <cellStyle name="Total 10 3 2 2 2 2 4" xfId="35755"/>
    <cellStyle name="Total 10 3 2 2 2 3" xfId="9611"/>
    <cellStyle name="Total 10 3 2 2 2 3 2" xfId="17474"/>
    <cellStyle name="Total 10 3 2 2 2 3 2 2" xfId="29194"/>
    <cellStyle name="Total 10 3 2 2 2 3 2 2 2" xfId="58373"/>
    <cellStyle name="Total 10 3 2 2 2 3 2 3" xfId="46655"/>
    <cellStyle name="Total 10 3 2 2 2 3 3" xfId="24766"/>
    <cellStyle name="Total 10 3 2 2 2 3 3 2" xfId="53945"/>
    <cellStyle name="Total 10 3 2 2 2 3 4" xfId="38794"/>
    <cellStyle name="Total 10 3 2 2 2 4" xfId="13005"/>
    <cellStyle name="Total 10 3 2 2 2 4 2" xfId="26467"/>
    <cellStyle name="Total 10 3 2 2 2 4 2 2" xfId="55646"/>
    <cellStyle name="Total 10 3 2 2 2 4 3" xfId="42186"/>
    <cellStyle name="Total 10 3 2 2 2 5" xfId="22039"/>
    <cellStyle name="Total 10 3 2 2 2 5 2" xfId="51218"/>
    <cellStyle name="Total 10 3 2 2 2 6" xfId="32776"/>
    <cellStyle name="Total 10 3 2 2 3" xfId="5132"/>
    <cellStyle name="Total 10 3 2 2 3 2" xfId="14166"/>
    <cellStyle name="Total 10 3 2 2 3 2 2" xfId="27187"/>
    <cellStyle name="Total 10 3 2 2 3 2 2 2" xfId="56366"/>
    <cellStyle name="Total 10 3 2 2 3 2 3" xfId="43347"/>
    <cellStyle name="Total 10 3 2 2 3 3" xfId="22759"/>
    <cellStyle name="Total 10 3 2 2 3 3 2" xfId="51938"/>
    <cellStyle name="Total 10 3 2 2 3 4" xfId="34315"/>
    <cellStyle name="Total 10 3 2 2 4" xfId="7431"/>
    <cellStyle name="Total 10 3 2 2 4 2" xfId="15932"/>
    <cellStyle name="Total 10 3 2 2 4 2 2" xfId="28339"/>
    <cellStyle name="Total 10 3 2 2 4 2 2 2" xfId="57518"/>
    <cellStyle name="Total 10 3 2 2 4 2 3" xfId="45113"/>
    <cellStyle name="Total 10 3 2 2 4 3" xfId="23911"/>
    <cellStyle name="Total 10 3 2 2 4 3 2" xfId="53090"/>
    <cellStyle name="Total 10 3 2 2 4 4" xfId="36614"/>
    <cellStyle name="Total 10 3 2 2 5" xfId="11731"/>
    <cellStyle name="Total 10 3 2 2 5 2" xfId="25747"/>
    <cellStyle name="Total 10 3 2 2 5 2 2" xfId="54926"/>
    <cellStyle name="Total 10 3 2 2 5 3" xfId="40912"/>
    <cellStyle name="Total 10 3 2 2 6" xfId="21319"/>
    <cellStyle name="Total 10 3 2 2 6 2" xfId="50498"/>
    <cellStyle name="Total 10 3 2 2 7" xfId="30976"/>
    <cellStyle name="Total 10 3 2 3" xfId="2693"/>
    <cellStyle name="Total 10 3 2 3 2" xfId="5852"/>
    <cellStyle name="Total 10 3 2 3 2 2" xfId="14733"/>
    <cellStyle name="Total 10 3 2 3 2 2 2" xfId="27547"/>
    <cellStyle name="Total 10 3 2 3 2 2 2 2" xfId="56726"/>
    <cellStyle name="Total 10 3 2 3 2 2 3" xfId="43914"/>
    <cellStyle name="Total 10 3 2 3 2 3" xfId="23119"/>
    <cellStyle name="Total 10 3 2 3 2 3 2" xfId="52298"/>
    <cellStyle name="Total 10 3 2 3 2 4" xfId="35035"/>
    <cellStyle name="Total 10 3 2 3 3" xfId="7749"/>
    <cellStyle name="Total 10 3 2 3 3 2" xfId="16149"/>
    <cellStyle name="Total 10 3 2 3 3 2 2" xfId="28459"/>
    <cellStyle name="Total 10 3 2 3 3 2 2 2" xfId="57638"/>
    <cellStyle name="Total 10 3 2 3 3 2 3" xfId="45330"/>
    <cellStyle name="Total 10 3 2 3 3 3" xfId="24031"/>
    <cellStyle name="Total 10 3 2 3 3 3 2" xfId="53210"/>
    <cellStyle name="Total 10 3 2 3 3 4" xfId="36932"/>
    <cellStyle name="Total 10 3 2 3 4" xfId="12368"/>
    <cellStyle name="Total 10 3 2 3 4 2" xfId="26107"/>
    <cellStyle name="Total 10 3 2 3 4 2 2" xfId="55286"/>
    <cellStyle name="Total 10 3 2 3 4 3" xfId="41549"/>
    <cellStyle name="Total 10 3 2 3 5" xfId="21679"/>
    <cellStyle name="Total 10 3 2 3 5 2" xfId="50858"/>
    <cellStyle name="Total 10 3 2 3 6" xfId="31876"/>
    <cellStyle name="Total 10 3 2 4" xfId="4412"/>
    <cellStyle name="Total 10 3 2 4 2" xfId="13610"/>
    <cellStyle name="Total 10 3 2 4 2 2" xfId="26827"/>
    <cellStyle name="Total 10 3 2 4 2 2 2" xfId="56006"/>
    <cellStyle name="Total 10 3 2 4 2 3" xfId="42791"/>
    <cellStyle name="Total 10 3 2 4 3" xfId="22399"/>
    <cellStyle name="Total 10 3 2 4 3 2" xfId="51578"/>
    <cellStyle name="Total 10 3 2 4 4" xfId="33595"/>
    <cellStyle name="Total 10 3 2 5" xfId="7975"/>
    <cellStyle name="Total 10 3 2 5 2" xfId="16307"/>
    <cellStyle name="Total 10 3 2 5 2 2" xfId="28547"/>
    <cellStyle name="Total 10 3 2 5 2 2 2" xfId="57726"/>
    <cellStyle name="Total 10 3 2 5 2 3" xfId="45488"/>
    <cellStyle name="Total 10 3 2 5 3" xfId="24119"/>
    <cellStyle name="Total 10 3 2 5 3 2" xfId="53298"/>
    <cellStyle name="Total 10 3 2 5 4" xfId="37158"/>
    <cellStyle name="Total 10 3 2 6" xfId="11070"/>
    <cellStyle name="Total 10 3 2 6 2" xfId="25363"/>
    <cellStyle name="Total 10 3 2 6 2 2" xfId="54542"/>
    <cellStyle name="Total 10 3 2 6 3" xfId="40251"/>
    <cellStyle name="Total 10 3 2 7" xfId="20935"/>
    <cellStyle name="Total 10 3 2 7 2" xfId="50114"/>
    <cellStyle name="Total 10 3 2 8" xfId="30052"/>
    <cellStyle name="Total 10 3 3" xfId="1047"/>
    <cellStyle name="Total 10 3 3 2" xfId="1957"/>
    <cellStyle name="Total 10 3 3 2 2" xfId="3757"/>
    <cellStyle name="Total 10 3 3 2 2 2" xfId="6700"/>
    <cellStyle name="Total 10 3 3 2 2 2 2" xfId="15394"/>
    <cellStyle name="Total 10 3 3 2 2 2 2 2" xfId="27981"/>
    <cellStyle name="Total 10 3 3 2 2 2 2 2 2" xfId="57160"/>
    <cellStyle name="Total 10 3 3 2 2 2 2 3" xfId="44575"/>
    <cellStyle name="Total 10 3 3 2 2 2 3" xfId="23553"/>
    <cellStyle name="Total 10 3 3 2 2 2 3 2" xfId="52732"/>
    <cellStyle name="Total 10 3 3 2 2 2 4" xfId="35883"/>
    <cellStyle name="Total 10 3 3 2 2 3" xfId="9493"/>
    <cellStyle name="Total 10 3 3 2 2 3 2" xfId="17396"/>
    <cellStyle name="Total 10 3 3 2 2 3 2 2" xfId="29150"/>
    <cellStyle name="Total 10 3 3 2 2 3 2 2 2" xfId="58329"/>
    <cellStyle name="Total 10 3 3 2 2 3 2 3" xfId="46577"/>
    <cellStyle name="Total 10 3 3 2 2 3 3" xfId="24722"/>
    <cellStyle name="Total 10 3 3 2 2 3 3 2" xfId="53901"/>
    <cellStyle name="Total 10 3 3 2 2 3 4" xfId="38676"/>
    <cellStyle name="Total 10 3 3 2 2 4" xfId="13127"/>
    <cellStyle name="Total 10 3 3 2 2 4 2" xfId="26541"/>
    <cellStyle name="Total 10 3 3 2 2 4 2 2" xfId="55720"/>
    <cellStyle name="Total 10 3 3 2 2 4 3" xfId="42308"/>
    <cellStyle name="Total 10 3 3 2 2 5" xfId="22113"/>
    <cellStyle name="Total 10 3 3 2 2 5 2" xfId="51292"/>
    <cellStyle name="Total 10 3 3 2 2 6" xfId="32940"/>
    <cellStyle name="Total 10 3 3 2 3" xfId="5260"/>
    <cellStyle name="Total 10 3 3 2 3 2" xfId="14273"/>
    <cellStyle name="Total 10 3 3 2 3 2 2" xfId="27261"/>
    <cellStyle name="Total 10 3 3 2 3 2 2 2" xfId="56440"/>
    <cellStyle name="Total 10 3 3 2 3 2 3" xfId="43454"/>
    <cellStyle name="Total 10 3 3 2 3 3" xfId="22833"/>
    <cellStyle name="Total 10 3 3 2 3 3 2" xfId="52012"/>
    <cellStyle name="Total 10 3 3 2 3 4" xfId="34443"/>
    <cellStyle name="Total 10 3 3 2 4" xfId="9670"/>
    <cellStyle name="Total 10 3 3 2 4 2" xfId="17520"/>
    <cellStyle name="Total 10 3 3 2 4 2 2" xfId="29218"/>
    <cellStyle name="Total 10 3 3 2 4 2 2 2" xfId="58397"/>
    <cellStyle name="Total 10 3 3 2 4 2 3" xfId="46701"/>
    <cellStyle name="Total 10 3 3 2 4 3" xfId="24790"/>
    <cellStyle name="Total 10 3 3 2 4 3 2" xfId="53969"/>
    <cellStyle name="Total 10 3 3 2 4 4" xfId="38853"/>
    <cellStyle name="Total 10 3 3 2 5" xfId="11851"/>
    <cellStyle name="Total 10 3 3 2 5 2" xfId="25821"/>
    <cellStyle name="Total 10 3 3 2 5 2 2" xfId="55000"/>
    <cellStyle name="Total 10 3 3 2 5 3" xfId="41032"/>
    <cellStyle name="Total 10 3 3 2 6" xfId="21393"/>
    <cellStyle name="Total 10 3 3 2 6 2" xfId="50572"/>
    <cellStyle name="Total 10 3 3 2 7" xfId="31140"/>
    <cellStyle name="Total 10 3 3 3" xfId="2857"/>
    <cellStyle name="Total 10 3 3 3 2" xfId="5980"/>
    <cellStyle name="Total 10 3 3 3 2 2" xfId="14837"/>
    <cellStyle name="Total 10 3 3 3 2 2 2" xfId="27621"/>
    <cellStyle name="Total 10 3 3 3 2 2 2 2" xfId="56800"/>
    <cellStyle name="Total 10 3 3 3 2 2 3" xfId="44018"/>
    <cellStyle name="Total 10 3 3 3 2 3" xfId="23193"/>
    <cellStyle name="Total 10 3 3 3 2 3 2" xfId="52372"/>
    <cellStyle name="Total 10 3 3 3 2 4" xfId="35163"/>
    <cellStyle name="Total 10 3 3 3 3" xfId="8276"/>
    <cellStyle name="Total 10 3 3 3 3 2" xfId="16524"/>
    <cellStyle name="Total 10 3 3 3 3 2 2" xfId="28666"/>
    <cellStyle name="Total 10 3 3 3 3 2 2 2" xfId="57845"/>
    <cellStyle name="Total 10 3 3 3 3 2 3" xfId="45705"/>
    <cellStyle name="Total 10 3 3 3 3 3" xfId="24238"/>
    <cellStyle name="Total 10 3 3 3 3 3 2" xfId="53417"/>
    <cellStyle name="Total 10 3 3 3 3 4" xfId="37459"/>
    <cellStyle name="Total 10 3 3 3 4" xfId="12490"/>
    <cellStyle name="Total 10 3 3 3 4 2" xfId="26181"/>
    <cellStyle name="Total 10 3 3 3 4 2 2" xfId="55360"/>
    <cellStyle name="Total 10 3 3 3 4 3" xfId="41671"/>
    <cellStyle name="Total 10 3 3 3 5" xfId="21753"/>
    <cellStyle name="Total 10 3 3 3 5 2" xfId="50932"/>
    <cellStyle name="Total 10 3 3 3 6" xfId="32040"/>
    <cellStyle name="Total 10 3 3 4" xfId="4540"/>
    <cellStyle name="Total 10 3 3 4 2" xfId="13716"/>
    <cellStyle name="Total 10 3 3 4 2 2" xfId="26901"/>
    <cellStyle name="Total 10 3 3 4 2 2 2" xfId="56080"/>
    <cellStyle name="Total 10 3 3 4 2 3" xfId="42897"/>
    <cellStyle name="Total 10 3 3 4 3" xfId="22473"/>
    <cellStyle name="Total 10 3 3 4 3 2" xfId="51652"/>
    <cellStyle name="Total 10 3 3 4 4" xfId="33723"/>
    <cellStyle name="Total 10 3 3 5" xfId="8952"/>
    <cellStyle name="Total 10 3 3 5 2" xfId="17016"/>
    <cellStyle name="Total 10 3 3 5 2 2" xfId="28929"/>
    <cellStyle name="Total 10 3 3 5 2 2 2" xfId="58108"/>
    <cellStyle name="Total 10 3 3 5 2 3" xfId="46197"/>
    <cellStyle name="Total 10 3 3 5 3" xfId="24501"/>
    <cellStyle name="Total 10 3 3 5 3 2" xfId="53680"/>
    <cellStyle name="Total 10 3 3 5 4" xfId="38135"/>
    <cellStyle name="Total 10 3 3 6" xfId="11214"/>
    <cellStyle name="Total 10 3 3 6 2" xfId="25458"/>
    <cellStyle name="Total 10 3 3 6 2 2" xfId="54637"/>
    <cellStyle name="Total 10 3 3 6 3" xfId="40395"/>
    <cellStyle name="Total 10 3 3 7" xfId="21030"/>
    <cellStyle name="Total 10 3 3 7 2" xfId="50209"/>
    <cellStyle name="Total 10 3 3 8" xfId="30237"/>
    <cellStyle name="Total 10 3 4" xfId="1197"/>
    <cellStyle name="Total 10 3 4 2" xfId="2101"/>
    <cellStyle name="Total 10 3 4 2 2" xfId="3901"/>
    <cellStyle name="Total 10 3 4 2 2 2" xfId="6817"/>
    <cellStyle name="Total 10 3 4 2 2 2 2" xfId="15487"/>
    <cellStyle name="Total 10 3 4 2 2 2 2 2" xfId="28044"/>
    <cellStyle name="Total 10 3 4 2 2 2 2 2 2" xfId="57223"/>
    <cellStyle name="Total 10 3 4 2 2 2 2 3" xfId="44668"/>
    <cellStyle name="Total 10 3 4 2 2 2 3" xfId="23616"/>
    <cellStyle name="Total 10 3 4 2 2 2 3 2" xfId="52795"/>
    <cellStyle name="Total 10 3 4 2 2 2 4" xfId="36000"/>
    <cellStyle name="Total 10 3 4 2 2 3" xfId="7863"/>
    <cellStyle name="Total 10 3 4 2 2 3 2" xfId="16227"/>
    <cellStyle name="Total 10 3 4 2 2 3 2 2" xfId="28503"/>
    <cellStyle name="Total 10 3 4 2 2 3 2 2 2" xfId="57682"/>
    <cellStyle name="Total 10 3 4 2 2 3 2 3" xfId="45408"/>
    <cellStyle name="Total 10 3 4 2 2 3 3" xfId="24075"/>
    <cellStyle name="Total 10 3 4 2 2 3 3 2" xfId="53254"/>
    <cellStyle name="Total 10 3 4 2 2 3 4" xfId="37046"/>
    <cellStyle name="Total 10 3 4 2 2 4" xfId="13229"/>
    <cellStyle name="Total 10 3 4 2 2 4 2" xfId="26604"/>
    <cellStyle name="Total 10 3 4 2 2 4 2 2" xfId="55783"/>
    <cellStyle name="Total 10 3 4 2 2 4 3" xfId="42410"/>
    <cellStyle name="Total 10 3 4 2 2 5" xfId="22176"/>
    <cellStyle name="Total 10 3 4 2 2 5 2" xfId="51355"/>
    <cellStyle name="Total 10 3 4 2 2 6" xfId="33084"/>
    <cellStyle name="Total 10 3 4 2 3" xfId="5377"/>
    <cellStyle name="Total 10 3 4 2 3 2" xfId="14365"/>
    <cellStyle name="Total 10 3 4 2 3 2 2" xfId="27324"/>
    <cellStyle name="Total 10 3 4 2 3 2 2 2" xfId="56503"/>
    <cellStyle name="Total 10 3 4 2 3 2 3" xfId="43546"/>
    <cellStyle name="Total 10 3 4 2 3 3" xfId="22896"/>
    <cellStyle name="Total 10 3 4 2 3 3 2" xfId="52075"/>
    <cellStyle name="Total 10 3 4 2 3 4" xfId="34560"/>
    <cellStyle name="Total 10 3 4 2 4" xfId="9587"/>
    <cellStyle name="Total 10 3 4 2 4 2" xfId="17463"/>
    <cellStyle name="Total 10 3 4 2 4 2 2" xfId="29185"/>
    <cellStyle name="Total 10 3 4 2 4 2 2 2" xfId="58364"/>
    <cellStyle name="Total 10 3 4 2 4 2 3" xfId="46644"/>
    <cellStyle name="Total 10 3 4 2 4 3" xfId="24757"/>
    <cellStyle name="Total 10 3 4 2 4 3 2" xfId="53936"/>
    <cellStyle name="Total 10 3 4 2 4 4" xfId="38770"/>
    <cellStyle name="Total 10 3 4 2 5" xfId="11955"/>
    <cellStyle name="Total 10 3 4 2 5 2" xfId="25884"/>
    <cellStyle name="Total 10 3 4 2 5 2 2" xfId="55063"/>
    <cellStyle name="Total 10 3 4 2 5 3" xfId="41136"/>
    <cellStyle name="Total 10 3 4 2 6" xfId="21456"/>
    <cellStyle name="Total 10 3 4 2 6 2" xfId="50635"/>
    <cellStyle name="Total 10 3 4 2 7" xfId="31284"/>
    <cellStyle name="Total 10 3 4 3" xfId="3001"/>
    <cellStyle name="Total 10 3 4 3 2" xfId="6097"/>
    <cellStyle name="Total 10 3 4 3 2 2" xfId="14926"/>
    <cellStyle name="Total 10 3 4 3 2 2 2" xfId="27684"/>
    <cellStyle name="Total 10 3 4 3 2 2 2 2" xfId="56863"/>
    <cellStyle name="Total 10 3 4 3 2 2 3" xfId="44107"/>
    <cellStyle name="Total 10 3 4 3 2 3" xfId="23256"/>
    <cellStyle name="Total 10 3 4 3 2 3 2" xfId="52435"/>
    <cellStyle name="Total 10 3 4 3 2 4" xfId="35280"/>
    <cellStyle name="Total 10 3 4 3 3" xfId="8156"/>
    <cellStyle name="Total 10 3 4 3 3 2" xfId="16435"/>
    <cellStyle name="Total 10 3 4 3 3 2 2" xfId="28618"/>
    <cellStyle name="Total 10 3 4 3 3 2 2 2" xfId="57797"/>
    <cellStyle name="Total 10 3 4 3 3 2 3" xfId="45616"/>
    <cellStyle name="Total 10 3 4 3 3 3" xfId="24190"/>
    <cellStyle name="Total 10 3 4 3 3 3 2" xfId="53369"/>
    <cellStyle name="Total 10 3 4 3 3 4" xfId="37339"/>
    <cellStyle name="Total 10 3 4 3 4" xfId="12590"/>
    <cellStyle name="Total 10 3 4 3 4 2" xfId="26244"/>
    <cellStyle name="Total 10 3 4 3 4 2 2" xfId="55423"/>
    <cellStyle name="Total 10 3 4 3 4 3" xfId="41771"/>
    <cellStyle name="Total 10 3 4 3 5" xfId="21816"/>
    <cellStyle name="Total 10 3 4 3 5 2" xfId="50995"/>
    <cellStyle name="Total 10 3 4 3 6" xfId="32184"/>
    <cellStyle name="Total 10 3 4 4" xfId="4657"/>
    <cellStyle name="Total 10 3 4 4 2" xfId="13806"/>
    <cellStyle name="Total 10 3 4 4 2 2" xfId="26964"/>
    <cellStyle name="Total 10 3 4 4 2 2 2" xfId="56143"/>
    <cellStyle name="Total 10 3 4 4 2 3" xfId="42987"/>
    <cellStyle name="Total 10 3 4 4 3" xfId="22536"/>
    <cellStyle name="Total 10 3 4 4 3 2" xfId="51715"/>
    <cellStyle name="Total 10 3 4 4 4" xfId="33840"/>
    <cellStyle name="Total 10 3 4 5" xfId="7491"/>
    <cellStyle name="Total 10 3 4 5 2" xfId="15969"/>
    <cellStyle name="Total 10 3 4 5 2 2" xfId="28362"/>
    <cellStyle name="Total 10 3 4 5 2 2 2" xfId="57541"/>
    <cellStyle name="Total 10 3 4 5 2 3" xfId="45150"/>
    <cellStyle name="Total 10 3 4 5 3" xfId="23934"/>
    <cellStyle name="Total 10 3 4 5 3 2" xfId="53113"/>
    <cellStyle name="Total 10 3 4 5 4" xfId="36674"/>
    <cellStyle name="Total 10 3 4 6" xfId="11324"/>
    <cellStyle name="Total 10 3 4 6 2" xfId="25524"/>
    <cellStyle name="Total 10 3 4 6 2 2" xfId="54703"/>
    <cellStyle name="Total 10 3 4 6 3" xfId="40505"/>
    <cellStyle name="Total 10 3 4 7" xfId="21096"/>
    <cellStyle name="Total 10 3 4 7 2" xfId="50275"/>
    <cellStyle name="Total 10 3 4 8" xfId="30384"/>
    <cellStyle name="Total 10 3 5" xfId="1343"/>
    <cellStyle name="Total 10 3 5 2" xfId="2245"/>
    <cellStyle name="Total 10 3 5 2 2" xfId="4045"/>
    <cellStyle name="Total 10 3 5 2 2 2" xfId="6934"/>
    <cellStyle name="Total 10 3 5 2 2 2 2" xfId="15577"/>
    <cellStyle name="Total 10 3 5 2 2 2 2 2" xfId="28107"/>
    <cellStyle name="Total 10 3 5 2 2 2 2 2 2" xfId="57286"/>
    <cellStyle name="Total 10 3 5 2 2 2 2 3" xfId="44758"/>
    <cellStyle name="Total 10 3 5 2 2 2 3" xfId="23679"/>
    <cellStyle name="Total 10 3 5 2 2 2 3 2" xfId="52858"/>
    <cellStyle name="Total 10 3 5 2 2 2 4" xfId="36117"/>
    <cellStyle name="Total 10 3 5 2 2 3" xfId="7035"/>
    <cellStyle name="Total 10 3 5 2 2 3 2" xfId="15652"/>
    <cellStyle name="Total 10 3 5 2 2 3 2 2" xfId="28161"/>
    <cellStyle name="Total 10 3 5 2 2 3 2 2 2" xfId="57340"/>
    <cellStyle name="Total 10 3 5 2 2 3 2 3" xfId="44833"/>
    <cellStyle name="Total 10 3 5 2 2 3 3" xfId="23733"/>
    <cellStyle name="Total 10 3 5 2 2 3 3 2" xfId="52912"/>
    <cellStyle name="Total 10 3 5 2 2 3 4" xfId="36218"/>
    <cellStyle name="Total 10 3 5 2 2 4" xfId="13331"/>
    <cellStyle name="Total 10 3 5 2 2 4 2" xfId="26667"/>
    <cellStyle name="Total 10 3 5 2 2 4 2 2" xfId="55846"/>
    <cellStyle name="Total 10 3 5 2 2 4 3" xfId="42512"/>
    <cellStyle name="Total 10 3 5 2 2 5" xfId="22239"/>
    <cellStyle name="Total 10 3 5 2 2 5 2" xfId="51418"/>
    <cellStyle name="Total 10 3 5 2 2 6" xfId="33228"/>
    <cellStyle name="Total 10 3 5 2 3" xfId="5494"/>
    <cellStyle name="Total 10 3 5 2 3 2" xfId="14457"/>
    <cellStyle name="Total 10 3 5 2 3 2 2" xfId="27387"/>
    <cellStyle name="Total 10 3 5 2 3 2 2 2" xfId="56566"/>
    <cellStyle name="Total 10 3 5 2 3 2 3" xfId="43638"/>
    <cellStyle name="Total 10 3 5 2 3 3" xfId="22959"/>
    <cellStyle name="Total 10 3 5 2 3 3 2" xfId="52138"/>
    <cellStyle name="Total 10 3 5 2 3 4" xfId="34677"/>
    <cellStyle name="Total 10 3 5 2 4" xfId="7509"/>
    <cellStyle name="Total 10 3 5 2 4 2" xfId="15983"/>
    <cellStyle name="Total 10 3 5 2 4 2 2" xfId="28369"/>
    <cellStyle name="Total 10 3 5 2 4 2 2 2" xfId="57548"/>
    <cellStyle name="Total 10 3 5 2 4 2 3" xfId="45164"/>
    <cellStyle name="Total 10 3 5 2 4 3" xfId="23941"/>
    <cellStyle name="Total 10 3 5 2 4 3 2" xfId="53120"/>
    <cellStyle name="Total 10 3 5 2 4 4" xfId="36692"/>
    <cellStyle name="Total 10 3 5 2 5" xfId="12054"/>
    <cellStyle name="Total 10 3 5 2 5 2" xfId="25947"/>
    <cellStyle name="Total 10 3 5 2 5 2 2" xfId="55126"/>
    <cellStyle name="Total 10 3 5 2 5 3" xfId="41235"/>
    <cellStyle name="Total 10 3 5 2 6" xfId="21519"/>
    <cellStyle name="Total 10 3 5 2 6 2" xfId="50698"/>
    <cellStyle name="Total 10 3 5 2 7" xfId="31428"/>
    <cellStyle name="Total 10 3 5 3" xfId="3145"/>
    <cellStyle name="Total 10 3 5 3 2" xfId="6214"/>
    <cellStyle name="Total 10 3 5 3 2 2" xfId="15017"/>
    <cellStyle name="Total 10 3 5 3 2 2 2" xfId="27747"/>
    <cellStyle name="Total 10 3 5 3 2 2 2 2" xfId="56926"/>
    <cellStyle name="Total 10 3 5 3 2 2 3" xfId="44198"/>
    <cellStyle name="Total 10 3 5 3 2 3" xfId="23319"/>
    <cellStyle name="Total 10 3 5 3 2 3 2" xfId="52498"/>
    <cellStyle name="Total 10 3 5 3 2 4" xfId="35397"/>
    <cellStyle name="Total 10 3 5 3 3" xfId="7224"/>
    <cellStyle name="Total 10 3 5 3 3 2" xfId="15786"/>
    <cellStyle name="Total 10 3 5 3 3 2 2" xfId="28245"/>
    <cellStyle name="Total 10 3 5 3 3 2 2 2" xfId="57424"/>
    <cellStyle name="Total 10 3 5 3 3 2 3" xfId="44967"/>
    <cellStyle name="Total 10 3 5 3 3 3" xfId="23817"/>
    <cellStyle name="Total 10 3 5 3 3 3 2" xfId="52996"/>
    <cellStyle name="Total 10 3 5 3 3 4" xfId="36407"/>
    <cellStyle name="Total 10 3 5 3 4" xfId="12692"/>
    <cellStyle name="Total 10 3 5 3 4 2" xfId="26307"/>
    <cellStyle name="Total 10 3 5 3 4 2 2" xfId="55486"/>
    <cellStyle name="Total 10 3 5 3 4 3" xfId="41873"/>
    <cellStyle name="Total 10 3 5 3 5" xfId="21879"/>
    <cellStyle name="Total 10 3 5 3 5 2" xfId="51058"/>
    <cellStyle name="Total 10 3 5 3 6" xfId="32328"/>
    <cellStyle name="Total 10 3 5 4" xfId="4774"/>
    <cellStyle name="Total 10 3 5 4 2" xfId="13894"/>
    <cellStyle name="Total 10 3 5 4 2 2" xfId="27027"/>
    <cellStyle name="Total 10 3 5 4 2 2 2" xfId="56206"/>
    <cellStyle name="Total 10 3 5 4 2 3" xfId="43075"/>
    <cellStyle name="Total 10 3 5 4 3" xfId="22599"/>
    <cellStyle name="Total 10 3 5 4 3 2" xfId="51778"/>
    <cellStyle name="Total 10 3 5 4 4" xfId="33957"/>
    <cellStyle name="Total 10 3 5 5" xfId="9026"/>
    <cellStyle name="Total 10 3 5 5 2" xfId="17072"/>
    <cellStyle name="Total 10 3 5 5 2 2" xfId="28966"/>
    <cellStyle name="Total 10 3 5 5 2 2 2" xfId="58145"/>
    <cellStyle name="Total 10 3 5 5 2 3" xfId="46253"/>
    <cellStyle name="Total 10 3 5 5 3" xfId="24538"/>
    <cellStyle name="Total 10 3 5 5 3 2" xfId="53717"/>
    <cellStyle name="Total 10 3 5 5 4" xfId="38209"/>
    <cellStyle name="Total 10 3 5 6" xfId="11423"/>
    <cellStyle name="Total 10 3 5 6 2" xfId="25587"/>
    <cellStyle name="Total 10 3 5 6 2 2" xfId="54766"/>
    <cellStyle name="Total 10 3 5 6 3" xfId="40604"/>
    <cellStyle name="Total 10 3 5 7" xfId="21159"/>
    <cellStyle name="Total 10 3 5 7 2" xfId="50338"/>
    <cellStyle name="Total 10 3 5 8" xfId="30528"/>
    <cellStyle name="Total 10 3 6" xfId="1525"/>
    <cellStyle name="Total 10 3 6 2" xfId="3325"/>
    <cellStyle name="Total 10 3 6 2 2" xfId="6358"/>
    <cellStyle name="Total 10 3 6 2 2 2" xfId="15120"/>
    <cellStyle name="Total 10 3 6 2 2 2 2" xfId="27819"/>
    <cellStyle name="Total 10 3 6 2 2 2 2 2" xfId="56998"/>
    <cellStyle name="Total 10 3 6 2 2 2 3" xfId="44301"/>
    <cellStyle name="Total 10 3 6 2 2 3" xfId="23391"/>
    <cellStyle name="Total 10 3 6 2 2 3 2" xfId="52570"/>
    <cellStyle name="Total 10 3 6 2 2 4" xfId="35541"/>
    <cellStyle name="Total 10 3 6 2 3" xfId="7742"/>
    <cellStyle name="Total 10 3 6 2 3 2" xfId="16143"/>
    <cellStyle name="Total 10 3 6 2 3 2 2" xfId="28455"/>
    <cellStyle name="Total 10 3 6 2 3 2 2 2" xfId="57634"/>
    <cellStyle name="Total 10 3 6 2 3 2 3" xfId="45324"/>
    <cellStyle name="Total 10 3 6 2 3 3" xfId="24027"/>
    <cellStyle name="Total 10 3 6 2 3 3 2" xfId="53206"/>
    <cellStyle name="Total 10 3 6 2 3 4" xfId="36925"/>
    <cellStyle name="Total 10 3 6 2 4" xfId="12816"/>
    <cellStyle name="Total 10 3 6 2 4 2" xfId="26379"/>
    <cellStyle name="Total 10 3 6 2 4 2 2" xfId="55558"/>
    <cellStyle name="Total 10 3 6 2 4 3" xfId="41997"/>
    <cellStyle name="Total 10 3 6 2 5" xfId="21951"/>
    <cellStyle name="Total 10 3 6 2 5 2" xfId="51130"/>
    <cellStyle name="Total 10 3 6 2 6" xfId="32508"/>
    <cellStyle name="Total 10 3 6 3" xfId="4918"/>
    <cellStyle name="Total 10 3 6 3 2" xfId="13999"/>
    <cellStyle name="Total 10 3 6 3 2 2" xfId="27099"/>
    <cellStyle name="Total 10 3 6 3 2 2 2" xfId="56278"/>
    <cellStyle name="Total 10 3 6 3 2 3" xfId="43180"/>
    <cellStyle name="Total 10 3 6 3 3" xfId="22671"/>
    <cellStyle name="Total 10 3 6 3 3 2" xfId="51850"/>
    <cellStyle name="Total 10 3 6 3 4" xfId="34101"/>
    <cellStyle name="Total 10 3 6 4" xfId="7680"/>
    <cellStyle name="Total 10 3 6 4 2" xfId="16104"/>
    <cellStyle name="Total 10 3 6 4 2 2" xfId="28432"/>
    <cellStyle name="Total 10 3 6 4 2 2 2" xfId="57611"/>
    <cellStyle name="Total 10 3 6 4 2 3" xfId="45285"/>
    <cellStyle name="Total 10 3 6 4 3" xfId="24004"/>
    <cellStyle name="Total 10 3 6 4 3 2" xfId="53183"/>
    <cellStyle name="Total 10 3 6 4 4" xfId="36863"/>
    <cellStyle name="Total 10 3 6 5" xfId="11544"/>
    <cellStyle name="Total 10 3 6 5 2" xfId="25659"/>
    <cellStyle name="Total 10 3 6 5 2 2" xfId="54838"/>
    <cellStyle name="Total 10 3 6 5 3" xfId="40725"/>
    <cellStyle name="Total 10 3 6 6" xfId="21231"/>
    <cellStyle name="Total 10 3 6 6 2" xfId="50410"/>
    <cellStyle name="Total 10 3 6 7" xfId="30708"/>
    <cellStyle name="Total 10 3 7" xfId="2425"/>
    <cellStyle name="Total 10 3 7 2" xfId="5638"/>
    <cellStyle name="Total 10 3 7 2 2" xfId="14566"/>
    <cellStyle name="Total 10 3 7 2 2 2" xfId="27459"/>
    <cellStyle name="Total 10 3 7 2 2 2 2" xfId="56638"/>
    <cellStyle name="Total 10 3 7 2 2 3" xfId="43747"/>
    <cellStyle name="Total 10 3 7 2 3" xfId="23031"/>
    <cellStyle name="Total 10 3 7 2 3 2" xfId="52210"/>
    <cellStyle name="Total 10 3 7 2 4" xfId="34821"/>
    <cellStyle name="Total 10 3 7 3" xfId="8466"/>
    <cellStyle name="Total 10 3 7 3 2" xfId="16656"/>
    <cellStyle name="Total 10 3 7 3 2 2" xfId="28732"/>
    <cellStyle name="Total 10 3 7 3 2 2 2" xfId="57911"/>
    <cellStyle name="Total 10 3 7 3 2 3" xfId="45837"/>
    <cellStyle name="Total 10 3 7 3 3" xfId="24304"/>
    <cellStyle name="Total 10 3 7 3 3 2" xfId="53483"/>
    <cellStyle name="Total 10 3 7 3 4" xfId="37649"/>
    <cellStyle name="Total 10 3 7 4" xfId="12178"/>
    <cellStyle name="Total 10 3 7 4 2" xfId="26019"/>
    <cellStyle name="Total 10 3 7 4 2 2" xfId="55198"/>
    <cellStyle name="Total 10 3 7 4 3" xfId="41359"/>
    <cellStyle name="Total 10 3 7 5" xfId="21591"/>
    <cellStyle name="Total 10 3 7 5 2" xfId="50770"/>
    <cellStyle name="Total 10 3 7 6" xfId="31608"/>
    <cellStyle name="Total 10 3 8" xfId="4198"/>
    <cellStyle name="Total 10 3 8 2" xfId="13447"/>
    <cellStyle name="Total 10 3 8 2 2" xfId="26739"/>
    <cellStyle name="Total 10 3 8 2 2 2" xfId="55918"/>
    <cellStyle name="Total 10 3 8 2 3" xfId="42628"/>
    <cellStyle name="Total 10 3 8 3" xfId="22311"/>
    <cellStyle name="Total 10 3 8 3 2" xfId="51490"/>
    <cellStyle name="Total 10 3 8 4" xfId="33381"/>
    <cellStyle name="Total 10 3 9" xfId="9724"/>
    <cellStyle name="Total 10 3 9 2" xfId="17564"/>
    <cellStyle name="Total 10 3 9 2 2" xfId="29239"/>
    <cellStyle name="Total 10 3 9 2 2 2" xfId="58418"/>
    <cellStyle name="Total 10 3 9 2 3" xfId="46745"/>
    <cellStyle name="Total 10 3 9 3" xfId="24811"/>
    <cellStyle name="Total 10 3 9 3 2" xfId="53990"/>
    <cellStyle name="Total 10 3 9 4" xfId="38907"/>
    <cellStyle name="Total 10 4" xfId="765"/>
    <cellStyle name="Total 10 4 2" xfId="1703"/>
    <cellStyle name="Total 10 4 2 2" xfId="3503"/>
    <cellStyle name="Total 10 4 2 2 2" xfId="6500"/>
    <cellStyle name="Total 10 4 2 2 2 2" xfId="15234"/>
    <cellStyle name="Total 10 4 2 2 2 2 2" xfId="27871"/>
    <cellStyle name="Total 10 4 2 2 2 2 2 2" xfId="57050"/>
    <cellStyle name="Total 10 4 2 2 2 2 3" xfId="44415"/>
    <cellStyle name="Total 10 4 2 2 2 3" xfId="23443"/>
    <cellStyle name="Total 10 4 2 2 2 3 2" xfId="52622"/>
    <cellStyle name="Total 10 4 2 2 2 4" xfId="35683"/>
    <cellStyle name="Total 10 4 2 2 3" xfId="10047"/>
    <cellStyle name="Total 10 4 2 2 3 2" xfId="17793"/>
    <cellStyle name="Total 10 4 2 2 3 2 2" xfId="29367"/>
    <cellStyle name="Total 10 4 2 2 3 2 2 2" xfId="58546"/>
    <cellStyle name="Total 10 4 2 2 3 2 3" xfId="46974"/>
    <cellStyle name="Total 10 4 2 2 3 3" xfId="24939"/>
    <cellStyle name="Total 10 4 2 2 3 3 2" xfId="54118"/>
    <cellStyle name="Total 10 4 2 2 3 4" xfId="39230"/>
    <cellStyle name="Total 10 4 2 2 4" xfId="12940"/>
    <cellStyle name="Total 10 4 2 2 4 2" xfId="26431"/>
    <cellStyle name="Total 10 4 2 2 4 2 2" xfId="55610"/>
    <cellStyle name="Total 10 4 2 2 4 3" xfId="42121"/>
    <cellStyle name="Total 10 4 2 2 5" xfId="22003"/>
    <cellStyle name="Total 10 4 2 2 5 2" xfId="51182"/>
    <cellStyle name="Total 10 4 2 2 6" xfId="32686"/>
    <cellStyle name="Total 10 4 2 3" xfId="5060"/>
    <cellStyle name="Total 10 4 2 3 2" xfId="14110"/>
    <cellStyle name="Total 10 4 2 3 2 2" xfId="27151"/>
    <cellStyle name="Total 10 4 2 3 2 2 2" xfId="56330"/>
    <cellStyle name="Total 10 4 2 3 2 3" xfId="43291"/>
    <cellStyle name="Total 10 4 2 3 3" xfId="22723"/>
    <cellStyle name="Total 10 4 2 3 3 2" xfId="51902"/>
    <cellStyle name="Total 10 4 2 3 4" xfId="34243"/>
    <cellStyle name="Total 10 4 2 4" xfId="8824"/>
    <cellStyle name="Total 10 4 2 4 2" xfId="16918"/>
    <cellStyle name="Total 10 4 2 4 2 2" xfId="28881"/>
    <cellStyle name="Total 10 4 2 4 2 2 2" xfId="58060"/>
    <cellStyle name="Total 10 4 2 4 2 3" xfId="46099"/>
    <cellStyle name="Total 10 4 2 4 3" xfId="24453"/>
    <cellStyle name="Total 10 4 2 4 3 2" xfId="53632"/>
    <cellStyle name="Total 10 4 2 4 4" xfId="38007"/>
    <cellStyle name="Total 10 4 2 5" xfId="11667"/>
    <cellStyle name="Total 10 4 2 5 2" xfId="25711"/>
    <cellStyle name="Total 10 4 2 5 2 2" xfId="54890"/>
    <cellStyle name="Total 10 4 2 5 3" xfId="40848"/>
    <cellStyle name="Total 10 4 2 6" xfId="21283"/>
    <cellStyle name="Total 10 4 2 6 2" xfId="50462"/>
    <cellStyle name="Total 10 4 2 7" xfId="30886"/>
    <cellStyle name="Total 10 4 3" xfId="2603"/>
    <cellStyle name="Total 10 4 3 2" xfId="5780"/>
    <cellStyle name="Total 10 4 3 2 2" xfId="14675"/>
    <cellStyle name="Total 10 4 3 2 2 2" xfId="27511"/>
    <cellStyle name="Total 10 4 3 2 2 2 2" xfId="56690"/>
    <cellStyle name="Total 10 4 3 2 2 3" xfId="43856"/>
    <cellStyle name="Total 10 4 3 2 3" xfId="23083"/>
    <cellStyle name="Total 10 4 3 2 3 2" xfId="52262"/>
    <cellStyle name="Total 10 4 3 2 4" xfId="34963"/>
    <cellStyle name="Total 10 4 3 3" xfId="10351"/>
    <cellStyle name="Total 10 4 3 3 2" xfId="18003"/>
    <cellStyle name="Total 10 4 3 3 2 2" xfId="29487"/>
    <cellStyle name="Total 10 4 3 3 2 2 2" xfId="58666"/>
    <cellStyle name="Total 10 4 3 3 2 3" xfId="47184"/>
    <cellStyle name="Total 10 4 3 3 3" xfId="25059"/>
    <cellStyle name="Total 10 4 3 3 3 2" xfId="54238"/>
    <cellStyle name="Total 10 4 3 3 4" xfId="39534"/>
    <cellStyle name="Total 10 4 3 4" xfId="12302"/>
    <cellStyle name="Total 10 4 3 4 2" xfId="26071"/>
    <cellStyle name="Total 10 4 3 4 2 2" xfId="55250"/>
    <cellStyle name="Total 10 4 3 4 3" xfId="41483"/>
    <cellStyle name="Total 10 4 3 5" xfId="21643"/>
    <cellStyle name="Total 10 4 3 5 2" xfId="50822"/>
    <cellStyle name="Total 10 4 3 6" xfId="31786"/>
    <cellStyle name="Total 10 4 4" xfId="4340"/>
    <cellStyle name="Total 10 4 4 2" xfId="13554"/>
    <cellStyle name="Total 10 4 4 2 2" xfId="26791"/>
    <cellStyle name="Total 10 4 4 2 2 2" xfId="55970"/>
    <cellStyle name="Total 10 4 4 2 3" xfId="42735"/>
    <cellStyle name="Total 10 4 4 3" xfId="22363"/>
    <cellStyle name="Total 10 4 4 3 2" xfId="51542"/>
    <cellStyle name="Total 10 4 4 4" xfId="33523"/>
    <cellStyle name="Total 10 4 5" xfId="7344"/>
    <cellStyle name="Total 10 4 5 2" xfId="15871"/>
    <cellStyle name="Total 10 4 5 2 2" xfId="28298"/>
    <cellStyle name="Total 10 4 5 2 2 2" xfId="57477"/>
    <cellStyle name="Total 10 4 5 2 3" xfId="45052"/>
    <cellStyle name="Total 10 4 5 3" xfId="23870"/>
    <cellStyle name="Total 10 4 5 3 2" xfId="53049"/>
    <cellStyle name="Total 10 4 5 4" xfId="36527"/>
    <cellStyle name="Total 10 4 6" xfId="11006"/>
    <cellStyle name="Total 10 4 6 2" xfId="25327"/>
    <cellStyle name="Total 10 4 6 2 2" xfId="54506"/>
    <cellStyle name="Total 10 4 6 3" xfId="40187"/>
    <cellStyle name="Total 10 4 7" xfId="20899"/>
    <cellStyle name="Total 10 4 7 2" xfId="50078"/>
    <cellStyle name="Total 10 4 8" xfId="29962"/>
    <cellStyle name="Total 10 5" xfId="957"/>
    <cellStyle name="Total 10 5 2" xfId="1867"/>
    <cellStyle name="Total 10 5 2 2" xfId="3667"/>
    <cellStyle name="Total 10 5 2 2 2" xfId="6628"/>
    <cellStyle name="Total 10 5 2 2 2 2" xfId="15340"/>
    <cellStyle name="Total 10 5 2 2 2 2 2" xfId="27945"/>
    <cellStyle name="Total 10 5 2 2 2 2 2 2" xfId="57124"/>
    <cellStyle name="Total 10 5 2 2 2 2 3" xfId="44521"/>
    <cellStyle name="Total 10 5 2 2 2 3" xfId="23517"/>
    <cellStyle name="Total 10 5 2 2 2 3 2" xfId="52696"/>
    <cellStyle name="Total 10 5 2 2 2 4" xfId="35811"/>
    <cellStyle name="Total 10 5 2 2 3" xfId="9881"/>
    <cellStyle name="Total 10 5 2 2 3 2" xfId="17678"/>
    <cellStyle name="Total 10 5 2 2 3 2 2" xfId="29303"/>
    <cellStyle name="Total 10 5 2 2 3 2 2 2" xfId="58482"/>
    <cellStyle name="Total 10 5 2 2 3 2 3" xfId="46859"/>
    <cellStyle name="Total 10 5 2 2 3 3" xfId="24875"/>
    <cellStyle name="Total 10 5 2 2 3 3 2" xfId="54054"/>
    <cellStyle name="Total 10 5 2 2 3 4" xfId="39064"/>
    <cellStyle name="Total 10 5 2 2 4" xfId="13061"/>
    <cellStyle name="Total 10 5 2 2 4 2" xfId="26505"/>
    <cellStyle name="Total 10 5 2 2 4 2 2" xfId="55684"/>
    <cellStyle name="Total 10 5 2 2 4 3" xfId="42242"/>
    <cellStyle name="Total 10 5 2 2 5" xfId="22077"/>
    <cellStyle name="Total 10 5 2 2 5 2" xfId="51256"/>
    <cellStyle name="Total 10 5 2 2 6" xfId="32850"/>
    <cellStyle name="Total 10 5 2 3" xfId="5188"/>
    <cellStyle name="Total 10 5 2 3 2" xfId="14218"/>
    <cellStyle name="Total 10 5 2 3 2 2" xfId="27225"/>
    <cellStyle name="Total 10 5 2 3 2 2 2" xfId="56404"/>
    <cellStyle name="Total 10 5 2 3 2 3" xfId="43399"/>
    <cellStyle name="Total 10 5 2 3 3" xfId="22797"/>
    <cellStyle name="Total 10 5 2 3 3 2" xfId="51976"/>
    <cellStyle name="Total 10 5 2 3 4" xfId="34371"/>
    <cellStyle name="Total 10 5 2 4" xfId="8705"/>
    <cellStyle name="Total 10 5 2 4 2" xfId="16830"/>
    <cellStyle name="Total 10 5 2 4 2 2" xfId="28834"/>
    <cellStyle name="Total 10 5 2 4 2 2 2" xfId="58013"/>
    <cellStyle name="Total 10 5 2 4 2 3" xfId="46011"/>
    <cellStyle name="Total 10 5 2 4 3" xfId="24406"/>
    <cellStyle name="Total 10 5 2 4 3 2" xfId="53585"/>
    <cellStyle name="Total 10 5 2 4 4" xfId="37888"/>
    <cellStyle name="Total 10 5 2 5" xfId="11786"/>
    <cellStyle name="Total 10 5 2 5 2" xfId="25785"/>
    <cellStyle name="Total 10 5 2 5 2 2" xfId="54964"/>
    <cellStyle name="Total 10 5 2 5 3" xfId="40967"/>
    <cellStyle name="Total 10 5 2 6" xfId="21357"/>
    <cellStyle name="Total 10 5 2 6 2" xfId="50536"/>
    <cellStyle name="Total 10 5 2 7" xfId="31050"/>
    <cellStyle name="Total 10 5 3" xfId="2767"/>
    <cellStyle name="Total 10 5 3 2" xfId="5908"/>
    <cellStyle name="Total 10 5 3 2 2" xfId="14783"/>
    <cellStyle name="Total 10 5 3 2 2 2" xfId="27585"/>
    <cellStyle name="Total 10 5 3 2 2 2 2" xfId="56764"/>
    <cellStyle name="Total 10 5 3 2 2 3" xfId="43964"/>
    <cellStyle name="Total 10 5 3 2 3" xfId="23157"/>
    <cellStyle name="Total 10 5 3 2 3 2" xfId="52336"/>
    <cellStyle name="Total 10 5 3 2 4" xfId="35091"/>
    <cellStyle name="Total 10 5 3 3" xfId="10232"/>
    <cellStyle name="Total 10 5 3 3 2" xfId="17923"/>
    <cellStyle name="Total 10 5 3 3 2 2" xfId="29444"/>
    <cellStyle name="Total 10 5 3 3 2 2 2" xfId="58623"/>
    <cellStyle name="Total 10 5 3 3 2 3" xfId="47104"/>
    <cellStyle name="Total 10 5 3 3 3" xfId="25016"/>
    <cellStyle name="Total 10 5 3 3 3 2" xfId="54195"/>
    <cellStyle name="Total 10 5 3 3 4" xfId="39415"/>
    <cellStyle name="Total 10 5 3 4" xfId="12426"/>
    <cellStyle name="Total 10 5 3 4 2" xfId="26145"/>
    <cellStyle name="Total 10 5 3 4 2 2" xfId="55324"/>
    <cellStyle name="Total 10 5 3 4 3" xfId="41607"/>
    <cellStyle name="Total 10 5 3 5" xfId="21717"/>
    <cellStyle name="Total 10 5 3 5 2" xfId="50896"/>
    <cellStyle name="Total 10 5 3 6" xfId="31950"/>
    <cellStyle name="Total 10 5 4" xfId="4468"/>
    <cellStyle name="Total 10 5 4 2" xfId="13661"/>
    <cellStyle name="Total 10 5 4 2 2" xfId="26865"/>
    <cellStyle name="Total 10 5 4 2 2 2" xfId="56044"/>
    <cellStyle name="Total 10 5 4 2 3" xfId="42842"/>
    <cellStyle name="Total 10 5 4 3" xfId="22437"/>
    <cellStyle name="Total 10 5 4 3 2" xfId="51616"/>
    <cellStyle name="Total 10 5 4 4" xfId="33651"/>
    <cellStyle name="Total 10 5 5" xfId="7487"/>
    <cellStyle name="Total 10 5 5 2" xfId="15967"/>
    <cellStyle name="Total 10 5 5 2 2" xfId="28360"/>
    <cellStyle name="Total 10 5 5 2 2 2" xfId="57539"/>
    <cellStyle name="Total 10 5 5 2 3" xfId="45148"/>
    <cellStyle name="Total 10 5 5 3" xfId="23932"/>
    <cellStyle name="Total 10 5 5 3 2" xfId="53111"/>
    <cellStyle name="Total 10 5 5 4" xfId="36670"/>
    <cellStyle name="Total 10 5 6" xfId="11151"/>
    <cellStyle name="Total 10 5 6 2" xfId="25422"/>
    <cellStyle name="Total 10 5 6 2 2" xfId="54601"/>
    <cellStyle name="Total 10 5 6 3" xfId="40332"/>
    <cellStyle name="Total 10 5 7" xfId="20994"/>
    <cellStyle name="Total 10 5 7 2" xfId="50173"/>
    <cellStyle name="Total 10 5 8" xfId="30147"/>
    <cellStyle name="Total 10 6" xfId="1107"/>
    <cellStyle name="Total 10 6 2" xfId="2011"/>
    <cellStyle name="Total 10 6 2 2" xfId="3811"/>
    <cellStyle name="Total 10 6 2 2 2" xfId="6745"/>
    <cellStyle name="Total 10 6 2 2 2 2" xfId="15431"/>
    <cellStyle name="Total 10 6 2 2 2 2 2" xfId="28008"/>
    <cellStyle name="Total 10 6 2 2 2 2 2 2" xfId="57187"/>
    <cellStyle name="Total 10 6 2 2 2 2 3" xfId="44612"/>
    <cellStyle name="Total 10 6 2 2 2 3" xfId="23580"/>
    <cellStyle name="Total 10 6 2 2 2 3 2" xfId="52759"/>
    <cellStyle name="Total 10 6 2 2 2 4" xfId="35928"/>
    <cellStyle name="Total 10 6 2 2 3" xfId="10418"/>
    <cellStyle name="Total 10 6 2 2 3 2" xfId="18052"/>
    <cellStyle name="Total 10 6 2 2 3 2 2" xfId="29513"/>
    <cellStyle name="Total 10 6 2 2 3 2 2 2" xfId="58692"/>
    <cellStyle name="Total 10 6 2 2 3 2 3" xfId="47233"/>
    <cellStyle name="Total 10 6 2 2 3 3" xfId="25085"/>
    <cellStyle name="Total 10 6 2 2 3 3 2" xfId="54264"/>
    <cellStyle name="Total 10 6 2 2 3 4" xfId="39601"/>
    <cellStyle name="Total 10 6 2 2 4" xfId="13168"/>
    <cellStyle name="Total 10 6 2 2 4 2" xfId="26568"/>
    <cellStyle name="Total 10 6 2 2 4 2 2" xfId="55747"/>
    <cellStyle name="Total 10 6 2 2 4 3" xfId="42349"/>
    <cellStyle name="Total 10 6 2 2 5" xfId="22140"/>
    <cellStyle name="Total 10 6 2 2 5 2" xfId="51319"/>
    <cellStyle name="Total 10 6 2 2 6" xfId="32994"/>
    <cellStyle name="Total 10 6 2 3" xfId="5305"/>
    <cellStyle name="Total 10 6 2 3 2" xfId="14310"/>
    <cellStyle name="Total 10 6 2 3 2 2" xfId="27288"/>
    <cellStyle name="Total 10 6 2 3 2 2 2" xfId="56467"/>
    <cellStyle name="Total 10 6 2 3 2 3" xfId="43491"/>
    <cellStyle name="Total 10 6 2 3 3" xfId="22860"/>
    <cellStyle name="Total 10 6 2 3 3 2" xfId="52039"/>
    <cellStyle name="Total 10 6 2 3 4" xfId="34488"/>
    <cellStyle name="Total 10 6 2 4" xfId="10005"/>
    <cellStyle name="Total 10 6 2 4 2" xfId="17765"/>
    <cellStyle name="Total 10 6 2 4 2 2" xfId="29348"/>
    <cellStyle name="Total 10 6 2 4 2 2 2" xfId="58527"/>
    <cellStyle name="Total 10 6 2 4 2 3" xfId="46946"/>
    <cellStyle name="Total 10 6 2 4 3" xfId="24920"/>
    <cellStyle name="Total 10 6 2 4 3 2" xfId="54099"/>
    <cellStyle name="Total 10 6 2 4 4" xfId="39188"/>
    <cellStyle name="Total 10 6 2 5" xfId="11892"/>
    <cellStyle name="Total 10 6 2 5 2" xfId="25848"/>
    <cellStyle name="Total 10 6 2 5 2 2" xfId="55027"/>
    <cellStyle name="Total 10 6 2 5 3" xfId="41073"/>
    <cellStyle name="Total 10 6 2 6" xfId="21420"/>
    <cellStyle name="Total 10 6 2 6 2" xfId="50599"/>
    <cellStyle name="Total 10 6 2 7" xfId="31194"/>
    <cellStyle name="Total 10 6 3" xfId="2911"/>
    <cellStyle name="Total 10 6 3 2" xfId="6025"/>
    <cellStyle name="Total 10 6 3 2 2" xfId="14871"/>
    <cellStyle name="Total 10 6 3 2 2 2" xfId="27648"/>
    <cellStyle name="Total 10 6 3 2 2 2 2" xfId="56827"/>
    <cellStyle name="Total 10 6 3 2 2 3" xfId="44052"/>
    <cellStyle name="Total 10 6 3 2 3" xfId="23220"/>
    <cellStyle name="Total 10 6 3 2 3 2" xfId="52399"/>
    <cellStyle name="Total 10 6 3 2 4" xfId="35208"/>
    <cellStyle name="Total 10 6 3 3" xfId="9221"/>
    <cellStyle name="Total 10 6 3 3 2" xfId="17209"/>
    <cellStyle name="Total 10 6 3 3 2 2" xfId="29037"/>
    <cellStyle name="Total 10 6 3 3 2 2 2" xfId="58216"/>
    <cellStyle name="Total 10 6 3 3 2 3" xfId="46390"/>
    <cellStyle name="Total 10 6 3 3 3" xfId="24609"/>
    <cellStyle name="Total 10 6 3 3 3 2" xfId="53788"/>
    <cellStyle name="Total 10 6 3 3 4" xfId="38404"/>
    <cellStyle name="Total 10 6 3 4" xfId="12528"/>
    <cellStyle name="Total 10 6 3 4 2" xfId="26208"/>
    <cellStyle name="Total 10 6 3 4 2 2" xfId="55387"/>
    <cellStyle name="Total 10 6 3 4 3" xfId="41709"/>
    <cellStyle name="Total 10 6 3 5" xfId="21780"/>
    <cellStyle name="Total 10 6 3 5 2" xfId="50959"/>
    <cellStyle name="Total 10 6 3 6" xfId="32094"/>
    <cellStyle name="Total 10 6 4" xfId="4585"/>
    <cellStyle name="Total 10 6 4 2" xfId="13751"/>
    <cellStyle name="Total 10 6 4 2 2" xfId="26928"/>
    <cellStyle name="Total 10 6 4 2 2 2" xfId="56107"/>
    <cellStyle name="Total 10 6 4 2 3" xfId="42932"/>
    <cellStyle name="Total 10 6 4 3" xfId="22500"/>
    <cellStyle name="Total 10 6 4 3 2" xfId="51679"/>
    <cellStyle name="Total 10 6 4 4" xfId="33768"/>
    <cellStyle name="Total 10 6 5" xfId="10172"/>
    <cellStyle name="Total 10 6 5 2" xfId="17880"/>
    <cellStyle name="Total 10 6 5 2 2" xfId="29419"/>
    <cellStyle name="Total 10 6 5 2 2 2" xfId="58598"/>
    <cellStyle name="Total 10 6 5 2 3" xfId="47061"/>
    <cellStyle name="Total 10 6 5 3" xfId="24991"/>
    <cellStyle name="Total 10 6 5 3 2" xfId="54170"/>
    <cellStyle name="Total 10 6 5 4" xfId="39355"/>
    <cellStyle name="Total 10 6 6" xfId="11260"/>
    <cellStyle name="Total 10 6 6 2" xfId="25488"/>
    <cellStyle name="Total 10 6 6 2 2" xfId="54667"/>
    <cellStyle name="Total 10 6 6 3" xfId="40441"/>
    <cellStyle name="Total 10 6 7" xfId="21060"/>
    <cellStyle name="Total 10 6 7 2" xfId="50239"/>
    <cellStyle name="Total 10 6 8" xfId="30294"/>
    <cellStyle name="Total 10 7" xfId="1253"/>
    <cellStyle name="Total 10 7 2" xfId="2155"/>
    <cellStyle name="Total 10 7 2 2" xfId="3955"/>
    <cellStyle name="Total 10 7 2 2 2" xfId="6862"/>
    <cellStyle name="Total 10 7 2 2 2 2" xfId="15521"/>
    <cellStyle name="Total 10 7 2 2 2 2 2" xfId="28071"/>
    <cellStyle name="Total 10 7 2 2 2 2 2 2" xfId="57250"/>
    <cellStyle name="Total 10 7 2 2 2 2 3" xfId="44702"/>
    <cellStyle name="Total 10 7 2 2 2 3" xfId="23643"/>
    <cellStyle name="Total 10 7 2 2 2 3 2" xfId="52822"/>
    <cellStyle name="Total 10 7 2 2 2 4" xfId="36045"/>
    <cellStyle name="Total 10 7 2 2 3" xfId="7125"/>
    <cellStyle name="Total 10 7 2 2 3 2" xfId="15715"/>
    <cellStyle name="Total 10 7 2 2 3 2 2" xfId="28197"/>
    <cellStyle name="Total 10 7 2 2 3 2 2 2" xfId="57376"/>
    <cellStyle name="Total 10 7 2 2 3 2 3" xfId="44896"/>
    <cellStyle name="Total 10 7 2 2 3 3" xfId="23769"/>
    <cellStyle name="Total 10 7 2 2 3 3 2" xfId="52948"/>
    <cellStyle name="Total 10 7 2 2 3 4" xfId="36308"/>
    <cellStyle name="Total 10 7 2 2 4" xfId="13266"/>
    <cellStyle name="Total 10 7 2 2 4 2" xfId="26631"/>
    <cellStyle name="Total 10 7 2 2 4 2 2" xfId="55810"/>
    <cellStyle name="Total 10 7 2 2 4 3" xfId="42447"/>
    <cellStyle name="Total 10 7 2 2 5" xfId="22203"/>
    <cellStyle name="Total 10 7 2 2 5 2" xfId="51382"/>
    <cellStyle name="Total 10 7 2 2 6" xfId="33138"/>
    <cellStyle name="Total 10 7 2 3" xfId="5422"/>
    <cellStyle name="Total 10 7 2 3 2" xfId="14399"/>
    <cellStyle name="Total 10 7 2 3 2 2" xfId="27351"/>
    <cellStyle name="Total 10 7 2 3 2 2 2" xfId="56530"/>
    <cellStyle name="Total 10 7 2 3 2 3" xfId="43580"/>
    <cellStyle name="Total 10 7 2 3 3" xfId="22923"/>
    <cellStyle name="Total 10 7 2 3 3 2" xfId="52102"/>
    <cellStyle name="Total 10 7 2 3 4" xfId="34605"/>
    <cellStyle name="Total 10 7 2 4" xfId="9016"/>
    <cellStyle name="Total 10 7 2 4 2" xfId="17067"/>
    <cellStyle name="Total 10 7 2 4 2 2" xfId="28961"/>
    <cellStyle name="Total 10 7 2 4 2 2 2" xfId="58140"/>
    <cellStyle name="Total 10 7 2 4 2 3" xfId="46248"/>
    <cellStyle name="Total 10 7 2 4 3" xfId="24533"/>
    <cellStyle name="Total 10 7 2 4 3 2" xfId="53712"/>
    <cellStyle name="Total 10 7 2 4 4" xfId="38199"/>
    <cellStyle name="Total 10 7 2 5" xfId="11991"/>
    <cellStyle name="Total 10 7 2 5 2" xfId="25911"/>
    <cellStyle name="Total 10 7 2 5 2 2" xfId="55090"/>
    <cellStyle name="Total 10 7 2 5 3" xfId="41172"/>
    <cellStyle name="Total 10 7 2 6" xfId="21483"/>
    <cellStyle name="Total 10 7 2 6 2" xfId="50662"/>
    <cellStyle name="Total 10 7 2 7" xfId="31338"/>
    <cellStyle name="Total 10 7 3" xfId="3055"/>
    <cellStyle name="Total 10 7 3 2" xfId="6142"/>
    <cellStyle name="Total 10 7 3 2 2" xfId="14960"/>
    <cellStyle name="Total 10 7 3 2 2 2" xfId="27711"/>
    <cellStyle name="Total 10 7 3 2 2 2 2" xfId="56890"/>
    <cellStyle name="Total 10 7 3 2 2 3" xfId="44141"/>
    <cellStyle name="Total 10 7 3 2 3" xfId="23283"/>
    <cellStyle name="Total 10 7 3 2 3 2" xfId="52462"/>
    <cellStyle name="Total 10 7 3 2 4" xfId="35325"/>
    <cellStyle name="Total 10 7 3 3" xfId="7235"/>
    <cellStyle name="Total 10 7 3 3 2" xfId="15796"/>
    <cellStyle name="Total 10 7 3 3 2 2" xfId="28255"/>
    <cellStyle name="Total 10 7 3 3 2 2 2" xfId="57434"/>
    <cellStyle name="Total 10 7 3 3 2 3" xfId="44977"/>
    <cellStyle name="Total 10 7 3 3 3" xfId="23827"/>
    <cellStyle name="Total 10 7 3 3 3 2" xfId="53006"/>
    <cellStyle name="Total 10 7 3 3 4" xfId="36418"/>
    <cellStyle name="Total 10 7 3 4" xfId="12627"/>
    <cellStyle name="Total 10 7 3 4 2" xfId="26271"/>
    <cellStyle name="Total 10 7 3 4 2 2" xfId="55450"/>
    <cellStyle name="Total 10 7 3 4 3" xfId="41808"/>
    <cellStyle name="Total 10 7 3 5" xfId="21843"/>
    <cellStyle name="Total 10 7 3 5 2" xfId="51022"/>
    <cellStyle name="Total 10 7 3 6" xfId="32238"/>
    <cellStyle name="Total 10 7 4" xfId="4702"/>
    <cellStyle name="Total 10 7 4 2" xfId="13840"/>
    <cellStyle name="Total 10 7 4 2 2" xfId="26991"/>
    <cellStyle name="Total 10 7 4 2 2 2" xfId="56170"/>
    <cellStyle name="Total 10 7 4 2 3" xfId="43021"/>
    <cellStyle name="Total 10 7 4 3" xfId="22563"/>
    <cellStyle name="Total 10 7 4 3 2" xfId="51742"/>
    <cellStyle name="Total 10 7 4 4" xfId="33885"/>
    <cellStyle name="Total 10 7 5" xfId="10288"/>
    <cellStyle name="Total 10 7 5 2" xfId="17961"/>
    <cellStyle name="Total 10 7 5 2 2" xfId="29465"/>
    <cellStyle name="Total 10 7 5 2 2 2" xfId="58644"/>
    <cellStyle name="Total 10 7 5 2 3" xfId="47142"/>
    <cellStyle name="Total 10 7 5 3" xfId="25037"/>
    <cellStyle name="Total 10 7 5 3 2" xfId="54216"/>
    <cellStyle name="Total 10 7 5 4" xfId="39471"/>
    <cellStyle name="Total 10 7 6" xfId="11362"/>
    <cellStyle name="Total 10 7 6 2" xfId="25551"/>
    <cellStyle name="Total 10 7 6 2 2" xfId="54730"/>
    <cellStyle name="Total 10 7 6 3" xfId="40543"/>
    <cellStyle name="Total 10 7 7" xfId="21123"/>
    <cellStyle name="Total 10 7 7 2" xfId="50302"/>
    <cellStyle name="Total 10 7 8" xfId="30438"/>
    <cellStyle name="Total 10 8" xfId="1435"/>
    <cellStyle name="Total 10 8 2" xfId="3235"/>
    <cellStyle name="Total 10 8 2 2" xfId="6286"/>
    <cellStyle name="Total 10 8 2 2 2" xfId="15069"/>
    <cellStyle name="Total 10 8 2 2 2 2" xfId="27783"/>
    <cellStyle name="Total 10 8 2 2 2 2 2" xfId="56962"/>
    <cellStyle name="Total 10 8 2 2 2 3" xfId="44250"/>
    <cellStyle name="Total 10 8 2 2 3" xfId="23355"/>
    <cellStyle name="Total 10 8 2 2 3 2" xfId="52534"/>
    <cellStyle name="Total 10 8 2 2 4" xfId="35469"/>
    <cellStyle name="Total 10 8 2 3" xfId="10344"/>
    <cellStyle name="Total 10 8 2 3 2" xfId="17998"/>
    <cellStyle name="Total 10 8 2 3 2 2" xfId="29484"/>
    <cellStyle name="Total 10 8 2 3 2 2 2" xfId="58663"/>
    <cellStyle name="Total 10 8 2 3 2 3" xfId="47179"/>
    <cellStyle name="Total 10 8 2 3 3" xfId="25056"/>
    <cellStyle name="Total 10 8 2 3 3 2" xfId="54235"/>
    <cellStyle name="Total 10 8 2 3 4" xfId="39527"/>
    <cellStyle name="Total 10 8 2 4" xfId="12754"/>
    <cellStyle name="Total 10 8 2 4 2" xfId="26343"/>
    <cellStyle name="Total 10 8 2 4 2 2" xfId="55522"/>
    <cellStyle name="Total 10 8 2 4 3" xfId="41935"/>
    <cellStyle name="Total 10 8 2 5" xfId="21915"/>
    <cellStyle name="Total 10 8 2 5 2" xfId="51094"/>
    <cellStyle name="Total 10 8 2 6" xfId="32418"/>
    <cellStyle name="Total 10 8 3" xfId="4846"/>
    <cellStyle name="Total 10 8 3 2" xfId="13945"/>
    <cellStyle name="Total 10 8 3 2 2" xfId="27063"/>
    <cellStyle name="Total 10 8 3 2 2 2" xfId="56242"/>
    <cellStyle name="Total 10 8 3 2 3" xfId="43126"/>
    <cellStyle name="Total 10 8 3 3" xfId="22635"/>
    <cellStyle name="Total 10 8 3 3 2" xfId="51814"/>
    <cellStyle name="Total 10 8 3 4" xfId="34029"/>
    <cellStyle name="Total 10 8 4" xfId="9921"/>
    <cellStyle name="Total 10 8 4 2" xfId="17705"/>
    <cellStyle name="Total 10 8 4 2 2" xfId="29317"/>
    <cellStyle name="Total 10 8 4 2 2 2" xfId="58496"/>
    <cellStyle name="Total 10 8 4 2 3" xfId="46886"/>
    <cellStyle name="Total 10 8 4 3" xfId="24889"/>
    <cellStyle name="Total 10 8 4 3 2" xfId="54068"/>
    <cellStyle name="Total 10 8 4 4" xfId="39104"/>
    <cellStyle name="Total 10 8 5" xfId="11483"/>
    <cellStyle name="Total 10 8 5 2" xfId="25623"/>
    <cellStyle name="Total 10 8 5 2 2" xfId="54802"/>
    <cellStyle name="Total 10 8 5 3" xfId="40664"/>
    <cellStyle name="Total 10 8 6" xfId="21195"/>
    <cellStyle name="Total 10 8 6 2" xfId="50374"/>
    <cellStyle name="Total 10 8 7" xfId="30618"/>
    <cellStyle name="Total 10 9" xfId="2335"/>
    <cellStyle name="Total 10 9 2" xfId="5566"/>
    <cellStyle name="Total 10 9 2 2" xfId="14511"/>
    <cellStyle name="Total 10 9 2 2 2" xfId="27423"/>
    <cellStyle name="Total 10 9 2 2 2 2" xfId="56602"/>
    <cellStyle name="Total 10 9 2 2 3" xfId="43692"/>
    <cellStyle name="Total 10 9 2 3" xfId="22995"/>
    <cellStyle name="Total 10 9 2 3 2" xfId="52174"/>
    <cellStyle name="Total 10 9 2 4" xfId="34749"/>
    <cellStyle name="Total 10 9 3" xfId="7521"/>
    <cellStyle name="Total 10 9 3 2" xfId="15989"/>
    <cellStyle name="Total 10 9 3 2 2" xfId="28372"/>
    <cellStyle name="Total 10 9 3 2 2 2" xfId="57551"/>
    <cellStyle name="Total 10 9 3 2 3" xfId="45170"/>
    <cellStyle name="Total 10 9 3 3" xfId="23944"/>
    <cellStyle name="Total 10 9 3 3 2" xfId="53123"/>
    <cellStyle name="Total 10 9 3 4" xfId="36704"/>
    <cellStyle name="Total 10 9 4" xfId="12115"/>
    <cellStyle name="Total 10 9 4 2" xfId="25983"/>
    <cellStyle name="Total 10 9 4 2 2" xfId="55162"/>
    <cellStyle name="Total 10 9 4 3" xfId="41296"/>
    <cellStyle name="Total 10 9 5" xfId="21555"/>
    <cellStyle name="Total 10 9 5 2" xfId="50734"/>
    <cellStyle name="Total 10 9 6" xfId="31518"/>
    <cellStyle name="Total 2" xfId="413"/>
    <cellStyle name="Total 2 10" xfId="4127"/>
    <cellStyle name="Total 2 10 2" xfId="13391"/>
    <cellStyle name="Total 2 10 2 2" xfId="26704"/>
    <cellStyle name="Total 2 10 2 2 2" xfId="55883"/>
    <cellStyle name="Total 2 10 2 3" xfId="42572"/>
    <cellStyle name="Total 2 10 3" xfId="22276"/>
    <cellStyle name="Total 2 10 3 2" xfId="51455"/>
    <cellStyle name="Total 2 10 4" xfId="33310"/>
    <cellStyle name="Total 2 11" xfId="10738"/>
    <cellStyle name="Total 2 11 2" xfId="25164"/>
    <cellStyle name="Total 2 11 2 2" xfId="54343"/>
    <cellStyle name="Total 2 11 3" xfId="39919"/>
    <cellStyle name="Total 2 12" xfId="20736"/>
    <cellStyle name="Total 2 12 2" xfId="49915"/>
    <cellStyle name="Total 2 13" xfId="58756"/>
    <cellStyle name="Total 2 14" xfId="29619"/>
    <cellStyle name="Total 2 2" xfId="458"/>
    <cellStyle name="Total 2 2 10" xfId="9149"/>
    <cellStyle name="Total 2 2 10 2" xfId="17152"/>
    <cellStyle name="Total 2 2 10 2 2" xfId="29010"/>
    <cellStyle name="Total 2 2 10 2 2 2" xfId="58189"/>
    <cellStyle name="Total 2 2 10 2 3" xfId="46333"/>
    <cellStyle name="Total 2 2 10 3" xfId="24582"/>
    <cellStyle name="Total 2 2 10 3 2" xfId="53761"/>
    <cellStyle name="Total 2 2 10 4" xfId="38332"/>
    <cellStyle name="Total 2 2 11" xfId="10772"/>
    <cellStyle name="Total 2 2 11 2" xfId="25182"/>
    <cellStyle name="Total 2 2 11 2 2" xfId="54361"/>
    <cellStyle name="Total 2 2 11 3" xfId="39953"/>
    <cellStyle name="Total 2 2 12" xfId="20754"/>
    <cellStyle name="Total 2 2 12 2" xfId="49933"/>
    <cellStyle name="Total 2 2 13" xfId="58801"/>
    <cellStyle name="Total 2 2 14" xfId="29664"/>
    <cellStyle name="Total 2 2 2" xfId="548"/>
    <cellStyle name="Total 2 2 2 10" xfId="10835"/>
    <cellStyle name="Total 2 2 2 10 2" xfId="25218"/>
    <cellStyle name="Total 2 2 2 10 2 2" xfId="54397"/>
    <cellStyle name="Total 2 2 2 10 3" xfId="40016"/>
    <cellStyle name="Total 2 2 2 11" xfId="20790"/>
    <cellStyle name="Total 2 2 2 11 2" xfId="49969"/>
    <cellStyle name="Total 2 2 2 12" xfId="29754"/>
    <cellStyle name="Total 2 2 2 2" xfId="901"/>
    <cellStyle name="Total 2 2 2 2 2" xfId="1839"/>
    <cellStyle name="Total 2 2 2 2 2 2" xfId="3639"/>
    <cellStyle name="Total 2 2 2 2 2 2 2" xfId="6609"/>
    <cellStyle name="Total 2 2 2 2 2 2 2 2" xfId="15321"/>
    <cellStyle name="Total 2 2 2 2 2 2 2 2 2" xfId="27926"/>
    <cellStyle name="Total 2 2 2 2 2 2 2 2 2 2" xfId="57105"/>
    <cellStyle name="Total 2 2 2 2 2 2 2 2 3" xfId="44502"/>
    <cellStyle name="Total 2 2 2 2 2 2 2 3" xfId="23498"/>
    <cellStyle name="Total 2 2 2 2 2 2 2 3 2" xfId="52677"/>
    <cellStyle name="Total 2 2 2 2 2 2 2 4" xfId="35792"/>
    <cellStyle name="Total 2 2 2 2 2 2 3" xfId="10222"/>
    <cellStyle name="Total 2 2 2 2 2 2 3 2" xfId="17915"/>
    <cellStyle name="Total 2 2 2 2 2 2 3 2 2" xfId="29439"/>
    <cellStyle name="Total 2 2 2 2 2 2 3 2 2 2" xfId="58618"/>
    <cellStyle name="Total 2 2 2 2 2 2 3 2 3" xfId="47096"/>
    <cellStyle name="Total 2 2 2 2 2 2 3 3" xfId="25011"/>
    <cellStyle name="Total 2 2 2 2 2 2 3 3 2" xfId="54190"/>
    <cellStyle name="Total 2 2 2 2 2 2 3 4" xfId="39405"/>
    <cellStyle name="Total 2 2 2 2 2 2 4" xfId="13040"/>
    <cellStyle name="Total 2 2 2 2 2 2 4 2" xfId="26486"/>
    <cellStyle name="Total 2 2 2 2 2 2 4 2 2" xfId="55665"/>
    <cellStyle name="Total 2 2 2 2 2 2 4 3" xfId="42221"/>
    <cellStyle name="Total 2 2 2 2 2 2 5" xfId="22058"/>
    <cellStyle name="Total 2 2 2 2 2 2 5 2" xfId="51237"/>
    <cellStyle name="Total 2 2 2 2 2 2 6" xfId="32822"/>
    <cellStyle name="Total 2 2 2 2 2 3" xfId="5169"/>
    <cellStyle name="Total 2 2 2 2 2 3 2" xfId="14199"/>
    <cellStyle name="Total 2 2 2 2 2 3 2 2" xfId="27206"/>
    <cellStyle name="Total 2 2 2 2 2 3 2 2 2" xfId="56385"/>
    <cellStyle name="Total 2 2 2 2 2 3 2 3" xfId="43380"/>
    <cellStyle name="Total 2 2 2 2 2 3 3" xfId="22778"/>
    <cellStyle name="Total 2 2 2 2 2 3 3 2" xfId="51957"/>
    <cellStyle name="Total 2 2 2 2 2 3 4" xfId="34352"/>
    <cellStyle name="Total 2 2 2 2 2 4" xfId="10163"/>
    <cellStyle name="Total 2 2 2 2 2 4 2" xfId="17873"/>
    <cellStyle name="Total 2 2 2 2 2 4 2 2" xfId="29414"/>
    <cellStyle name="Total 2 2 2 2 2 4 2 2 2" xfId="58593"/>
    <cellStyle name="Total 2 2 2 2 2 4 2 3" xfId="47054"/>
    <cellStyle name="Total 2 2 2 2 2 4 3" xfId="24986"/>
    <cellStyle name="Total 2 2 2 2 2 4 3 2" xfId="54165"/>
    <cellStyle name="Total 2 2 2 2 2 4 4" xfId="39346"/>
    <cellStyle name="Total 2 2 2 2 2 5" xfId="11764"/>
    <cellStyle name="Total 2 2 2 2 2 5 2" xfId="25766"/>
    <cellStyle name="Total 2 2 2 2 2 5 2 2" xfId="54945"/>
    <cellStyle name="Total 2 2 2 2 2 5 3" xfId="40945"/>
    <cellStyle name="Total 2 2 2 2 2 6" xfId="21338"/>
    <cellStyle name="Total 2 2 2 2 2 6 2" xfId="50517"/>
    <cellStyle name="Total 2 2 2 2 2 7" xfId="31022"/>
    <cellStyle name="Total 2 2 2 2 3" xfId="2739"/>
    <cellStyle name="Total 2 2 2 2 3 2" xfId="5889"/>
    <cellStyle name="Total 2 2 2 2 3 2 2" xfId="14764"/>
    <cellStyle name="Total 2 2 2 2 3 2 2 2" xfId="27566"/>
    <cellStyle name="Total 2 2 2 2 3 2 2 2 2" xfId="56745"/>
    <cellStyle name="Total 2 2 2 2 3 2 2 3" xfId="43945"/>
    <cellStyle name="Total 2 2 2 2 3 2 3" xfId="23138"/>
    <cellStyle name="Total 2 2 2 2 3 2 3 2" xfId="52317"/>
    <cellStyle name="Total 2 2 2 2 3 2 4" xfId="35072"/>
    <cellStyle name="Total 2 2 2 2 3 3" xfId="9169"/>
    <cellStyle name="Total 2 2 2 2 3 3 2" xfId="17169"/>
    <cellStyle name="Total 2 2 2 2 3 3 2 2" xfId="29019"/>
    <cellStyle name="Total 2 2 2 2 3 3 2 2 2" xfId="58198"/>
    <cellStyle name="Total 2 2 2 2 3 3 2 3" xfId="46350"/>
    <cellStyle name="Total 2 2 2 2 3 3 3" xfId="24591"/>
    <cellStyle name="Total 2 2 2 2 3 3 3 2" xfId="53770"/>
    <cellStyle name="Total 2 2 2 2 3 3 4" xfId="38352"/>
    <cellStyle name="Total 2 2 2 2 3 4" xfId="12405"/>
    <cellStyle name="Total 2 2 2 2 3 4 2" xfId="26126"/>
    <cellStyle name="Total 2 2 2 2 3 4 2 2" xfId="55305"/>
    <cellStyle name="Total 2 2 2 2 3 4 3" xfId="41586"/>
    <cellStyle name="Total 2 2 2 2 3 5" xfId="21698"/>
    <cellStyle name="Total 2 2 2 2 3 5 2" xfId="50877"/>
    <cellStyle name="Total 2 2 2 2 3 6" xfId="31922"/>
    <cellStyle name="Total 2 2 2 2 4" xfId="4449"/>
    <cellStyle name="Total 2 2 2 2 4 2" xfId="13642"/>
    <cellStyle name="Total 2 2 2 2 4 2 2" xfId="26846"/>
    <cellStyle name="Total 2 2 2 2 4 2 2 2" xfId="56025"/>
    <cellStyle name="Total 2 2 2 2 4 2 3" xfId="42823"/>
    <cellStyle name="Total 2 2 2 2 4 3" xfId="22418"/>
    <cellStyle name="Total 2 2 2 2 4 3 2" xfId="51597"/>
    <cellStyle name="Total 2 2 2 2 4 4" xfId="33632"/>
    <cellStyle name="Total 2 2 2 2 5" xfId="7442"/>
    <cellStyle name="Total 2 2 2 2 5 2" xfId="15938"/>
    <cellStyle name="Total 2 2 2 2 5 2 2" xfId="28342"/>
    <cellStyle name="Total 2 2 2 2 5 2 2 2" xfId="57521"/>
    <cellStyle name="Total 2 2 2 2 5 2 3" xfId="45119"/>
    <cellStyle name="Total 2 2 2 2 5 3" xfId="23914"/>
    <cellStyle name="Total 2 2 2 2 5 3 2" xfId="53093"/>
    <cellStyle name="Total 2 2 2 2 5 4" xfId="36625"/>
    <cellStyle name="Total 2 2 2 2 6" xfId="11105"/>
    <cellStyle name="Total 2 2 2 2 6 2" xfId="25382"/>
    <cellStyle name="Total 2 2 2 2 6 2 2" xfId="54561"/>
    <cellStyle name="Total 2 2 2 2 6 3" xfId="40286"/>
    <cellStyle name="Total 2 2 2 2 7" xfId="20954"/>
    <cellStyle name="Total 2 2 2 2 7 2" xfId="50133"/>
    <cellStyle name="Total 2 2 2 2 8" xfId="30098"/>
    <cellStyle name="Total 2 2 2 3" xfId="1093"/>
    <cellStyle name="Total 2 2 2 3 2" xfId="2003"/>
    <cellStyle name="Total 2 2 2 3 2 2" xfId="3803"/>
    <cellStyle name="Total 2 2 2 3 2 2 2" xfId="6737"/>
    <cellStyle name="Total 2 2 2 3 2 2 2 2" xfId="15423"/>
    <cellStyle name="Total 2 2 2 3 2 2 2 2 2" xfId="28000"/>
    <cellStyle name="Total 2 2 2 3 2 2 2 2 2 2" xfId="57179"/>
    <cellStyle name="Total 2 2 2 3 2 2 2 2 3" xfId="44604"/>
    <cellStyle name="Total 2 2 2 3 2 2 2 3" xfId="23572"/>
    <cellStyle name="Total 2 2 2 3 2 2 2 3 2" xfId="52751"/>
    <cellStyle name="Total 2 2 2 3 2 2 2 4" xfId="35920"/>
    <cellStyle name="Total 2 2 2 3 2 2 3" xfId="10080"/>
    <cellStyle name="Total 2 2 2 3 2 2 3 2" xfId="17812"/>
    <cellStyle name="Total 2 2 2 3 2 2 3 2 2" xfId="29377"/>
    <cellStyle name="Total 2 2 2 3 2 2 3 2 2 2" xfId="58556"/>
    <cellStyle name="Total 2 2 2 3 2 2 3 2 3" xfId="46993"/>
    <cellStyle name="Total 2 2 2 3 2 2 3 3" xfId="24949"/>
    <cellStyle name="Total 2 2 2 3 2 2 3 3 2" xfId="54128"/>
    <cellStyle name="Total 2 2 2 3 2 2 3 4" xfId="39263"/>
    <cellStyle name="Total 2 2 2 3 2 2 4" xfId="13160"/>
    <cellStyle name="Total 2 2 2 3 2 2 4 2" xfId="26560"/>
    <cellStyle name="Total 2 2 2 3 2 2 4 2 2" xfId="55739"/>
    <cellStyle name="Total 2 2 2 3 2 2 4 3" xfId="42341"/>
    <cellStyle name="Total 2 2 2 3 2 2 5" xfId="22132"/>
    <cellStyle name="Total 2 2 2 3 2 2 5 2" xfId="51311"/>
    <cellStyle name="Total 2 2 2 3 2 2 6" xfId="32986"/>
    <cellStyle name="Total 2 2 2 3 2 3" xfId="5297"/>
    <cellStyle name="Total 2 2 2 3 2 3 2" xfId="14302"/>
    <cellStyle name="Total 2 2 2 3 2 3 2 2" xfId="27280"/>
    <cellStyle name="Total 2 2 2 3 2 3 2 2 2" xfId="56459"/>
    <cellStyle name="Total 2 2 2 3 2 3 2 3" xfId="43483"/>
    <cellStyle name="Total 2 2 2 3 2 3 3" xfId="22852"/>
    <cellStyle name="Total 2 2 2 3 2 3 3 2" xfId="52031"/>
    <cellStyle name="Total 2 2 2 3 2 3 4" xfId="34480"/>
    <cellStyle name="Total 2 2 2 3 2 4" xfId="10023"/>
    <cellStyle name="Total 2 2 2 3 2 4 2" xfId="17777"/>
    <cellStyle name="Total 2 2 2 3 2 4 2 2" xfId="29355"/>
    <cellStyle name="Total 2 2 2 3 2 4 2 2 2" xfId="58534"/>
    <cellStyle name="Total 2 2 2 3 2 4 2 3" xfId="46958"/>
    <cellStyle name="Total 2 2 2 3 2 4 3" xfId="24927"/>
    <cellStyle name="Total 2 2 2 3 2 4 3 2" xfId="54106"/>
    <cellStyle name="Total 2 2 2 3 2 4 4" xfId="39206"/>
    <cellStyle name="Total 2 2 2 3 2 5" xfId="11884"/>
    <cellStyle name="Total 2 2 2 3 2 5 2" xfId="25840"/>
    <cellStyle name="Total 2 2 2 3 2 5 2 2" xfId="55019"/>
    <cellStyle name="Total 2 2 2 3 2 5 3" xfId="41065"/>
    <cellStyle name="Total 2 2 2 3 2 6" xfId="21412"/>
    <cellStyle name="Total 2 2 2 3 2 6 2" xfId="50591"/>
    <cellStyle name="Total 2 2 2 3 2 7" xfId="31186"/>
    <cellStyle name="Total 2 2 2 3 3" xfId="2903"/>
    <cellStyle name="Total 2 2 2 3 3 2" xfId="6017"/>
    <cellStyle name="Total 2 2 2 3 3 2 2" xfId="14863"/>
    <cellStyle name="Total 2 2 2 3 3 2 2 2" xfId="27640"/>
    <cellStyle name="Total 2 2 2 3 3 2 2 2 2" xfId="56819"/>
    <cellStyle name="Total 2 2 2 3 3 2 2 3" xfId="44044"/>
    <cellStyle name="Total 2 2 2 3 3 2 3" xfId="23212"/>
    <cellStyle name="Total 2 2 2 3 3 2 3 2" xfId="52391"/>
    <cellStyle name="Total 2 2 2 3 3 2 4" xfId="35200"/>
    <cellStyle name="Total 2 2 2 3 3 3" xfId="9230"/>
    <cellStyle name="Total 2 2 2 3 3 3 2" xfId="17214"/>
    <cellStyle name="Total 2 2 2 3 3 3 2 2" xfId="29040"/>
    <cellStyle name="Total 2 2 2 3 3 3 2 2 2" xfId="58219"/>
    <cellStyle name="Total 2 2 2 3 3 3 2 3" xfId="46395"/>
    <cellStyle name="Total 2 2 2 3 3 3 3" xfId="24612"/>
    <cellStyle name="Total 2 2 2 3 3 3 3 2" xfId="53791"/>
    <cellStyle name="Total 2 2 2 3 3 3 4" xfId="38413"/>
    <cellStyle name="Total 2 2 2 3 3 4" xfId="12520"/>
    <cellStyle name="Total 2 2 2 3 3 4 2" xfId="26200"/>
    <cellStyle name="Total 2 2 2 3 3 4 2 2" xfId="55379"/>
    <cellStyle name="Total 2 2 2 3 3 4 3" xfId="41701"/>
    <cellStyle name="Total 2 2 2 3 3 5" xfId="21772"/>
    <cellStyle name="Total 2 2 2 3 3 5 2" xfId="50951"/>
    <cellStyle name="Total 2 2 2 3 3 6" xfId="32086"/>
    <cellStyle name="Total 2 2 2 3 4" xfId="4577"/>
    <cellStyle name="Total 2 2 2 3 4 2" xfId="13743"/>
    <cellStyle name="Total 2 2 2 3 4 2 2" xfId="26920"/>
    <cellStyle name="Total 2 2 2 3 4 2 2 2" xfId="56099"/>
    <cellStyle name="Total 2 2 2 3 4 2 3" xfId="42924"/>
    <cellStyle name="Total 2 2 2 3 4 3" xfId="22492"/>
    <cellStyle name="Total 2 2 2 3 4 3 2" xfId="51671"/>
    <cellStyle name="Total 2 2 2 3 4 4" xfId="33760"/>
    <cellStyle name="Total 2 2 2 3 5" xfId="10290"/>
    <cellStyle name="Total 2 2 2 3 5 2" xfId="17963"/>
    <cellStyle name="Total 2 2 2 3 5 2 2" xfId="29466"/>
    <cellStyle name="Total 2 2 2 3 5 2 2 2" xfId="58645"/>
    <cellStyle name="Total 2 2 2 3 5 2 3" xfId="47144"/>
    <cellStyle name="Total 2 2 2 3 5 3" xfId="25038"/>
    <cellStyle name="Total 2 2 2 3 5 3 2" xfId="54217"/>
    <cellStyle name="Total 2 2 2 3 5 4" xfId="39473"/>
    <cellStyle name="Total 2 2 2 3 6" xfId="11248"/>
    <cellStyle name="Total 2 2 2 3 6 2" xfId="25477"/>
    <cellStyle name="Total 2 2 2 3 6 2 2" xfId="54656"/>
    <cellStyle name="Total 2 2 2 3 6 3" xfId="40429"/>
    <cellStyle name="Total 2 2 2 3 7" xfId="21049"/>
    <cellStyle name="Total 2 2 2 3 7 2" xfId="50228"/>
    <cellStyle name="Total 2 2 2 3 8" xfId="30283"/>
    <cellStyle name="Total 2 2 2 4" xfId="1243"/>
    <cellStyle name="Total 2 2 2 4 2" xfId="2147"/>
    <cellStyle name="Total 2 2 2 4 2 2" xfId="3947"/>
    <cellStyle name="Total 2 2 2 4 2 2 2" xfId="6854"/>
    <cellStyle name="Total 2 2 2 4 2 2 2 2" xfId="15513"/>
    <cellStyle name="Total 2 2 2 4 2 2 2 2 2" xfId="28063"/>
    <cellStyle name="Total 2 2 2 4 2 2 2 2 2 2" xfId="57242"/>
    <cellStyle name="Total 2 2 2 4 2 2 2 2 3" xfId="44694"/>
    <cellStyle name="Total 2 2 2 4 2 2 2 3" xfId="23635"/>
    <cellStyle name="Total 2 2 2 4 2 2 2 3 2" xfId="52814"/>
    <cellStyle name="Total 2 2 2 4 2 2 2 4" xfId="36037"/>
    <cellStyle name="Total 2 2 2 4 2 2 3" xfId="7133"/>
    <cellStyle name="Total 2 2 2 4 2 2 3 2" xfId="15723"/>
    <cellStyle name="Total 2 2 2 4 2 2 3 2 2" xfId="28205"/>
    <cellStyle name="Total 2 2 2 4 2 2 3 2 2 2" xfId="57384"/>
    <cellStyle name="Total 2 2 2 4 2 2 3 2 3" xfId="44904"/>
    <cellStyle name="Total 2 2 2 4 2 2 3 3" xfId="23777"/>
    <cellStyle name="Total 2 2 2 4 2 2 3 3 2" xfId="52956"/>
    <cellStyle name="Total 2 2 2 4 2 2 3 4" xfId="36316"/>
    <cellStyle name="Total 2 2 2 4 2 2 4" xfId="13258"/>
    <cellStyle name="Total 2 2 2 4 2 2 4 2" xfId="26623"/>
    <cellStyle name="Total 2 2 2 4 2 2 4 2 2" xfId="55802"/>
    <cellStyle name="Total 2 2 2 4 2 2 4 3" xfId="42439"/>
    <cellStyle name="Total 2 2 2 4 2 2 5" xfId="22195"/>
    <cellStyle name="Total 2 2 2 4 2 2 5 2" xfId="51374"/>
    <cellStyle name="Total 2 2 2 4 2 2 6" xfId="33130"/>
    <cellStyle name="Total 2 2 2 4 2 3" xfId="5414"/>
    <cellStyle name="Total 2 2 2 4 2 3 2" xfId="14391"/>
    <cellStyle name="Total 2 2 2 4 2 3 2 2" xfId="27343"/>
    <cellStyle name="Total 2 2 2 4 2 3 2 2 2" xfId="56522"/>
    <cellStyle name="Total 2 2 2 4 2 3 2 3" xfId="43572"/>
    <cellStyle name="Total 2 2 2 4 2 3 3" xfId="22915"/>
    <cellStyle name="Total 2 2 2 4 2 3 3 2" xfId="52094"/>
    <cellStyle name="Total 2 2 2 4 2 3 4" xfId="34597"/>
    <cellStyle name="Total 2 2 2 4 2 4" xfId="7959"/>
    <cellStyle name="Total 2 2 2 4 2 4 2" xfId="16297"/>
    <cellStyle name="Total 2 2 2 4 2 4 2 2" xfId="28541"/>
    <cellStyle name="Total 2 2 2 4 2 4 2 2 2" xfId="57720"/>
    <cellStyle name="Total 2 2 2 4 2 4 2 3" xfId="45478"/>
    <cellStyle name="Total 2 2 2 4 2 4 3" xfId="24113"/>
    <cellStyle name="Total 2 2 2 4 2 4 3 2" xfId="53292"/>
    <cellStyle name="Total 2 2 2 4 2 4 4" xfId="37142"/>
    <cellStyle name="Total 2 2 2 4 2 5" xfId="11983"/>
    <cellStyle name="Total 2 2 2 4 2 5 2" xfId="25903"/>
    <cellStyle name="Total 2 2 2 4 2 5 2 2" xfId="55082"/>
    <cellStyle name="Total 2 2 2 4 2 5 3" xfId="41164"/>
    <cellStyle name="Total 2 2 2 4 2 6" xfId="21475"/>
    <cellStyle name="Total 2 2 2 4 2 6 2" xfId="50654"/>
    <cellStyle name="Total 2 2 2 4 2 7" xfId="31330"/>
    <cellStyle name="Total 2 2 2 4 3" xfId="3047"/>
    <cellStyle name="Total 2 2 2 4 3 2" xfId="6134"/>
    <cellStyle name="Total 2 2 2 4 3 2 2" xfId="14952"/>
    <cellStyle name="Total 2 2 2 4 3 2 2 2" xfId="27703"/>
    <cellStyle name="Total 2 2 2 4 3 2 2 2 2" xfId="56882"/>
    <cellStyle name="Total 2 2 2 4 3 2 2 3" xfId="44133"/>
    <cellStyle name="Total 2 2 2 4 3 2 3" xfId="23275"/>
    <cellStyle name="Total 2 2 2 4 3 2 3 2" xfId="52454"/>
    <cellStyle name="Total 2 2 2 4 3 2 4" xfId="35317"/>
    <cellStyle name="Total 2 2 2 4 3 3" xfId="8732"/>
    <cellStyle name="Total 2 2 2 4 3 3 2" xfId="16848"/>
    <cellStyle name="Total 2 2 2 4 3 3 2 2" xfId="28844"/>
    <cellStyle name="Total 2 2 2 4 3 3 2 2 2" xfId="58023"/>
    <cellStyle name="Total 2 2 2 4 3 3 2 3" xfId="46029"/>
    <cellStyle name="Total 2 2 2 4 3 3 3" xfId="24416"/>
    <cellStyle name="Total 2 2 2 4 3 3 3 2" xfId="53595"/>
    <cellStyle name="Total 2 2 2 4 3 3 4" xfId="37915"/>
    <cellStyle name="Total 2 2 2 4 3 4" xfId="12619"/>
    <cellStyle name="Total 2 2 2 4 3 4 2" xfId="26263"/>
    <cellStyle name="Total 2 2 2 4 3 4 2 2" xfId="55442"/>
    <cellStyle name="Total 2 2 2 4 3 4 3" xfId="41800"/>
    <cellStyle name="Total 2 2 2 4 3 5" xfId="21835"/>
    <cellStyle name="Total 2 2 2 4 3 5 2" xfId="51014"/>
    <cellStyle name="Total 2 2 2 4 3 6" xfId="32230"/>
    <cellStyle name="Total 2 2 2 4 4" xfId="4694"/>
    <cellStyle name="Total 2 2 2 4 4 2" xfId="13832"/>
    <cellStyle name="Total 2 2 2 4 4 2 2" xfId="26983"/>
    <cellStyle name="Total 2 2 2 4 4 2 2 2" xfId="56162"/>
    <cellStyle name="Total 2 2 2 4 4 2 3" xfId="43013"/>
    <cellStyle name="Total 2 2 2 4 4 3" xfId="22555"/>
    <cellStyle name="Total 2 2 2 4 4 3 2" xfId="51734"/>
    <cellStyle name="Total 2 2 2 4 4 4" xfId="33877"/>
    <cellStyle name="Total 2 2 2 4 5" xfId="8371"/>
    <cellStyle name="Total 2 2 2 4 5 2" xfId="16593"/>
    <cellStyle name="Total 2 2 2 4 5 2 2" xfId="28700"/>
    <cellStyle name="Total 2 2 2 4 5 2 2 2" xfId="57879"/>
    <cellStyle name="Total 2 2 2 4 5 2 3" xfId="45774"/>
    <cellStyle name="Total 2 2 2 4 5 3" xfId="24272"/>
    <cellStyle name="Total 2 2 2 4 5 3 2" xfId="53451"/>
    <cellStyle name="Total 2 2 2 4 5 4" xfId="37554"/>
    <cellStyle name="Total 2 2 2 4 6" xfId="11353"/>
    <cellStyle name="Total 2 2 2 4 6 2" xfId="25543"/>
    <cellStyle name="Total 2 2 2 4 6 2 2" xfId="54722"/>
    <cellStyle name="Total 2 2 2 4 6 3" xfId="40534"/>
    <cellStyle name="Total 2 2 2 4 7" xfId="21115"/>
    <cellStyle name="Total 2 2 2 4 7 2" xfId="50294"/>
    <cellStyle name="Total 2 2 2 4 8" xfId="30430"/>
    <cellStyle name="Total 2 2 2 5" xfId="1389"/>
    <cellStyle name="Total 2 2 2 5 2" xfId="2291"/>
    <cellStyle name="Total 2 2 2 5 2 2" xfId="4091"/>
    <cellStyle name="Total 2 2 2 5 2 2 2" xfId="6971"/>
    <cellStyle name="Total 2 2 2 5 2 2 2 2" xfId="15603"/>
    <cellStyle name="Total 2 2 2 5 2 2 2 2 2" xfId="28126"/>
    <cellStyle name="Total 2 2 2 5 2 2 2 2 2 2" xfId="57305"/>
    <cellStyle name="Total 2 2 2 5 2 2 2 2 3" xfId="44784"/>
    <cellStyle name="Total 2 2 2 5 2 2 2 3" xfId="23698"/>
    <cellStyle name="Total 2 2 2 5 2 2 2 3 2" xfId="52877"/>
    <cellStyle name="Total 2 2 2 5 2 2 2 4" xfId="36154"/>
    <cellStyle name="Total 2 2 2 5 2 2 3" xfId="6989"/>
    <cellStyle name="Total 2 2 2 5 2 2 3 2" xfId="15619"/>
    <cellStyle name="Total 2 2 2 5 2 2 3 2 2" xfId="28142"/>
    <cellStyle name="Total 2 2 2 5 2 2 3 2 2 2" xfId="57321"/>
    <cellStyle name="Total 2 2 2 5 2 2 3 2 3" xfId="44800"/>
    <cellStyle name="Total 2 2 2 5 2 2 3 3" xfId="23714"/>
    <cellStyle name="Total 2 2 2 5 2 2 3 3 2" xfId="52893"/>
    <cellStyle name="Total 2 2 2 5 2 2 3 4" xfId="36172"/>
    <cellStyle name="Total 2 2 2 5 2 2 4" xfId="13363"/>
    <cellStyle name="Total 2 2 2 5 2 2 4 2" xfId="26686"/>
    <cellStyle name="Total 2 2 2 5 2 2 4 2 2" xfId="55865"/>
    <cellStyle name="Total 2 2 2 5 2 2 4 3" xfId="42544"/>
    <cellStyle name="Total 2 2 2 5 2 2 5" xfId="22258"/>
    <cellStyle name="Total 2 2 2 5 2 2 5 2" xfId="51437"/>
    <cellStyle name="Total 2 2 2 5 2 2 6" xfId="33274"/>
    <cellStyle name="Total 2 2 2 5 2 3" xfId="5531"/>
    <cellStyle name="Total 2 2 2 5 2 3 2" xfId="14484"/>
    <cellStyle name="Total 2 2 2 5 2 3 2 2" xfId="27406"/>
    <cellStyle name="Total 2 2 2 5 2 3 2 2 2" xfId="56585"/>
    <cellStyle name="Total 2 2 2 5 2 3 2 3" xfId="43665"/>
    <cellStyle name="Total 2 2 2 5 2 3 3" xfId="22978"/>
    <cellStyle name="Total 2 2 2 5 2 3 3 2" xfId="52157"/>
    <cellStyle name="Total 2 2 2 5 2 3 4" xfId="34714"/>
    <cellStyle name="Total 2 2 2 5 2 4" xfId="7289"/>
    <cellStyle name="Total 2 2 2 5 2 4 2" xfId="15832"/>
    <cellStyle name="Total 2 2 2 5 2 4 2 2" xfId="28274"/>
    <cellStyle name="Total 2 2 2 5 2 4 2 2 2" xfId="57453"/>
    <cellStyle name="Total 2 2 2 5 2 4 2 3" xfId="45013"/>
    <cellStyle name="Total 2 2 2 5 2 4 3" xfId="23846"/>
    <cellStyle name="Total 2 2 2 5 2 4 3 2" xfId="53025"/>
    <cellStyle name="Total 2 2 2 5 2 4 4" xfId="36472"/>
    <cellStyle name="Total 2 2 2 5 2 5" xfId="12084"/>
    <cellStyle name="Total 2 2 2 5 2 5 2" xfId="25966"/>
    <cellStyle name="Total 2 2 2 5 2 5 2 2" xfId="55145"/>
    <cellStyle name="Total 2 2 2 5 2 5 3" xfId="41265"/>
    <cellStyle name="Total 2 2 2 5 2 6" xfId="21538"/>
    <cellStyle name="Total 2 2 2 5 2 6 2" xfId="50717"/>
    <cellStyle name="Total 2 2 2 5 2 7" xfId="31474"/>
    <cellStyle name="Total 2 2 2 5 3" xfId="3191"/>
    <cellStyle name="Total 2 2 2 5 3 2" xfId="6251"/>
    <cellStyle name="Total 2 2 2 5 3 2 2" xfId="15044"/>
    <cellStyle name="Total 2 2 2 5 3 2 2 2" xfId="27766"/>
    <cellStyle name="Total 2 2 2 5 3 2 2 2 2" xfId="56945"/>
    <cellStyle name="Total 2 2 2 5 3 2 2 3" xfId="44225"/>
    <cellStyle name="Total 2 2 2 5 3 2 3" xfId="23338"/>
    <cellStyle name="Total 2 2 2 5 3 2 3 2" xfId="52517"/>
    <cellStyle name="Total 2 2 2 5 3 2 4" xfId="35434"/>
    <cellStyle name="Total 2 2 2 5 3 3" xfId="7178"/>
    <cellStyle name="Total 2 2 2 5 3 3 2" xfId="15754"/>
    <cellStyle name="Total 2 2 2 5 3 3 2 2" xfId="28226"/>
    <cellStyle name="Total 2 2 2 5 3 3 2 2 2" xfId="57405"/>
    <cellStyle name="Total 2 2 2 5 3 3 2 3" xfId="44935"/>
    <cellStyle name="Total 2 2 2 5 3 3 3" xfId="23798"/>
    <cellStyle name="Total 2 2 2 5 3 3 3 2" xfId="52977"/>
    <cellStyle name="Total 2 2 2 5 3 3 4" xfId="36361"/>
    <cellStyle name="Total 2 2 2 5 3 4" xfId="12725"/>
    <cellStyle name="Total 2 2 2 5 3 4 2" xfId="26326"/>
    <cellStyle name="Total 2 2 2 5 3 4 2 2" xfId="55505"/>
    <cellStyle name="Total 2 2 2 5 3 4 3" xfId="41906"/>
    <cellStyle name="Total 2 2 2 5 3 5" xfId="21898"/>
    <cellStyle name="Total 2 2 2 5 3 5 2" xfId="51077"/>
    <cellStyle name="Total 2 2 2 5 3 6" xfId="32374"/>
    <cellStyle name="Total 2 2 2 5 4" xfId="4811"/>
    <cellStyle name="Total 2 2 2 5 4 2" xfId="13920"/>
    <cellStyle name="Total 2 2 2 5 4 2 2" xfId="27046"/>
    <cellStyle name="Total 2 2 2 5 4 2 2 2" xfId="56225"/>
    <cellStyle name="Total 2 2 2 5 4 2 3" xfId="43101"/>
    <cellStyle name="Total 2 2 2 5 4 3" xfId="22618"/>
    <cellStyle name="Total 2 2 2 5 4 3 2" xfId="51797"/>
    <cellStyle name="Total 2 2 2 5 4 4" xfId="33994"/>
    <cellStyle name="Total 2 2 2 5 5" xfId="9558"/>
    <cellStyle name="Total 2 2 2 5 5 2" xfId="17443"/>
    <cellStyle name="Total 2 2 2 5 5 2 2" xfId="29175"/>
    <cellStyle name="Total 2 2 2 5 5 2 2 2" xfId="58354"/>
    <cellStyle name="Total 2 2 2 5 5 2 3" xfId="46624"/>
    <cellStyle name="Total 2 2 2 5 5 3" xfId="24747"/>
    <cellStyle name="Total 2 2 2 5 5 3 2" xfId="53926"/>
    <cellStyle name="Total 2 2 2 5 5 4" xfId="38741"/>
    <cellStyle name="Total 2 2 2 5 6" xfId="11453"/>
    <cellStyle name="Total 2 2 2 5 6 2" xfId="25606"/>
    <cellStyle name="Total 2 2 2 5 6 2 2" xfId="54785"/>
    <cellStyle name="Total 2 2 2 5 6 3" xfId="40634"/>
    <cellStyle name="Total 2 2 2 5 7" xfId="21178"/>
    <cellStyle name="Total 2 2 2 5 7 2" xfId="50357"/>
    <cellStyle name="Total 2 2 2 5 8" xfId="30574"/>
    <cellStyle name="Total 2 2 2 6" xfId="1571"/>
    <cellStyle name="Total 2 2 2 6 2" xfId="3371"/>
    <cellStyle name="Total 2 2 2 6 2 2" xfId="6395"/>
    <cellStyle name="Total 2 2 2 6 2 2 2" xfId="15150"/>
    <cellStyle name="Total 2 2 2 6 2 2 2 2" xfId="27838"/>
    <cellStyle name="Total 2 2 2 6 2 2 2 2 2" xfId="57017"/>
    <cellStyle name="Total 2 2 2 6 2 2 2 3" xfId="44331"/>
    <cellStyle name="Total 2 2 2 6 2 2 3" xfId="23410"/>
    <cellStyle name="Total 2 2 2 6 2 2 3 2" xfId="52589"/>
    <cellStyle name="Total 2 2 2 6 2 2 4" xfId="35578"/>
    <cellStyle name="Total 2 2 2 6 2 3" xfId="9185"/>
    <cellStyle name="Total 2 2 2 6 2 3 2" xfId="17183"/>
    <cellStyle name="Total 2 2 2 6 2 3 2 2" xfId="29026"/>
    <cellStyle name="Total 2 2 2 6 2 3 2 2 2" xfId="58205"/>
    <cellStyle name="Total 2 2 2 6 2 3 2 3" xfId="46364"/>
    <cellStyle name="Total 2 2 2 6 2 3 3" xfId="24598"/>
    <cellStyle name="Total 2 2 2 6 2 3 3 2" xfId="53777"/>
    <cellStyle name="Total 2 2 2 6 2 3 4" xfId="38368"/>
    <cellStyle name="Total 2 2 2 6 2 4" xfId="12847"/>
    <cellStyle name="Total 2 2 2 6 2 4 2" xfId="26398"/>
    <cellStyle name="Total 2 2 2 6 2 4 2 2" xfId="55577"/>
    <cellStyle name="Total 2 2 2 6 2 4 3" xfId="42028"/>
    <cellStyle name="Total 2 2 2 6 2 5" xfId="21970"/>
    <cellStyle name="Total 2 2 2 6 2 5 2" xfId="51149"/>
    <cellStyle name="Total 2 2 2 6 2 6" xfId="32554"/>
    <cellStyle name="Total 2 2 2 6 3" xfId="4955"/>
    <cellStyle name="Total 2 2 2 6 3 2" xfId="14029"/>
    <cellStyle name="Total 2 2 2 6 3 2 2" xfId="27118"/>
    <cellStyle name="Total 2 2 2 6 3 2 2 2" xfId="56297"/>
    <cellStyle name="Total 2 2 2 6 3 2 3" xfId="43210"/>
    <cellStyle name="Total 2 2 2 6 3 3" xfId="22690"/>
    <cellStyle name="Total 2 2 2 6 3 3 2" xfId="51869"/>
    <cellStyle name="Total 2 2 2 6 3 4" xfId="34138"/>
    <cellStyle name="Total 2 2 2 6 4" xfId="8532"/>
    <cellStyle name="Total 2 2 2 6 4 2" xfId="16701"/>
    <cellStyle name="Total 2 2 2 6 4 2 2" xfId="28756"/>
    <cellStyle name="Total 2 2 2 6 4 2 2 2" xfId="57935"/>
    <cellStyle name="Total 2 2 2 6 4 2 3" xfId="45882"/>
    <cellStyle name="Total 2 2 2 6 4 3" xfId="24328"/>
    <cellStyle name="Total 2 2 2 6 4 3 2" xfId="53507"/>
    <cellStyle name="Total 2 2 2 6 4 4" xfId="37715"/>
    <cellStyle name="Total 2 2 2 6 5" xfId="11576"/>
    <cellStyle name="Total 2 2 2 6 5 2" xfId="25678"/>
    <cellStyle name="Total 2 2 2 6 5 2 2" xfId="54857"/>
    <cellStyle name="Total 2 2 2 6 5 3" xfId="40757"/>
    <cellStyle name="Total 2 2 2 6 6" xfId="21250"/>
    <cellStyle name="Total 2 2 2 6 6 2" xfId="50429"/>
    <cellStyle name="Total 2 2 2 6 7" xfId="30754"/>
    <cellStyle name="Total 2 2 2 7" xfId="2471"/>
    <cellStyle name="Total 2 2 2 7 2" xfId="5675"/>
    <cellStyle name="Total 2 2 2 7 2 2" xfId="14597"/>
    <cellStyle name="Total 2 2 2 7 2 2 2" xfId="27478"/>
    <cellStyle name="Total 2 2 2 7 2 2 2 2" xfId="56657"/>
    <cellStyle name="Total 2 2 2 7 2 2 3" xfId="43778"/>
    <cellStyle name="Total 2 2 2 7 2 3" xfId="23050"/>
    <cellStyle name="Total 2 2 2 7 2 3 2" xfId="52229"/>
    <cellStyle name="Total 2 2 2 7 2 4" xfId="34858"/>
    <cellStyle name="Total 2 2 2 7 3" xfId="10059"/>
    <cellStyle name="Total 2 2 2 7 3 2" xfId="17800"/>
    <cellStyle name="Total 2 2 2 7 3 2 2" xfId="29369"/>
    <cellStyle name="Total 2 2 2 7 3 2 2 2" xfId="58548"/>
    <cellStyle name="Total 2 2 2 7 3 2 3" xfId="46981"/>
    <cellStyle name="Total 2 2 2 7 3 3" xfId="24941"/>
    <cellStyle name="Total 2 2 2 7 3 3 2" xfId="54120"/>
    <cellStyle name="Total 2 2 2 7 3 4" xfId="39242"/>
    <cellStyle name="Total 2 2 2 7 4" xfId="12213"/>
    <cellStyle name="Total 2 2 2 7 4 2" xfId="26038"/>
    <cellStyle name="Total 2 2 2 7 4 2 2" xfId="55217"/>
    <cellStyle name="Total 2 2 2 7 4 3" xfId="41394"/>
    <cellStyle name="Total 2 2 2 7 5" xfId="21610"/>
    <cellStyle name="Total 2 2 2 7 5 2" xfId="50789"/>
    <cellStyle name="Total 2 2 2 7 6" xfId="31654"/>
    <cellStyle name="Total 2 2 2 8" xfId="4235"/>
    <cellStyle name="Total 2 2 2 8 2" xfId="13478"/>
    <cellStyle name="Total 2 2 2 8 2 2" xfId="26758"/>
    <cellStyle name="Total 2 2 2 8 2 2 2" xfId="55937"/>
    <cellStyle name="Total 2 2 2 8 2 3" xfId="42659"/>
    <cellStyle name="Total 2 2 2 8 3" xfId="22330"/>
    <cellStyle name="Total 2 2 2 8 3 2" xfId="51509"/>
    <cellStyle name="Total 2 2 2 8 4" xfId="33418"/>
    <cellStyle name="Total 2 2 2 9" xfId="8101"/>
    <cellStyle name="Total 2 2 2 9 2" xfId="16398"/>
    <cellStyle name="Total 2 2 2 9 2 2" xfId="28599"/>
    <cellStyle name="Total 2 2 2 9 2 2 2" xfId="57778"/>
    <cellStyle name="Total 2 2 2 9 2 3" xfId="45579"/>
    <cellStyle name="Total 2 2 2 9 3" xfId="24171"/>
    <cellStyle name="Total 2 2 2 9 3 2" xfId="53350"/>
    <cellStyle name="Total 2 2 2 9 4" xfId="37284"/>
    <cellStyle name="Total 2 2 3" xfId="811"/>
    <cellStyle name="Total 2 2 3 2" xfId="1749"/>
    <cellStyle name="Total 2 2 3 2 2" xfId="3549"/>
    <cellStyle name="Total 2 2 3 2 2 2" xfId="6537"/>
    <cellStyle name="Total 2 2 3 2 2 2 2" xfId="15266"/>
    <cellStyle name="Total 2 2 3 2 2 2 2 2" xfId="27890"/>
    <cellStyle name="Total 2 2 3 2 2 2 2 2 2" xfId="57069"/>
    <cellStyle name="Total 2 2 3 2 2 2 2 3" xfId="44447"/>
    <cellStyle name="Total 2 2 3 2 2 2 3" xfId="23462"/>
    <cellStyle name="Total 2 2 3 2 2 2 3 2" xfId="52641"/>
    <cellStyle name="Total 2 2 3 2 2 2 4" xfId="35720"/>
    <cellStyle name="Total 2 2 3 2 2 3" xfId="8306"/>
    <cellStyle name="Total 2 2 3 2 2 3 2" xfId="16544"/>
    <cellStyle name="Total 2 2 3 2 2 3 2 2" xfId="28677"/>
    <cellStyle name="Total 2 2 3 2 2 3 2 2 2" xfId="57856"/>
    <cellStyle name="Total 2 2 3 2 2 3 2 3" xfId="45725"/>
    <cellStyle name="Total 2 2 3 2 2 3 3" xfId="24249"/>
    <cellStyle name="Total 2 2 3 2 2 3 3 2" xfId="53428"/>
    <cellStyle name="Total 2 2 3 2 2 3 4" xfId="37489"/>
    <cellStyle name="Total 2 2 3 2 2 4" xfId="12977"/>
    <cellStyle name="Total 2 2 3 2 2 4 2" xfId="26450"/>
    <cellStyle name="Total 2 2 3 2 2 4 2 2" xfId="55629"/>
    <cellStyle name="Total 2 2 3 2 2 4 3" xfId="42158"/>
    <cellStyle name="Total 2 2 3 2 2 5" xfId="22022"/>
    <cellStyle name="Total 2 2 3 2 2 5 2" xfId="51201"/>
    <cellStyle name="Total 2 2 3 2 2 6" xfId="32732"/>
    <cellStyle name="Total 2 2 3 2 3" xfId="5097"/>
    <cellStyle name="Total 2 2 3 2 3 2" xfId="14142"/>
    <cellStyle name="Total 2 2 3 2 3 2 2" xfId="27170"/>
    <cellStyle name="Total 2 2 3 2 3 2 2 2" xfId="56349"/>
    <cellStyle name="Total 2 2 3 2 3 2 3" xfId="43323"/>
    <cellStyle name="Total 2 2 3 2 3 3" xfId="22742"/>
    <cellStyle name="Total 2 2 3 2 3 3 2" xfId="51921"/>
    <cellStyle name="Total 2 2 3 2 3 4" xfId="34280"/>
    <cellStyle name="Total 2 2 3 2 4" xfId="10141"/>
    <cellStyle name="Total 2 2 3 2 4 2" xfId="17854"/>
    <cellStyle name="Total 2 2 3 2 4 2 2" xfId="29404"/>
    <cellStyle name="Total 2 2 3 2 4 2 2 2" xfId="58583"/>
    <cellStyle name="Total 2 2 3 2 4 2 3" xfId="47035"/>
    <cellStyle name="Total 2 2 3 2 4 3" xfId="24976"/>
    <cellStyle name="Total 2 2 3 2 4 3 2" xfId="54155"/>
    <cellStyle name="Total 2 2 3 2 4 4" xfId="39324"/>
    <cellStyle name="Total 2 2 3 2 5" xfId="11703"/>
    <cellStyle name="Total 2 2 3 2 5 2" xfId="25730"/>
    <cellStyle name="Total 2 2 3 2 5 2 2" xfId="54909"/>
    <cellStyle name="Total 2 2 3 2 5 3" xfId="40884"/>
    <cellStyle name="Total 2 2 3 2 6" xfId="21302"/>
    <cellStyle name="Total 2 2 3 2 6 2" xfId="50481"/>
    <cellStyle name="Total 2 2 3 2 7" xfId="30932"/>
    <cellStyle name="Total 2 2 3 3" xfId="2649"/>
    <cellStyle name="Total 2 2 3 3 2" xfId="5817"/>
    <cellStyle name="Total 2 2 3 3 2 2" xfId="14707"/>
    <cellStyle name="Total 2 2 3 3 2 2 2" xfId="27530"/>
    <cellStyle name="Total 2 2 3 3 2 2 2 2" xfId="56709"/>
    <cellStyle name="Total 2 2 3 3 2 2 3" xfId="43888"/>
    <cellStyle name="Total 2 2 3 3 2 3" xfId="23102"/>
    <cellStyle name="Total 2 2 3 3 2 3 2" xfId="52281"/>
    <cellStyle name="Total 2 2 3 3 2 4" xfId="35000"/>
    <cellStyle name="Total 2 2 3 3 3" xfId="9367"/>
    <cellStyle name="Total 2 2 3 3 3 2" xfId="17314"/>
    <cellStyle name="Total 2 2 3 3 3 2 2" xfId="29097"/>
    <cellStyle name="Total 2 2 3 3 3 2 2 2" xfId="58276"/>
    <cellStyle name="Total 2 2 3 3 3 2 3" xfId="46495"/>
    <cellStyle name="Total 2 2 3 3 3 3" xfId="24669"/>
    <cellStyle name="Total 2 2 3 3 3 3 2" xfId="53848"/>
    <cellStyle name="Total 2 2 3 3 3 4" xfId="38550"/>
    <cellStyle name="Total 2 2 3 3 4" xfId="12339"/>
    <cellStyle name="Total 2 2 3 3 4 2" xfId="26090"/>
    <cellStyle name="Total 2 2 3 3 4 2 2" xfId="55269"/>
    <cellStyle name="Total 2 2 3 3 4 3" xfId="41520"/>
    <cellStyle name="Total 2 2 3 3 5" xfId="21662"/>
    <cellStyle name="Total 2 2 3 3 5 2" xfId="50841"/>
    <cellStyle name="Total 2 2 3 3 6" xfId="31832"/>
    <cellStyle name="Total 2 2 3 4" xfId="4377"/>
    <cellStyle name="Total 2 2 3 4 2" xfId="13583"/>
    <cellStyle name="Total 2 2 3 4 2 2" xfId="26810"/>
    <cellStyle name="Total 2 2 3 4 2 2 2" xfId="55989"/>
    <cellStyle name="Total 2 2 3 4 2 3" xfId="42764"/>
    <cellStyle name="Total 2 2 3 4 3" xfId="22382"/>
    <cellStyle name="Total 2 2 3 4 3 2" xfId="51561"/>
    <cellStyle name="Total 2 2 3 4 4" xfId="33560"/>
    <cellStyle name="Total 2 2 3 5" xfId="8835"/>
    <cellStyle name="Total 2 2 3 5 2" xfId="16926"/>
    <cellStyle name="Total 2 2 3 5 2 2" xfId="28885"/>
    <cellStyle name="Total 2 2 3 5 2 2 2" xfId="58064"/>
    <cellStyle name="Total 2 2 3 5 2 3" xfId="46107"/>
    <cellStyle name="Total 2 2 3 5 3" xfId="24457"/>
    <cellStyle name="Total 2 2 3 5 3 2" xfId="53636"/>
    <cellStyle name="Total 2 2 3 5 4" xfId="38018"/>
    <cellStyle name="Total 2 2 3 6" xfId="11042"/>
    <cellStyle name="Total 2 2 3 6 2" xfId="25346"/>
    <cellStyle name="Total 2 2 3 6 2 2" xfId="54525"/>
    <cellStyle name="Total 2 2 3 6 3" xfId="40223"/>
    <cellStyle name="Total 2 2 3 7" xfId="20918"/>
    <cellStyle name="Total 2 2 3 7 2" xfId="50097"/>
    <cellStyle name="Total 2 2 3 8" xfId="30008"/>
    <cellStyle name="Total 2 2 4" xfId="1003"/>
    <cellStyle name="Total 2 2 4 2" xfId="1913"/>
    <cellStyle name="Total 2 2 4 2 2" xfId="3713"/>
    <cellStyle name="Total 2 2 4 2 2 2" xfId="6665"/>
    <cellStyle name="Total 2 2 4 2 2 2 2" xfId="15366"/>
    <cellStyle name="Total 2 2 4 2 2 2 2 2" xfId="27964"/>
    <cellStyle name="Total 2 2 4 2 2 2 2 2 2" xfId="57143"/>
    <cellStyle name="Total 2 2 4 2 2 2 2 3" xfId="44547"/>
    <cellStyle name="Total 2 2 4 2 2 2 3" xfId="23536"/>
    <cellStyle name="Total 2 2 4 2 2 2 3 2" xfId="52715"/>
    <cellStyle name="Total 2 2 4 2 2 2 4" xfId="35848"/>
    <cellStyle name="Total 2 2 4 2 2 3" xfId="8148"/>
    <cellStyle name="Total 2 2 4 2 2 3 2" xfId="16428"/>
    <cellStyle name="Total 2 2 4 2 2 3 2 2" xfId="28614"/>
    <cellStyle name="Total 2 2 4 2 2 3 2 2 2" xfId="57793"/>
    <cellStyle name="Total 2 2 4 2 2 3 2 3" xfId="45609"/>
    <cellStyle name="Total 2 2 4 2 2 3 3" xfId="24186"/>
    <cellStyle name="Total 2 2 4 2 2 3 3 2" xfId="53365"/>
    <cellStyle name="Total 2 2 4 2 2 3 4" xfId="37331"/>
    <cellStyle name="Total 2 2 4 2 2 4" xfId="13097"/>
    <cellStyle name="Total 2 2 4 2 2 4 2" xfId="26524"/>
    <cellStyle name="Total 2 2 4 2 2 4 2 2" xfId="55703"/>
    <cellStyle name="Total 2 2 4 2 2 4 3" xfId="42278"/>
    <cellStyle name="Total 2 2 4 2 2 5" xfId="22096"/>
    <cellStyle name="Total 2 2 4 2 2 5 2" xfId="51275"/>
    <cellStyle name="Total 2 2 4 2 2 6" xfId="32896"/>
    <cellStyle name="Total 2 2 4 2 3" xfId="5225"/>
    <cellStyle name="Total 2 2 4 2 3 2" xfId="14244"/>
    <cellStyle name="Total 2 2 4 2 3 2 2" xfId="27244"/>
    <cellStyle name="Total 2 2 4 2 3 2 2 2" xfId="56423"/>
    <cellStyle name="Total 2 2 4 2 3 2 3" xfId="43425"/>
    <cellStyle name="Total 2 2 4 2 3 3" xfId="22816"/>
    <cellStyle name="Total 2 2 4 2 3 3 2" xfId="51995"/>
    <cellStyle name="Total 2 2 4 2 3 4" xfId="34408"/>
    <cellStyle name="Total 2 2 4 2 4" xfId="7391"/>
    <cellStyle name="Total 2 2 4 2 4 2" xfId="15905"/>
    <cellStyle name="Total 2 2 4 2 4 2 2" xfId="28321"/>
    <cellStyle name="Total 2 2 4 2 4 2 2 2" xfId="57500"/>
    <cellStyle name="Total 2 2 4 2 4 2 3" xfId="45086"/>
    <cellStyle name="Total 2 2 4 2 4 3" xfId="23893"/>
    <cellStyle name="Total 2 2 4 2 4 3 2" xfId="53072"/>
    <cellStyle name="Total 2 2 4 2 4 4" xfId="36574"/>
    <cellStyle name="Total 2 2 4 2 5" xfId="11821"/>
    <cellStyle name="Total 2 2 4 2 5 2" xfId="25804"/>
    <cellStyle name="Total 2 2 4 2 5 2 2" xfId="54983"/>
    <cellStyle name="Total 2 2 4 2 5 3" xfId="41002"/>
    <cellStyle name="Total 2 2 4 2 6" xfId="21376"/>
    <cellStyle name="Total 2 2 4 2 6 2" xfId="50555"/>
    <cellStyle name="Total 2 2 4 2 7" xfId="31096"/>
    <cellStyle name="Total 2 2 4 3" xfId="2813"/>
    <cellStyle name="Total 2 2 4 3 2" xfId="5945"/>
    <cellStyle name="Total 2 2 4 3 2 2" xfId="14808"/>
    <cellStyle name="Total 2 2 4 3 2 2 2" xfId="27604"/>
    <cellStyle name="Total 2 2 4 3 2 2 2 2" xfId="56783"/>
    <cellStyle name="Total 2 2 4 3 2 2 3" xfId="43989"/>
    <cellStyle name="Total 2 2 4 3 2 3" xfId="23176"/>
    <cellStyle name="Total 2 2 4 3 2 3 2" xfId="52355"/>
    <cellStyle name="Total 2 2 4 3 2 4" xfId="35128"/>
    <cellStyle name="Total 2 2 4 3 3" xfId="7459"/>
    <cellStyle name="Total 2 2 4 3 3 2" xfId="15949"/>
    <cellStyle name="Total 2 2 4 3 3 2 2" xfId="28348"/>
    <cellStyle name="Total 2 2 4 3 3 2 2 2" xfId="57527"/>
    <cellStyle name="Total 2 2 4 3 3 2 3" xfId="45130"/>
    <cellStyle name="Total 2 2 4 3 3 3" xfId="23920"/>
    <cellStyle name="Total 2 2 4 3 3 3 2" xfId="53099"/>
    <cellStyle name="Total 2 2 4 3 3 4" xfId="36642"/>
    <cellStyle name="Total 2 2 4 3 4" xfId="12458"/>
    <cellStyle name="Total 2 2 4 3 4 2" xfId="26164"/>
    <cellStyle name="Total 2 2 4 3 4 2 2" xfId="55343"/>
    <cellStyle name="Total 2 2 4 3 4 3" xfId="41639"/>
    <cellStyle name="Total 2 2 4 3 5" xfId="21736"/>
    <cellStyle name="Total 2 2 4 3 5 2" xfId="50915"/>
    <cellStyle name="Total 2 2 4 3 6" xfId="31996"/>
    <cellStyle name="Total 2 2 4 4" xfId="4505"/>
    <cellStyle name="Total 2 2 4 4 2" xfId="13687"/>
    <cellStyle name="Total 2 2 4 4 2 2" xfId="26884"/>
    <cellStyle name="Total 2 2 4 4 2 2 2" xfId="56063"/>
    <cellStyle name="Total 2 2 4 4 2 3" xfId="42868"/>
    <cellStyle name="Total 2 2 4 4 3" xfId="22456"/>
    <cellStyle name="Total 2 2 4 4 3 2" xfId="51635"/>
    <cellStyle name="Total 2 2 4 4 4" xfId="33688"/>
    <cellStyle name="Total 2 2 4 5" xfId="8374"/>
    <cellStyle name="Total 2 2 4 5 2" xfId="16595"/>
    <cellStyle name="Total 2 2 4 5 2 2" xfId="28702"/>
    <cellStyle name="Total 2 2 4 5 2 2 2" xfId="57881"/>
    <cellStyle name="Total 2 2 4 5 2 3" xfId="45776"/>
    <cellStyle name="Total 2 2 4 5 3" xfId="24274"/>
    <cellStyle name="Total 2 2 4 5 3 2" xfId="53453"/>
    <cellStyle name="Total 2 2 4 5 4" xfId="37557"/>
    <cellStyle name="Total 2 2 4 6" xfId="11184"/>
    <cellStyle name="Total 2 2 4 6 2" xfId="25441"/>
    <cellStyle name="Total 2 2 4 6 2 2" xfId="54620"/>
    <cellStyle name="Total 2 2 4 6 3" xfId="40365"/>
    <cellStyle name="Total 2 2 4 7" xfId="21013"/>
    <cellStyle name="Total 2 2 4 7 2" xfId="50192"/>
    <cellStyle name="Total 2 2 4 8" xfId="30193"/>
    <cellStyle name="Total 2 2 5" xfId="1153"/>
    <cellStyle name="Total 2 2 5 2" xfId="2057"/>
    <cellStyle name="Total 2 2 5 2 2" xfId="3857"/>
    <cellStyle name="Total 2 2 5 2 2 2" xfId="6782"/>
    <cellStyle name="Total 2 2 5 2 2 2 2" xfId="15458"/>
    <cellStyle name="Total 2 2 5 2 2 2 2 2" xfId="28027"/>
    <cellStyle name="Total 2 2 5 2 2 2 2 2 2" xfId="57206"/>
    <cellStyle name="Total 2 2 5 2 2 2 2 3" xfId="44639"/>
    <cellStyle name="Total 2 2 5 2 2 2 3" xfId="23599"/>
    <cellStyle name="Total 2 2 5 2 2 2 3 2" xfId="52778"/>
    <cellStyle name="Total 2 2 5 2 2 2 4" xfId="35965"/>
    <cellStyle name="Total 2 2 5 2 2 3" xfId="8417"/>
    <cellStyle name="Total 2 2 5 2 2 3 2" xfId="16623"/>
    <cellStyle name="Total 2 2 5 2 2 3 2 2" xfId="28718"/>
    <cellStyle name="Total 2 2 5 2 2 3 2 2 2" xfId="57897"/>
    <cellStyle name="Total 2 2 5 2 2 3 2 3" xfId="45804"/>
    <cellStyle name="Total 2 2 5 2 2 3 3" xfId="24290"/>
    <cellStyle name="Total 2 2 5 2 2 3 3 2" xfId="53469"/>
    <cellStyle name="Total 2 2 5 2 2 3 4" xfId="37600"/>
    <cellStyle name="Total 2 2 5 2 2 4" xfId="13197"/>
    <cellStyle name="Total 2 2 5 2 2 4 2" xfId="26587"/>
    <cellStyle name="Total 2 2 5 2 2 4 2 2" xfId="55766"/>
    <cellStyle name="Total 2 2 5 2 2 4 3" xfId="42378"/>
    <cellStyle name="Total 2 2 5 2 2 5" xfId="22159"/>
    <cellStyle name="Total 2 2 5 2 2 5 2" xfId="51338"/>
    <cellStyle name="Total 2 2 5 2 2 6" xfId="33040"/>
    <cellStyle name="Total 2 2 5 2 3" xfId="5342"/>
    <cellStyle name="Total 2 2 5 2 3 2" xfId="14337"/>
    <cellStyle name="Total 2 2 5 2 3 2 2" xfId="27307"/>
    <cellStyle name="Total 2 2 5 2 3 2 2 2" xfId="56486"/>
    <cellStyle name="Total 2 2 5 2 3 2 3" xfId="43518"/>
    <cellStyle name="Total 2 2 5 2 3 3" xfId="22879"/>
    <cellStyle name="Total 2 2 5 2 3 3 2" xfId="52058"/>
    <cellStyle name="Total 2 2 5 2 3 4" xfId="34525"/>
    <cellStyle name="Total 2 2 5 2 4" xfId="10515"/>
    <cellStyle name="Total 2 2 5 2 4 2" xfId="18117"/>
    <cellStyle name="Total 2 2 5 2 4 2 2" xfId="29548"/>
    <cellStyle name="Total 2 2 5 2 4 2 2 2" xfId="58727"/>
    <cellStyle name="Total 2 2 5 2 4 2 3" xfId="47298"/>
    <cellStyle name="Total 2 2 5 2 4 3" xfId="25120"/>
    <cellStyle name="Total 2 2 5 2 4 3 2" xfId="54299"/>
    <cellStyle name="Total 2 2 5 2 4 4" xfId="39698"/>
    <cellStyle name="Total 2 2 5 2 5" xfId="11922"/>
    <cellStyle name="Total 2 2 5 2 5 2" xfId="25867"/>
    <cellStyle name="Total 2 2 5 2 5 2 2" xfId="55046"/>
    <cellStyle name="Total 2 2 5 2 5 3" xfId="41103"/>
    <cellStyle name="Total 2 2 5 2 6" xfId="21439"/>
    <cellStyle name="Total 2 2 5 2 6 2" xfId="50618"/>
    <cellStyle name="Total 2 2 5 2 7" xfId="31240"/>
    <cellStyle name="Total 2 2 5 3" xfId="2957"/>
    <cellStyle name="Total 2 2 5 3 2" xfId="6062"/>
    <cellStyle name="Total 2 2 5 3 2 2" xfId="14899"/>
    <cellStyle name="Total 2 2 5 3 2 2 2" xfId="27667"/>
    <cellStyle name="Total 2 2 5 3 2 2 2 2" xfId="56846"/>
    <cellStyle name="Total 2 2 5 3 2 2 3" xfId="44080"/>
    <cellStyle name="Total 2 2 5 3 2 3" xfId="23239"/>
    <cellStyle name="Total 2 2 5 3 2 3 2" xfId="52418"/>
    <cellStyle name="Total 2 2 5 3 2 4" xfId="35245"/>
    <cellStyle name="Total 2 2 5 3 3" xfId="9737"/>
    <cellStyle name="Total 2 2 5 3 3 2" xfId="17575"/>
    <cellStyle name="Total 2 2 5 3 3 2 2" xfId="29246"/>
    <cellStyle name="Total 2 2 5 3 3 2 2 2" xfId="58425"/>
    <cellStyle name="Total 2 2 5 3 3 2 3" xfId="46756"/>
    <cellStyle name="Total 2 2 5 3 3 3" xfId="24818"/>
    <cellStyle name="Total 2 2 5 3 3 3 2" xfId="53997"/>
    <cellStyle name="Total 2 2 5 3 3 4" xfId="38920"/>
    <cellStyle name="Total 2 2 5 3 4" xfId="12561"/>
    <cellStyle name="Total 2 2 5 3 4 2" xfId="26227"/>
    <cellStyle name="Total 2 2 5 3 4 2 2" xfId="55406"/>
    <cellStyle name="Total 2 2 5 3 4 3" xfId="41742"/>
    <cellStyle name="Total 2 2 5 3 5" xfId="21799"/>
    <cellStyle name="Total 2 2 5 3 5 2" xfId="50978"/>
    <cellStyle name="Total 2 2 5 3 6" xfId="32140"/>
    <cellStyle name="Total 2 2 5 4" xfId="4622"/>
    <cellStyle name="Total 2 2 5 4 2" xfId="13780"/>
    <cellStyle name="Total 2 2 5 4 2 2" xfId="26947"/>
    <cellStyle name="Total 2 2 5 4 2 2 2" xfId="56126"/>
    <cellStyle name="Total 2 2 5 4 2 3" xfId="42961"/>
    <cellStyle name="Total 2 2 5 4 3" xfId="22519"/>
    <cellStyle name="Total 2 2 5 4 3 2" xfId="51698"/>
    <cellStyle name="Total 2 2 5 4 4" xfId="33805"/>
    <cellStyle name="Total 2 2 5 5" xfId="9444"/>
    <cellStyle name="Total 2 2 5 5 2" xfId="17363"/>
    <cellStyle name="Total 2 2 5 5 2 2" xfId="29127"/>
    <cellStyle name="Total 2 2 5 5 2 2 2" xfId="58306"/>
    <cellStyle name="Total 2 2 5 5 2 3" xfId="46544"/>
    <cellStyle name="Total 2 2 5 5 3" xfId="24699"/>
    <cellStyle name="Total 2 2 5 5 3 2" xfId="53878"/>
    <cellStyle name="Total 2 2 5 5 4" xfId="38627"/>
    <cellStyle name="Total 2 2 5 6" xfId="11290"/>
    <cellStyle name="Total 2 2 5 6 2" xfId="25507"/>
    <cellStyle name="Total 2 2 5 6 2 2" xfId="54686"/>
    <cellStyle name="Total 2 2 5 6 3" xfId="40471"/>
    <cellStyle name="Total 2 2 5 7" xfId="21079"/>
    <cellStyle name="Total 2 2 5 7 2" xfId="50258"/>
    <cellStyle name="Total 2 2 5 8" xfId="30340"/>
    <cellStyle name="Total 2 2 6" xfId="1299"/>
    <cellStyle name="Total 2 2 6 2" xfId="2201"/>
    <cellStyle name="Total 2 2 6 2 2" xfId="4001"/>
    <cellStyle name="Total 2 2 6 2 2 2" xfId="6899"/>
    <cellStyle name="Total 2 2 6 2 2 2 2" xfId="15553"/>
    <cellStyle name="Total 2 2 6 2 2 2 2 2" xfId="28090"/>
    <cellStyle name="Total 2 2 6 2 2 2 2 2 2" xfId="57269"/>
    <cellStyle name="Total 2 2 6 2 2 2 2 3" xfId="44734"/>
    <cellStyle name="Total 2 2 6 2 2 2 3" xfId="23662"/>
    <cellStyle name="Total 2 2 6 2 2 2 3 2" xfId="52841"/>
    <cellStyle name="Total 2 2 6 2 2 2 4" xfId="36082"/>
    <cellStyle name="Total 2 2 6 2 2 3" xfId="7079"/>
    <cellStyle name="Total 2 2 6 2 2 3 2" xfId="15679"/>
    <cellStyle name="Total 2 2 6 2 2 3 2 2" xfId="28178"/>
    <cellStyle name="Total 2 2 6 2 2 3 2 2 2" xfId="57357"/>
    <cellStyle name="Total 2 2 6 2 2 3 2 3" xfId="44860"/>
    <cellStyle name="Total 2 2 6 2 2 3 3" xfId="23750"/>
    <cellStyle name="Total 2 2 6 2 2 3 3 2" xfId="52929"/>
    <cellStyle name="Total 2 2 6 2 2 3 4" xfId="36262"/>
    <cellStyle name="Total 2 2 6 2 2 4" xfId="13302"/>
    <cellStyle name="Total 2 2 6 2 2 4 2" xfId="26650"/>
    <cellStyle name="Total 2 2 6 2 2 4 2 2" xfId="55829"/>
    <cellStyle name="Total 2 2 6 2 2 4 3" xfId="42483"/>
    <cellStyle name="Total 2 2 6 2 2 5" xfId="22222"/>
    <cellStyle name="Total 2 2 6 2 2 5 2" xfId="51401"/>
    <cellStyle name="Total 2 2 6 2 2 6" xfId="33184"/>
    <cellStyle name="Total 2 2 6 2 3" xfId="5459"/>
    <cellStyle name="Total 2 2 6 2 3 2" xfId="14433"/>
    <cellStyle name="Total 2 2 6 2 3 2 2" xfId="27370"/>
    <cellStyle name="Total 2 2 6 2 3 2 2 2" xfId="56549"/>
    <cellStyle name="Total 2 2 6 2 3 2 3" xfId="43614"/>
    <cellStyle name="Total 2 2 6 2 3 3" xfId="22942"/>
    <cellStyle name="Total 2 2 6 2 3 3 2" xfId="52121"/>
    <cellStyle name="Total 2 2 6 2 3 4" xfId="34642"/>
    <cellStyle name="Total 2 2 6 2 4" xfId="9548"/>
    <cellStyle name="Total 2 2 6 2 4 2" xfId="17438"/>
    <cellStyle name="Total 2 2 6 2 4 2 2" xfId="29171"/>
    <cellStyle name="Total 2 2 6 2 4 2 2 2" xfId="58350"/>
    <cellStyle name="Total 2 2 6 2 4 2 3" xfId="46619"/>
    <cellStyle name="Total 2 2 6 2 4 3" xfId="24743"/>
    <cellStyle name="Total 2 2 6 2 4 3 2" xfId="53922"/>
    <cellStyle name="Total 2 2 6 2 4 4" xfId="38731"/>
    <cellStyle name="Total 2 2 6 2 5" xfId="12026"/>
    <cellStyle name="Total 2 2 6 2 5 2" xfId="25930"/>
    <cellStyle name="Total 2 2 6 2 5 2 2" xfId="55109"/>
    <cellStyle name="Total 2 2 6 2 5 3" xfId="41207"/>
    <cellStyle name="Total 2 2 6 2 6" xfId="21502"/>
    <cellStyle name="Total 2 2 6 2 6 2" xfId="50681"/>
    <cellStyle name="Total 2 2 6 2 7" xfId="31384"/>
    <cellStyle name="Total 2 2 6 3" xfId="3101"/>
    <cellStyle name="Total 2 2 6 3 2" xfId="6179"/>
    <cellStyle name="Total 2 2 6 3 2 2" xfId="14994"/>
    <cellStyle name="Total 2 2 6 3 2 2 2" xfId="27730"/>
    <cellStyle name="Total 2 2 6 3 2 2 2 2" xfId="56909"/>
    <cellStyle name="Total 2 2 6 3 2 2 3" xfId="44175"/>
    <cellStyle name="Total 2 2 6 3 2 3" xfId="23302"/>
    <cellStyle name="Total 2 2 6 3 2 3 2" xfId="52481"/>
    <cellStyle name="Total 2 2 6 3 2 4" xfId="35362"/>
    <cellStyle name="Total 2 2 6 3 3" xfId="8116"/>
    <cellStyle name="Total 2 2 6 3 3 2" xfId="16406"/>
    <cellStyle name="Total 2 2 6 3 3 2 2" xfId="28603"/>
    <cellStyle name="Total 2 2 6 3 3 2 2 2" xfId="57782"/>
    <cellStyle name="Total 2 2 6 3 3 2 3" xfId="45587"/>
    <cellStyle name="Total 2 2 6 3 3 3" xfId="24175"/>
    <cellStyle name="Total 2 2 6 3 3 3 2" xfId="53354"/>
    <cellStyle name="Total 2 2 6 3 3 4" xfId="37299"/>
    <cellStyle name="Total 2 2 6 3 4" xfId="12664"/>
    <cellStyle name="Total 2 2 6 3 4 2" xfId="26290"/>
    <cellStyle name="Total 2 2 6 3 4 2 2" xfId="55469"/>
    <cellStyle name="Total 2 2 6 3 4 3" xfId="41845"/>
    <cellStyle name="Total 2 2 6 3 5" xfId="21862"/>
    <cellStyle name="Total 2 2 6 3 5 2" xfId="51041"/>
    <cellStyle name="Total 2 2 6 3 6" xfId="32284"/>
    <cellStyle name="Total 2 2 6 4" xfId="4739"/>
    <cellStyle name="Total 2 2 6 4 2" xfId="13871"/>
    <cellStyle name="Total 2 2 6 4 2 2" xfId="27010"/>
    <cellStyle name="Total 2 2 6 4 2 2 2" xfId="56189"/>
    <cellStyle name="Total 2 2 6 4 2 3" xfId="43052"/>
    <cellStyle name="Total 2 2 6 4 3" xfId="22582"/>
    <cellStyle name="Total 2 2 6 4 3 2" xfId="51761"/>
    <cellStyle name="Total 2 2 6 4 4" xfId="33922"/>
    <cellStyle name="Total 2 2 6 5" xfId="8573"/>
    <cellStyle name="Total 2 2 6 5 2" xfId="16729"/>
    <cellStyle name="Total 2 2 6 5 2 2" xfId="28776"/>
    <cellStyle name="Total 2 2 6 5 2 2 2" xfId="57955"/>
    <cellStyle name="Total 2 2 6 5 2 3" xfId="45910"/>
    <cellStyle name="Total 2 2 6 5 3" xfId="24348"/>
    <cellStyle name="Total 2 2 6 5 3 2" xfId="53527"/>
    <cellStyle name="Total 2 2 6 5 4" xfId="37756"/>
    <cellStyle name="Total 2 2 6 6" xfId="11396"/>
    <cellStyle name="Total 2 2 6 6 2" xfId="25570"/>
    <cellStyle name="Total 2 2 6 6 2 2" xfId="54749"/>
    <cellStyle name="Total 2 2 6 6 3" xfId="40577"/>
    <cellStyle name="Total 2 2 6 7" xfId="21142"/>
    <cellStyle name="Total 2 2 6 7 2" xfId="50321"/>
    <cellStyle name="Total 2 2 6 8" xfId="30484"/>
    <cellStyle name="Total 2 2 7" xfId="1481"/>
    <cellStyle name="Total 2 2 7 2" xfId="3281"/>
    <cellStyle name="Total 2 2 7 2 2" xfId="6323"/>
    <cellStyle name="Total 2 2 7 2 2 2" xfId="15097"/>
    <cellStyle name="Total 2 2 7 2 2 2 2" xfId="27802"/>
    <cellStyle name="Total 2 2 7 2 2 2 2 2" xfId="56981"/>
    <cellStyle name="Total 2 2 7 2 2 2 3" xfId="44278"/>
    <cellStyle name="Total 2 2 7 2 2 3" xfId="23374"/>
    <cellStyle name="Total 2 2 7 2 2 3 2" xfId="52553"/>
    <cellStyle name="Total 2 2 7 2 2 4" xfId="35506"/>
    <cellStyle name="Total 2 2 7 2 3" xfId="9360"/>
    <cellStyle name="Total 2 2 7 2 3 2" xfId="17308"/>
    <cellStyle name="Total 2 2 7 2 3 2 2" xfId="29093"/>
    <cellStyle name="Total 2 2 7 2 3 2 2 2" xfId="58272"/>
    <cellStyle name="Total 2 2 7 2 3 2 3" xfId="46489"/>
    <cellStyle name="Total 2 2 7 2 3 3" xfId="24665"/>
    <cellStyle name="Total 2 2 7 2 3 3 2" xfId="53844"/>
    <cellStyle name="Total 2 2 7 2 3 4" xfId="38543"/>
    <cellStyle name="Total 2 2 7 2 4" xfId="12788"/>
    <cellStyle name="Total 2 2 7 2 4 2" xfId="26362"/>
    <cellStyle name="Total 2 2 7 2 4 2 2" xfId="55541"/>
    <cellStyle name="Total 2 2 7 2 4 3" xfId="41969"/>
    <cellStyle name="Total 2 2 7 2 5" xfId="21934"/>
    <cellStyle name="Total 2 2 7 2 5 2" xfId="51113"/>
    <cellStyle name="Total 2 2 7 2 6" xfId="32464"/>
    <cellStyle name="Total 2 2 7 3" xfId="4883"/>
    <cellStyle name="Total 2 2 7 3 2" xfId="13973"/>
    <cellStyle name="Total 2 2 7 3 2 2" xfId="27082"/>
    <cellStyle name="Total 2 2 7 3 2 2 2" xfId="56261"/>
    <cellStyle name="Total 2 2 7 3 2 3" xfId="43154"/>
    <cellStyle name="Total 2 2 7 3 3" xfId="22654"/>
    <cellStyle name="Total 2 2 7 3 3 2" xfId="51833"/>
    <cellStyle name="Total 2 2 7 3 4" xfId="34066"/>
    <cellStyle name="Total 2 2 7 4" xfId="9139"/>
    <cellStyle name="Total 2 2 7 4 2" xfId="17146"/>
    <cellStyle name="Total 2 2 7 4 2 2" xfId="29006"/>
    <cellStyle name="Total 2 2 7 4 2 2 2" xfId="58185"/>
    <cellStyle name="Total 2 2 7 4 2 3" xfId="46327"/>
    <cellStyle name="Total 2 2 7 4 3" xfId="24578"/>
    <cellStyle name="Total 2 2 7 4 3 2" xfId="53757"/>
    <cellStyle name="Total 2 2 7 4 4" xfId="38322"/>
    <cellStyle name="Total 2 2 7 5" xfId="11518"/>
    <cellStyle name="Total 2 2 7 5 2" xfId="25642"/>
    <cellStyle name="Total 2 2 7 5 2 2" xfId="54821"/>
    <cellStyle name="Total 2 2 7 5 3" xfId="40699"/>
    <cellStyle name="Total 2 2 7 6" xfId="21214"/>
    <cellStyle name="Total 2 2 7 6 2" xfId="50393"/>
    <cellStyle name="Total 2 2 7 7" xfId="30664"/>
    <cellStyle name="Total 2 2 8" xfId="2381"/>
    <cellStyle name="Total 2 2 8 2" xfId="5603"/>
    <cellStyle name="Total 2 2 8 2 2" xfId="14538"/>
    <cellStyle name="Total 2 2 8 2 2 2" xfId="27442"/>
    <cellStyle name="Total 2 2 8 2 2 2 2" xfId="56621"/>
    <cellStyle name="Total 2 2 8 2 2 3" xfId="43719"/>
    <cellStyle name="Total 2 2 8 2 3" xfId="23014"/>
    <cellStyle name="Total 2 2 8 2 3 2" xfId="52193"/>
    <cellStyle name="Total 2 2 8 2 4" xfId="34786"/>
    <cellStyle name="Total 2 2 8 3" xfId="7266"/>
    <cellStyle name="Total 2 2 8 3 2" xfId="15815"/>
    <cellStyle name="Total 2 2 8 3 2 2" xfId="28262"/>
    <cellStyle name="Total 2 2 8 3 2 2 2" xfId="57441"/>
    <cellStyle name="Total 2 2 8 3 2 3" xfId="44996"/>
    <cellStyle name="Total 2 2 8 3 3" xfId="23834"/>
    <cellStyle name="Total 2 2 8 3 3 2" xfId="53013"/>
    <cellStyle name="Total 2 2 8 3 4" xfId="36449"/>
    <cellStyle name="Total 2 2 8 4" xfId="12147"/>
    <cellStyle name="Total 2 2 8 4 2" xfId="26002"/>
    <cellStyle name="Total 2 2 8 4 2 2" xfId="55181"/>
    <cellStyle name="Total 2 2 8 4 3" xfId="41328"/>
    <cellStyle name="Total 2 2 8 5" xfId="21574"/>
    <cellStyle name="Total 2 2 8 5 2" xfId="50753"/>
    <cellStyle name="Total 2 2 8 6" xfId="31564"/>
    <cellStyle name="Total 2 2 9" xfId="4163"/>
    <cellStyle name="Total 2 2 9 2" xfId="13416"/>
    <cellStyle name="Total 2 2 9 2 2" xfId="26722"/>
    <cellStyle name="Total 2 2 9 2 2 2" xfId="55901"/>
    <cellStyle name="Total 2 2 9 2 3" xfId="42597"/>
    <cellStyle name="Total 2 2 9 3" xfId="22294"/>
    <cellStyle name="Total 2 2 9 3 2" xfId="51473"/>
    <cellStyle name="Total 2 2 9 4" xfId="33346"/>
    <cellStyle name="Total 2 3" xfId="503"/>
    <cellStyle name="Total 2 3 10" xfId="10801"/>
    <cellStyle name="Total 2 3 10 2" xfId="25200"/>
    <cellStyle name="Total 2 3 10 2 2" xfId="54379"/>
    <cellStyle name="Total 2 3 10 3" xfId="39982"/>
    <cellStyle name="Total 2 3 11" xfId="20772"/>
    <cellStyle name="Total 2 3 11 2" xfId="49951"/>
    <cellStyle name="Total 2 3 12" xfId="29709"/>
    <cellStyle name="Total 2 3 2" xfId="856"/>
    <cellStyle name="Total 2 3 2 2" xfId="1794"/>
    <cellStyle name="Total 2 3 2 2 2" xfId="3594"/>
    <cellStyle name="Total 2 3 2 2 2 2" xfId="6573"/>
    <cellStyle name="Total 2 3 2 2 2 2 2" xfId="15290"/>
    <cellStyle name="Total 2 3 2 2 2 2 2 2" xfId="27908"/>
    <cellStyle name="Total 2 3 2 2 2 2 2 2 2" xfId="57087"/>
    <cellStyle name="Total 2 3 2 2 2 2 2 3" xfId="44471"/>
    <cellStyle name="Total 2 3 2 2 2 2 3" xfId="23480"/>
    <cellStyle name="Total 2 3 2 2 2 2 3 2" xfId="52659"/>
    <cellStyle name="Total 2 3 2 2 2 2 4" xfId="35756"/>
    <cellStyle name="Total 2 3 2 2 2 3" xfId="10379"/>
    <cellStyle name="Total 2 3 2 2 2 3 2" xfId="18021"/>
    <cellStyle name="Total 2 3 2 2 2 3 2 2" xfId="29497"/>
    <cellStyle name="Total 2 3 2 2 2 3 2 2 2" xfId="58676"/>
    <cellStyle name="Total 2 3 2 2 2 3 2 3" xfId="47202"/>
    <cellStyle name="Total 2 3 2 2 2 3 3" xfId="25069"/>
    <cellStyle name="Total 2 3 2 2 2 3 3 2" xfId="54248"/>
    <cellStyle name="Total 2 3 2 2 2 3 4" xfId="39562"/>
    <cellStyle name="Total 2 3 2 2 2 4" xfId="13006"/>
    <cellStyle name="Total 2 3 2 2 2 4 2" xfId="26468"/>
    <cellStyle name="Total 2 3 2 2 2 4 2 2" xfId="55647"/>
    <cellStyle name="Total 2 3 2 2 2 4 3" xfId="42187"/>
    <cellStyle name="Total 2 3 2 2 2 5" xfId="22040"/>
    <cellStyle name="Total 2 3 2 2 2 5 2" xfId="51219"/>
    <cellStyle name="Total 2 3 2 2 2 6" xfId="32777"/>
    <cellStyle name="Total 2 3 2 2 3" xfId="5133"/>
    <cellStyle name="Total 2 3 2 2 3 2" xfId="14167"/>
    <cellStyle name="Total 2 3 2 2 3 2 2" xfId="27188"/>
    <cellStyle name="Total 2 3 2 2 3 2 2 2" xfId="56367"/>
    <cellStyle name="Total 2 3 2 2 3 2 3" xfId="43348"/>
    <cellStyle name="Total 2 3 2 2 3 3" xfId="22760"/>
    <cellStyle name="Total 2 3 2 2 3 3 2" xfId="51939"/>
    <cellStyle name="Total 2 3 2 2 3 4" xfId="34316"/>
    <cellStyle name="Total 2 3 2 2 4" xfId="9059"/>
    <cellStyle name="Total 2 3 2 2 4 2" xfId="17096"/>
    <cellStyle name="Total 2 3 2 2 4 2 2" xfId="28979"/>
    <cellStyle name="Total 2 3 2 2 4 2 2 2" xfId="58158"/>
    <cellStyle name="Total 2 3 2 2 4 2 3" xfId="46277"/>
    <cellStyle name="Total 2 3 2 2 4 3" xfId="24551"/>
    <cellStyle name="Total 2 3 2 2 4 3 2" xfId="53730"/>
    <cellStyle name="Total 2 3 2 2 4 4" xfId="38242"/>
    <cellStyle name="Total 2 3 2 2 5" xfId="11732"/>
    <cellStyle name="Total 2 3 2 2 5 2" xfId="25748"/>
    <cellStyle name="Total 2 3 2 2 5 2 2" xfId="54927"/>
    <cellStyle name="Total 2 3 2 2 5 3" xfId="40913"/>
    <cellStyle name="Total 2 3 2 2 6" xfId="21320"/>
    <cellStyle name="Total 2 3 2 2 6 2" xfId="50499"/>
    <cellStyle name="Total 2 3 2 2 7" xfId="30977"/>
    <cellStyle name="Total 2 3 2 3" xfId="2694"/>
    <cellStyle name="Total 2 3 2 3 2" xfId="5853"/>
    <cellStyle name="Total 2 3 2 3 2 2" xfId="14734"/>
    <cellStyle name="Total 2 3 2 3 2 2 2" xfId="27548"/>
    <cellStyle name="Total 2 3 2 3 2 2 2 2" xfId="56727"/>
    <cellStyle name="Total 2 3 2 3 2 2 3" xfId="43915"/>
    <cellStyle name="Total 2 3 2 3 2 3" xfId="23120"/>
    <cellStyle name="Total 2 3 2 3 2 3 2" xfId="52299"/>
    <cellStyle name="Total 2 3 2 3 2 4" xfId="35036"/>
    <cellStyle name="Total 2 3 2 3 3" xfId="7422"/>
    <cellStyle name="Total 2 3 2 3 3 2" xfId="15926"/>
    <cellStyle name="Total 2 3 2 3 3 2 2" xfId="28335"/>
    <cellStyle name="Total 2 3 2 3 3 2 2 2" xfId="57514"/>
    <cellStyle name="Total 2 3 2 3 3 2 3" xfId="45107"/>
    <cellStyle name="Total 2 3 2 3 3 3" xfId="23907"/>
    <cellStyle name="Total 2 3 2 3 3 3 2" xfId="53086"/>
    <cellStyle name="Total 2 3 2 3 3 4" xfId="36605"/>
    <cellStyle name="Total 2 3 2 3 4" xfId="12369"/>
    <cellStyle name="Total 2 3 2 3 4 2" xfId="26108"/>
    <cellStyle name="Total 2 3 2 3 4 2 2" xfId="55287"/>
    <cellStyle name="Total 2 3 2 3 4 3" xfId="41550"/>
    <cellStyle name="Total 2 3 2 3 5" xfId="21680"/>
    <cellStyle name="Total 2 3 2 3 5 2" xfId="50859"/>
    <cellStyle name="Total 2 3 2 3 6" xfId="31877"/>
    <cellStyle name="Total 2 3 2 4" xfId="4413"/>
    <cellStyle name="Total 2 3 2 4 2" xfId="13611"/>
    <cellStyle name="Total 2 3 2 4 2 2" xfId="26828"/>
    <cellStyle name="Total 2 3 2 4 2 2 2" xfId="56007"/>
    <cellStyle name="Total 2 3 2 4 2 3" xfId="42792"/>
    <cellStyle name="Total 2 3 2 4 3" xfId="22400"/>
    <cellStyle name="Total 2 3 2 4 3 2" xfId="51579"/>
    <cellStyle name="Total 2 3 2 4 4" xfId="33596"/>
    <cellStyle name="Total 2 3 2 5" xfId="9387"/>
    <cellStyle name="Total 2 3 2 5 2" xfId="17325"/>
    <cellStyle name="Total 2 3 2 5 2 2" xfId="29104"/>
    <cellStyle name="Total 2 3 2 5 2 2 2" xfId="58283"/>
    <cellStyle name="Total 2 3 2 5 2 3" xfId="46506"/>
    <cellStyle name="Total 2 3 2 5 3" xfId="24676"/>
    <cellStyle name="Total 2 3 2 5 3 2" xfId="53855"/>
    <cellStyle name="Total 2 3 2 5 4" xfId="38570"/>
    <cellStyle name="Total 2 3 2 6" xfId="11071"/>
    <cellStyle name="Total 2 3 2 6 2" xfId="25364"/>
    <cellStyle name="Total 2 3 2 6 2 2" xfId="54543"/>
    <cellStyle name="Total 2 3 2 6 3" xfId="40252"/>
    <cellStyle name="Total 2 3 2 7" xfId="20936"/>
    <cellStyle name="Total 2 3 2 7 2" xfId="50115"/>
    <cellStyle name="Total 2 3 2 8" xfId="30053"/>
    <cellStyle name="Total 2 3 3" xfId="1048"/>
    <cellStyle name="Total 2 3 3 2" xfId="1958"/>
    <cellStyle name="Total 2 3 3 2 2" xfId="3758"/>
    <cellStyle name="Total 2 3 3 2 2 2" xfId="6701"/>
    <cellStyle name="Total 2 3 3 2 2 2 2" xfId="15395"/>
    <cellStyle name="Total 2 3 3 2 2 2 2 2" xfId="27982"/>
    <cellStyle name="Total 2 3 3 2 2 2 2 2 2" xfId="57161"/>
    <cellStyle name="Total 2 3 3 2 2 2 2 3" xfId="44576"/>
    <cellStyle name="Total 2 3 3 2 2 2 3" xfId="23554"/>
    <cellStyle name="Total 2 3 3 2 2 2 3 2" xfId="52733"/>
    <cellStyle name="Total 2 3 3 2 2 2 4" xfId="35884"/>
    <cellStyle name="Total 2 3 3 2 2 3" xfId="10260"/>
    <cellStyle name="Total 2 3 3 2 2 3 2" xfId="17944"/>
    <cellStyle name="Total 2 3 3 2 2 3 2 2" xfId="29455"/>
    <cellStyle name="Total 2 3 3 2 2 3 2 2 2" xfId="58634"/>
    <cellStyle name="Total 2 3 3 2 2 3 2 3" xfId="47125"/>
    <cellStyle name="Total 2 3 3 2 2 3 3" xfId="25027"/>
    <cellStyle name="Total 2 3 3 2 2 3 3 2" xfId="54206"/>
    <cellStyle name="Total 2 3 3 2 2 3 4" xfId="39443"/>
    <cellStyle name="Total 2 3 3 2 2 4" xfId="13128"/>
    <cellStyle name="Total 2 3 3 2 2 4 2" xfId="26542"/>
    <cellStyle name="Total 2 3 3 2 2 4 2 2" xfId="55721"/>
    <cellStyle name="Total 2 3 3 2 2 4 3" xfId="42309"/>
    <cellStyle name="Total 2 3 3 2 2 5" xfId="22114"/>
    <cellStyle name="Total 2 3 3 2 2 5 2" xfId="51293"/>
    <cellStyle name="Total 2 3 3 2 2 6" xfId="32941"/>
    <cellStyle name="Total 2 3 3 2 3" xfId="5261"/>
    <cellStyle name="Total 2 3 3 2 3 2" xfId="14274"/>
    <cellStyle name="Total 2 3 3 2 3 2 2" xfId="27262"/>
    <cellStyle name="Total 2 3 3 2 3 2 2 2" xfId="56441"/>
    <cellStyle name="Total 2 3 3 2 3 2 3" xfId="43455"/>
    <cellStyle name="Total 2 3 3 2 3 3" xfId="22834"/>
    <cellStyle name="Total 2 3 3 2 3 3 2" xfId="52013"/>
    <cellStyle name="Total 2 3 3 2 3 4" xfId="34444"/>
    <cellStyle name="Total 2 3 3 2 4" xfId="10438"/>
    <cellStyle name="Total 2 3 3 2 4 2" xfId="18064"/>
    <cellStyle name="Total 2 3 3 2 4 2 2" xfId="29519"/>
    <cellStyle name="Total 2 3 3 2 4 2 2 2" xfId="58698"/>
    <cellStyle name="Total 2 3 3 2 4 2 3" xfId="47245"/>
    <cellStyle name="Total 2 3 3 2 4 3" xfId="25091"/>
    <cellStyle name="Total 2 3 3 2 4 3 2" xfId="54270"/>
    <cellStyle name="Total 2 3 3 2 4 4" xfId="39621"/>
    <cellStyle name="Total 2 3 3 2 5" xfId="11852"/>
    <cellStyle name="Total 2 3 3 2 5 2" xfId="25822"/>
    <cellStyle name="Total 2 3 3 2 5 2 2" xfId="55001"/>
    <cellStyle name="Total 2 3 3 2 5 3" xfId="41033"/>
    <cellStyle name="Total 2 3 3 2 6" xfId="21394"/>
    <cellStyle name="Total 2 3 3 2 6 2" xfId="50573"/>
    <cellStyle name="Total 2 3 3 2 7" xfId="31141"/>
    <cellStyle name="Total 2 3 3 3" xfId="2858"/>
    <cellStyle name="Total 2 3 3 3 2" xfId="5981"/>
    <cellStyle name="Total 2 3 3 3 2 2" xfId="14838"/>
    <cellStyle name="Total 2 3 3 3 2 2 2" xfId="27622"/>
    <cellStyle name="Total 2 3 3 3 2 2 2 2" xfId="56801"/>
    <cellStyle name="Total 2 3 3 3 2 2 3" xfId="44019"/>
    <cellStyle name="Total 2 3 3 3 2 3" xfId="23194"/>
    <cellStyle name="Total 2 3 3 3 2 3 2" xfId="52373"/>
    <cellStyle name="Total 2 3 3 3 2 4" xfId="35164"/>
    <cellStyle name="Total 2 3 3 3 3" xfId="9661"/>
    <cellStyle name="Total 2 3 3 3 3 2" xfId="17516"/>
    <cellStyle name="Total 2 3 3 3 3 2 2" xfId="29215"/>
    <cellStyle name="Total 2 3 3 3 3 2 2 2" xfId="58394"/>
    <cellStyle name="Total 2 3 3 3 3 2 3" xfId="46697"/>
    <cellStyle name="Total 2 3 3 3 3 3" xfId="24787"/>
    <cellStyle name="Total 2 3 3 3 3 3 2" xfId="53966"/>
    <cellStyle name="Total 2 3 3 3 3 4" xfId="38844"/>
    <cellStyle name="Total 2 3 3 3 4" xfId="12491"/>
    <cellStyle name="Total 2 3 3 3 4 2" xfId="26182"/>
    <cellStyle name="Total 2 3 3 3 4 2 2" xfId="55361"/>
    <cellStyle name="Total 2 3 3 3 4 3" xfId="41672"/>
    <cellStyle name="Total 2 3 3 3 5" xfId="21754"/>
    <cellStyle name="Total 2 3 3 3 5 2" xfId="50933"/>
    <cellStyle name="Total 2 3 3 3 6" xfId="32041"/>
    <cellStyle name="Total 2 3 3 4" xfId="4541"/>
    <cellStyle name="Total 2 3 3 4 2" xfId="13717"/>
    <cellStyle name="Total 2 3 3 4 2 2" xfId="26902"/>
    <cellStyle name="Total 2 3 3 4 2 2 2" xfId="56081"/>
    <cellStyle name="Total 2 3 3 4 2 3" xfId="42898"/>
    <cellStyle name="Total 2 3 3 4 3" xfId="22474"/>
    <cellStyle name="Total 2 3 3 4 3 2" xfId="51653"/>
    <cellStyle name="Total 2 3 3 4 4" xfId="33724"/>
    <cellStyle name="Total 2 3 3 5" xfId="8178"/>
    <cellStyle name="Total 2 3 3 5 2" xfId="16448"/>
    <cellStyle name="Total 2 3 3 5 2 2" xfId="28624"/>
    <cellStyle name="Total 2 3 3 5 2 2 2" xfId="57803"/>
    <cellStyle name="Total 2 3 3 5 2 3" xfId="45629"/>
    <cellStyle name="Total 2 3 3 5 3" xfId="24196"/>
    <cellStyle name="Total 2 3 3 5 3 2" xfId="53375"/>
    <cellStyle name="Total 2 3 3 5 4" xfId="37361"/>
    <cellStyle name="Total 2 3 3 6" xfId="11215"/>
    <cellStyle name="Total 2 3 3 6 2" xfId="25459"/>
    <cellStyle name="Total 2 3 3 6 2 2" xfId="54638"/>
    <cellStyle name="Total 2 3 3 6 3" xfId="40396"/>
    <cellStyle name="Total 2 3 3 7" xfId="21031"/>
    <cellStyle name="Total 2 3 3 7 2" xfId="50210"/>
    <cellStyle name="Total 2 3 3 8" xfId="30238"/>
    <cellStyle name="Total 2 3 4" xfId="1198"/>
    <cellStyle name="Total 2 3 4 2" xfId="2102"/>
    <cellStyle name="Total 2 3 4 2 2" xfId="3902"/>
    <cellStyle name="Total 2 3 4 2 2 2" xfId="6818"/>
    <cellStyle name="Total 2 3 4 2 2 2 2" xfId="15488"/>
    <cellStyle name="Total 2 3 4 2 2 2 2 2" xfId="28045"/>
    <cellStyle name="Total 2 3 4 2 2 2 2 2 2" xfId="57224"/>
    <cellStyle name="Total 2 3 4 2 2 2 2 3" xfId="44669"/>
    <cellStyle name="Total 2 3 4 2 2 2 3" xfId="23617"/>
    <cellStyle name="Total 2 3 4 2 2 2 3 2" xfId="52796"/>
    <cellStyle name="Total 2 3 4 2 2 2 4" xfId="36001"/>
    <cellStyle name="Total 2 3 4 2 2 3" xfId="9276"/>
    <cellStyle name="Total 2 3 4 2 2 3 2" xfId="17249"/>
    <cellStyle name="Total 2 3 4 2 2 3 2 2" xfId="29061"/>
    <cellStyle name="Total 2 3 4 2 2 3 2 2 2" xfId="58240"/>
    <cellStyle name="Total 2 3 4 2 2 3 2 3" xfId="46430"/>
    <cellStyle name="Total 2 3 4 2 2 3 3" xfId="24633"/>
    <cellStyle name="Total 2 3 4 2 2 3 3 2" xfId="53812"/>
    <cellStyle name="Total 2 3 4 2 2 3 4" xfId="38459"/>
    <cellStyle name="Total 2 3 4 2 2 4" xfId="13230"/>
    <cellStyle name="Total 2 3 4 2 2 4 2" xfId="26605"/>
    <cellStyle name="Total 2 3 4 2 2 4 2 2" xfId="55784"/>
    <cellStyle name="Total 2 3 4 2 2 4 3" xfId="42411"/>
    <cellStyle name="Total 2 3 4 2 2 5" xfId="22177"/>
    <cellStyle name="Total 2 3 4 2 2 5 2" xfId="51356"/>
    <cellStyle name="Total 2 3 4 2 2 6" xfId="33085"/>
    <cellStyle name="Total 2 3 4 2 3" xfId="5378"/>
    <cellStyle name="Total 2 3 4 2 3 2" xfId="14366"/>
    <cellStyle name="Total 2 3 4 2 3 2 2" xfId="27325"/>
    <cellStyle name="Total 2 3 4 2 3 2 2 2" xfId="56504"/>
    <cellStyle name="Total 2 3 4 2 3 2 3" xfId="43547"/>
    <cellStyle name="Total 2 3 4 2 3 3" xfId="22897"/>
    <cellStyle name="Total 2 3 4 2 3 3 2" xfId="52076"/>
    <cellStyle name="Total 2 3 4 2 3 4" xfId="34561"/>
    <cellStyle name="Total 2 3 4 2 4" xfId="10355"/>
    <cellStyle name="Total 2 3 4 2 4 2" xfId="18006"/>
    <cellStyle name="Total 2 3 4 2 4 2 2" xfId="29488"/>
    <cellStyle name="Total 2 3 4 2 4 2 2 2" xfId="58667"/>
    <cellStyle name="Total 2 3 4 2 4 2 3" xfId="47187"/>
    <cellStyle name="Total 2 3 4 2 4 3" xfId="25060"/>
    <cellStyle name="Total 2 3 4 2 4 3 2" xfId="54239"/>
    <cellStyle name="Total 2 3 4 2 4 4" xfId="39538"/>
    <cellStyle name="Total 2 3 4 2 5" xfId="11956"/>
    <cellStyle name="Total 2 3 4 2 5 2" xfId="25885"/>
    <cellStyle name="Total 2 3 4 2 5 2 2" xfId="55064"/>
    <cellStyle name="Total 2 3 4 2 5 3" xfId="41137"/>
    <cellStyle name="Total 2 3 4 2 6" xfId="21457"/>
    <cellStyle name="Total 2 3 4 2 6 2" xfId="50636"/>
    <cellStyle name="Total 2 3 4 2 7" xfId="31285"/>
    <cellStyle name="Total 2 3 4 3" xfId="3002"/>
    <cellStyle name="Total 2 3 4 3 2" xfId="6098"/>
    <cellStyle name="Total 2 3 4 3 2 2" xfId="14927"/>
    <cellStyle name="Total 2 3 4 3 2 2 2" xfId="27685"/>
    <cellStyle name="Total 2 3 4 3 2 2 2 2" xfId="56864"/>
    <cellStyle name="Total 2 3 4 3 2 2 3" xfId="44108"/>
    <cellStyle name="Total 2 3 4 3 2 3" xfId="23257"/>
    <cellStyle name="Total 2 3 4 3 2 3 2" xfId="52436"/>
    <cellStyle name="Total 2 3 4 3 2 4" xfId="35281"/>
    <cellStyle name="Total 2 3 4 3 3" xfId="9578"/>
    <cellStyle name="Total 2 3 4 3 3 2" xfId="17458"/>
    <cellStyle name="Total 2 3 4 3 3 2 2" xfId="29182"/>
    <cellStyle name="Total 2 3 4 3 3 2 2 2" xfId="58361"/>
    <cellStyle name="Total 2 3 4 3 3 2 3" xfId="46639"/>
    <cellStyle name="Total 2 3 4 3 3 3" xfId="24754"/>
    <cellStyle name="Total 2 3 4 3 3 3 2" xfId="53933"/>
    <cellStyle name="Total 2 3 4 3 3 4" xfId="38761"/>
    <cellStyle name="Total 2 3 4 3 4" xfId="12591"/>
    <cellStyle name="Total 2 3 4 3 4 2" xfId="26245"/>
    <cellStyle name="Total 2 3 4 3 4 2 2" xfId="55424"/>
    <cellStyle name="Total 2 3 4 3 4 3" xfId="41772"/>
    <cellStyle name="Total 2 3 4 3 5" xfId="21817"/>
    <cellStyle name="Total 2 3 4 3 5 2" xfId="50996"/>
    <cellStyle name="Total 2 3 4 3 6" xfId="32185"/>
    <cellStyle name="Total 2 3 4 4" xfId="4658"/>
    <cellStyle name="Total 2 3 4 4 2" xfId="13807"/>
    <cellStyle name="Total 2 3 4 4 2 2" xfId="26965"/>
    <cellStyle name="Total 2 3 4 4 2 2 2" xfId="56144"/>
    <cellStyle name="Total 2 3 4 4 2 3" xfId="42988"/>
    <cellStyle name="Total 2 3 4 4 3" xfId="22537"/>
    <cellStyle name="Total 2 3 4 4 3 2" xfId="51716"/>
    <cellStyle name="Total 2 3 4 4 4" xfId="33841"/>
    <cellStyle name="Total 2 3 4 5" xfId="9249"/>
    <cellStyle name="Total 2 3 4 5 2" xfId="17226"/>
    <cellStyle name="Total 2 3 4 5 2 2" xfId="29047"/>
    <cellStyle name="Total 2 3 4 5 2 2 2" xfId="58226"/>
    <cellStyle name="Total 2 3 4 5 2 3" xfId="46407"/>
    <cellStyle name="Total 2 3 4 5 3" xfId="24619"/>
    <cellStyle name="Total 2 3 4 5 3 2" xfId="53798"/>
    <cellStyle name="Total 2 3 4 5 4" xfId="38432"/>
    <cellStyle name="Total 2 3 4 6" xfId="11325"/>
    <cellStyle name="Total 2 3 4 6 2" xfId="25525"/>
    <cellStyle name="Total 2 3 4 6 2 2" xfId="54704"/>
    <cellStyle name="Total 2 3 4 6 3" xfId="40506"/>
    <cellStyle name="Total 2 3 4 7" xfId="21097"/>
    <cellStyle name="Total 2 3 4 7 2" xfId="50276"/>
    <cellStyle name="Total 2 3 4 8" xfId="30385"/>
    <cellStyle name="Total 2 3 5" xfId="1344"/>
    <cellStyle name="Total 2 3 5 2" xfId="2246"/>
    <cellStyle name="Total 2 3 5 2 2" xfId="4046"/>
    <cellStyle name="Total 2 3 5 2 2 2" xfId="6935"/>
    <cellStyle name="Total 2 3 5 2 2 2 2" xfId="15578"/>
    <cellStyle name="Total 2 3 5 2 2 2 2 2" xfId="28108"/>
    <cellStyle name="Total 2 3 5 2 2 2 2 2 2" xfId="57287"/>
    <cellStyle name="Total 2 3 5 2 2 2 2 3" xfId="44759"/>
    <cellStyle name="Total 2 3 5 2 2 2 3" xfId="23680"/>
    <cellStyle name="Total 2 3 5 2 2 2 3 2" xfId="52859"/>
    <cellStyle name="Total 2 3 5 2 2 2 4" xfId="36118"/>
    <cellStyle name="Total 2 3 5 2 2 3" xfId="7034"/>
    <cellStyle name="Total 2 3 5 2 2 3 2" xfId="15651"/>
    <cellStyle name="Total 2 3 5 2 2 3 2 2" xfId="28160"/>
    <cellStyle name="Total 2 3 5 2 2 3 2 2 2" xfId="57339"/>
    <cellStyle name="Total 2 3 5 2 2 3 2 3" xfId="44832"/>
    <cellStyle name="Total 2 3 5 2 2 3 3" xfId="23732"/>
    <cellStyle name="Total 2 3 5 2 2 3 3 2" xfId="52911"/>
    <cellStyle name="Total 2 3 5 2 2 3 4" xfId="36217"/>
    <cellStyle name="Total 2 3 5 2 2 4" xfId="13332"/>
    <cellStyle name="Total 2 3 5 2 2 4 2" xfId="26668"/>
    <cellStyle name="Total 2 3 5 2 2 4 2 2" xfId="55847"/>
    <cellStyle name="Total 2 3 5 2 2 4 3" xfId="42513"/>
    <cellStyle name="Total 2 3 5 2 2 5" xfId="22240"/>
    <cellStyle name="Total 2 3 5 2 2 5 2" xfId="51419"/>
    <cellStyle name="Total 2 3 5 2 2 6" xfId="33229"/>
    <cellStyle name="Total 2 3 5 2 3" xfId="5495"/>
    <cellStyle name="Total 2 3 5 2 3 2" xfId="14458"/>
    <cellStyle name="Total 2 3 5 2 3 2 2" xfId="27388"/>
    <cellStyle name="Total 2 3 5 2 3 2 2 2" xfId="56567"/>
    <cellStyle name="Total 2 3 5 2 3 2 3" xfId="43639"/>
    <cellStyle name="Total 2 3 5 2 3 3" xfId="22960"/>
    <cellStyle name="Total 2 3 5 2 3 3 2" xfId="52139"/>
    <cellStyle name="Total 2 3 5 2 3 4" xfId="34678"/>
    <cellStyle name="Total 2 3 5 2 4" xfId="7626"/>
    <cellStyle name="Total 2 3 5 2 4 2" xfId="16065"/>
    <cellStyle name="Total 2 3 5 2 4 2 2" xfId="28410"/>
    <cellStyle name="Total 2 3 5 2 4 2 2 2" xfId="57589"/>
    <cellStyle name="Total 2 3 5 2 4 2 3" xfId="45246"/>
    <cellStyle name="Total 2 3 5 2 4 3" xfId="23982"/>
    <cellStyle name="Total 2 3 5 2 4 3 2" xfId="53161"/>
    <cellStyle name="Total 2 3 5 2 4 4" xfId="36809"/>
    <cellStyle name="Total 2 3 5 2 5" xfId="12055"/>
    <cellStyle name="Total 2 3 5 2 5 2" xfId="25948"/>
    <cellStyle name="Total 2 3 5 2 5 2 2" xfId="55127"/>
    <cellStyle name="Total 2 3 5 2 5 3" xfId="41236"/>
    <cellStyle name="Total 2 3 5 2 6" xfId="21520"/>
    <cellStyle name="Total 2 3 5 2 6 2" xfId="50699"/>
    <cellStyle name="Total 2 3 5 2 7" xfId="31429"/>
    <cellStyle name="Total 2 3 5 3" xfId="3146"/>
    <cellStyle name="Total 2 3 5 3 2" xfId="6215"/>
    <cellStyle name="Total 2 3 5 3 2 2" xfId="15018"/>
    <cellStyle name="Total 2 3 5 3 2 2 2" xfId="27748"/>
    <cellStyle name="Total 2 3 5 3 2 2 2 2" xfId="56927"/>
    <cellStyle name="Total 2 3 5 3 2 2 3" xfId="44199"/>
    <cellStyle name="Total 2 3 5 3 2 3" xfId="23320"/>
    <cellStyle name="Total 2 3 5 3 2 3 2" xfId="52499"/>
    <cellStyle name="Total 2 3 5 3 2 4" xfId="35398"/>
    <cellStyle name="Total 2 3 5 3 3" xfId="7223"/>
    <cellStyle name="Total 2 3 5 3 3 2" xfId="15785"/>
    <cellStyle name="Total 2 3 5 3 3 2 2" xfId="28244"/>
    <cellStyle name="Total 2 3 5 3 3 2 2 2" xfId="57423"/>
    <cellStyle name="Total 2 3 5 3 3 2 3" xfId="44966"/>
    <cellStyle name="Total 2 3 5 3 3 3" xfId="23816"/>
    <cellStyle name="Total 2 3 5 3 3 3 2" xfId="52995"/>
    <cellStyle name="Total 2 3 5 3 3 4" xfId="36406"/>
    <cellStyle name="Total 2 3 5 3 4" xfId="12693"/>
    <cellStyle name="Total 2 3 5 3 4 2" xfId="26308"/>
    <cellStyle name="Total 2 3 5 3 4 2 2" xfId="55487"/>
    <cellStyle name="Total 2 3 5 3 4 3" xfId="41874"/>
    <cellStyle name="Total 2 3 5 3 5" xfId="21880"/>
    <cellStyle name="Total 2 3 5 3 5 2" xfId="51059"/>
    <cellStyle name="Total 2 3 5 3 6" xfId="32329"/>
    <cellStyle name="Total 2 3 5 4" xfId="4775"/>
    <cellStyle name="Total 2 3 5 4 2" xfId="13895"/>
    <cellStyle name="Total 2 3 5 4 2 2" xfId="27028"/>
    <cellStyle name="Total 2 3 5 4 2 2 2" xfId="56207"/>
    <cellStyle name="Total 2 3 5 4 2 3" xfId="43076"/>
    <cellStyle name="Total 2 3 5 4 3" xfId="22600"/>
    <cellStyle name="Total 2 3 5 4 3 2" xfId="51779"/>
    <cellStyle name="Total 2 3 5 4 4" xfId="33958"/>
    <cellStyle name="Total 2 3 5 5" xfId="9793"/>
    <cellStyle name="Total 2 3 5 5 2" xfId="17619"/>
    <cellStyle name="Total 2 3 5 5 2 2" xfId="29271"/>
    <cellStyle name="Total 2 3 5 5 2 2 2" xfId="58450"/>
    <cellStyle name="Total 2 3 5 5 2 3" xfId="46800"/>
    <cellStyle name="Total 2 3 5 5 3" xfId="24843"/>
    <cellStyle name="Total 2 3 5 5 3 2" xfId="54022"/>
    <cellStyle name="Total 2 3 5 5 4" xfId="38976"/>
    <cellStyle name="Total 2 3 5 6" xfId="11424"/>
    <cellStyle name="Total 2 3 5 6 2" xfId="25588"/>
    <cellStyle name="Total 2 3 5 6 2 2" xfId="54767"/>
    <cellStyle name="Total 2 3 5 6 3" xfId="40605"/>
    <cellStyle name="Total 2 3 5 7" xfId="21160"/>
    <cellStyle name="Total 2 3 5 7 2" xfId="50339"/>
    <cellStyle name="Total 2 3 5 8" xfId="30529"/>
    <cellStyle name="Total 2 3 6" xfId="1526"/>
    <cellStyle name="Total 2 3 6 2" xfId="3326"/>
    <cellStyle name="Total 2 3 6 2 2" xfId="6359"/>
    <cellStyle name="Total 2 3 6 2 2 2" xfId="15121"/>
    <cellStyle name="Total 2 3 6 2 2 2 2" xfId="27820"/>
    <cellStyle name="Total 2 3 6 2 2 2 2 2" xfId="56999"/>
    <cellStyle name="Total 2 3 6 2 2 2 3" xfId="44302"/>
    <cellStyle name="Total 2 3 6 2 2 3" xfId="23392"/>
    <cellStyle name="Total 2 3 6 2 2 3 2" xfId="52571"/>
    <cellStyle name="Total 2 3 6 2 2 4" xfId="35542"/>
    <cellStyle name="Total 2 3 6 2 3" xfId="7415"/>
    <cellStyle name="Total 2 3 6 2 3 2" xfId="15921"/>
    <cellStyle name="Total 2 3 6 2 3 2 2" xfId="28331"/>
    <cellStyle name="Total 2 3 6 2 3 2 2 2" xfId="57510"/>
    <cellStyle name="Total 2 3 6 2 3 2 3" xfId="45102"/>
    <cellStyle name="Total 2 3 6 2 3 3" xfId="23903"/>
    <cellStyle name="Total 2 3 6 2 3 3 2" xfId="53082"/>
    <cellStyle name="Total 2 3 6 2 3 4" xfId="36598"/>
    <cellStyle name="Total 2 3 6 2 4" xfId="12817"/>
    <cellStyle name="Total 2 3 6 2 4 2" xfId="26380"/>
    <cellStyle name="Total 2 3 6 2 4 2 2" xfId="55559"/>
    <cellStyle name="Total 2 3 6 2 4 3" xfId="41998"/>
    <cellStyle name="Total 2 3 6 2 5" xfId="21952"/>
    <cellStyle name="Total 2 3 6 2 5 2" xfId="51131"/>
    <cellStyle name="Total 2 3 6 2 6" xfId="32509"/>
    <cellStyle name="Total 2 3 6 3" xfId="4919"/>
    <cellStyle name="Total 2 3 6 3 2" xfId="14000"/>
    <cellStyle name="Total 2 3 6 3 2 2" xfId="27100"/>
    <cellStyle name="Total 2 3 6 3 2 2 2" xfId="56279"/>
    <cellStyle name="Total 2 3 6 3 2 3" xfId="43181"/>
    <cellStyle name="Total 2 3 6 3 3" xfId="22672"/>
    <cellStyle name="Total 2 3 6 3 3 2" xfId="51851"/>
    <cellStyle name="Total 2 3 6 3 4" xfId="34102"/>
    <cellStyle name="Total 2 3 6 4" xfId="9156"/>
    <cellStyle name="Total 2 3 6 4 2" xfId="17159"/>
    <cellStyle name="Total 2 3 6 4 2 2" xfId="29014"/>
    <cellStyle name="Total 2 3 6 4 2 2 2" xfId="58193"/>
    <cellStyle name="Total 2 3 6 4 2 3" xfId="46340"/>
    <cellStyle name="Total 2 3 6 4 3" xfId="24586"/>
    <cellStyle name="Total 2 3 6 4 3 2" xfId="53765"/>
    <cellStyle name="Total 2 3 6 4 4" xfId="38339"/>
    <cellStyle name="Total 2 3 6 5" xfId="11545"/>
    <cellStyle name="Total 2 3 6 5 2" xfId="25660"/>
    <cellStyle name="Total 2 3 6 5 2 2" xfId="54839"/>
    <cellStyle name="Total 2 3 6 5 3" xfId="40726"/>
    <cellStyle name="Total 2 3 6 6" xfId="21232"/>
    <cellStyle name="Total 2 3 6 6 2" xfId="50411"/>
    <cellStyle name="Total 2 3 6 7" xfId="30709"/>
    <cellStyle name="Total 2 3 7" xfId="2426"/>
    <cellStyle name="Total 2 3 7 2" xfId="5639"/>
    <cellStyle name="Total 2 3 7 2 2" xfId="14567"/>
    <cellStyle name="Total 2 3 7 2 2 2" xfId="27460"/>
    <cellStyle name="Total 2 3 7 2 2 2 2" xfId="56639"/>
    <cellStyle name="Total 2 3 7 2 2 3" xfId="43748"/>
    <cellStyle name="Total 2 3 7 2 3" xfId="23032"/>
    <cellStyle name="Total 2 3 7 2 3 2" xfId="52211"/>
    <cellStyle name="Total 2 3 7 2 4" xfId="34822"/>
    <cellStyle name="Total 2 3 7 3" xfId="7603"/>
    <cellStyle name="Total 2 3 7 3 2" xfId="16049"/>
    <cellStyle name="Total 2 3 7 3 2 2" xfId="28400"/>
    <cellStyle name="Total 2 3 7 3 2 2 2" xfId="57579"/>
    <cellStyle name="Total 2 3 7 3 2 3" xfId="45230"/>
    <cellStyle name="Total 2 3 7 3 3" xfId="23972"/>
    <cellStyle name="Total 2 3 7 3 3 2" xfId="53151"/>
    <cellStyle name="Total 2 3 7 3 4" xfId="36786"/>
    <cellStyle name="Total 2 3 7 4" xfId="12179"/>
    <cellStyle name="Total 2 3 7 4 2" xfId="26020"/>
    <cellStyle name="Total 2 3 7 4 2 2" xfId="55199"/>
    <cellStyle name="Total 2 3 7 4 3" xfId="41360"/>
    <cellStyle name="Total 2 3 7 5" xfId="21592"/>
    <cellStyle name="Total 2 3 7 5 2" xfId="50771"/>
    <cellStyle name="Total 2 3 7 6" xfId="31609"/>
    <cellStyle name="Total 2 3 8" xfId="4199"/>
    <cellStyle name="Total 2 3 8 2" xfId="13448"/>
    <cellStyle name="Total 2 3 8 2 2" xfId="26740"/>
    <cellStyle name="Total 2 3 8 2 2 2" xfId="55919"/>
    <cellStyle name="Total 2 3 8 2 3" xfId="42629"/>
    <cellStyle name="Total 2 3 8 3" xfId="22312"/>
    <cellStyle name="Total 2 3 8 3 2" xfId="51491"/>
    <cellStyle name="Total 2 3 8 4" xfId="33382"/>
    <cellStyle name="Total 2 3 9" xfId="10493"/>
    <cellStyle name="Total 2 3 9 2" xfId="18103"/>
    <cellStyle name="Total 2 3 9 2 2" xfId="29539"/>
    <cellStyle name="Total 2 3 9 2 2 2" xfId="58718"/>
    <cellStyle name="Total 2 3 9 2 3" xfId="47284"/>
    <cellStyle name="Total 2 3 9 3" xfId="25111"/>
    <cellStyle name="Total 2 3 9 3 2" xfId="54290"/>
    <cellStyle name="Total 2 3 9 4" xfId="39676"/>
    <cellStyle name="Total 2 4" xfId="766"/>
    <cellStyle name="Total 2 4 2" xfId="1704"/>
    <cellStyle name="Total 2 4 2 2" xfId="3504"/>
    <cellStyle name="Total 2 4 2 2 2" xfId="6501"/>
    <cellStyle name="Total 2 4 2 2 2 2" xfId="15235"/>
    <cellStyle name="Total 2 4 2 2 2 2 2" xfId="27872"/>
    <cellStyle name="Total 2 4 2 2 2 2 2 2" xfId="57051"/>
    <cellStyle name="Total 2 4 2 2 2 2 3" xfId="44416"/>
    <cellStyle name="Total 2 4 2 2 2 3" xfId="23444"/>
    <cellStyle name="Total 2 4 2 2 2 3 2" xfId="52623"/>
    <cellStyle name="Total 2 4 2 2 2 4" xfId="35684"/>
    <cellStyle name="Total 2 4 2 2 3" xfId="8511"/>
    <cellStyle name="Total 2 4 2 2 3 2" xfId="16689"/>
    <cellStyle name="Total 2 4 2 2 3 2 2" xfId="28752"/>
    <cellStyle name="Total 2 4 2 2 3 2 2 2" xfId="57931"/>
    <cellStyle name="Total 2 4 2 2 3 2 3" xfId="45870"/>
    <cellStyle name="Total 2 4 2 2 3 3" xfId="24324"/>
    <cellStyle name="Total 2 4 2 2 3 3 2" xfId="53503"/>
    <cellStyle name="Total 2 4 2 2 3 4" xfId="37694"/>
    <cellStyle name="Total 2 4 2 2 4" xfId="12941"/>
    <cellStyle name="Total 2 4 2 2 4 2" xfId="26432"/>
    <cellStyle name="Total 2 4 2 2 4 2 2" xfId="55611"/>
    <cellStyle name="Total 2 4 2 2 4 3" xfId="42122"/>
    <cellStyle name="Total 2 4 2 2 5" xfId="22004"/>
    <cellStyle name="Total 2 4 2 2 5 2" xfId="51183"/>
    <cellStyle name="Total 2 4 2 2 6" xfId="32687"/>
    <cellStyle name="Total 2 4 2 3" xfId="5061"/>
    <cellStyle name="Total 2 4 2 3 2" xfId="14111"/>
    <cellStyle name="Total 2 4 2 3 2 2" xfId="27152"/>
    <cellStyle name="Total 2 4 2 3 2 2 2" xfId="56331"/>
    <cellStyle name="Total 2 4 2 3 2 3" xfId="43292"/>
    <cellStyle name="Total 2 4 2 3 3" xfId="22724"/>
    <cellStyle name="Total 2 4 2 3 3 2" xfId="51903"/>
    <cellStyle name="Total 2 4 2 3 4" xfId="34244"/>
    <cellStyle name="Total 2 4 2 4" xfId="8050"/>
    <cellStyle name="Total 2 4 2 4 2" xfId="16361"/>
    <cellStyle name="Total 2 4 2 4 2 2" xfId="28578"/>
    <cellStyle name="Total 2 4 2 4 2 2 2" xfId="57757"/>
    <cellStyle name="Total 2 4 2 4 2 3" xfId="45542"/>
    <cellStyle name="Total 2 4 2 4 3" xfId="24150"/>
    <cellStyle name="Total 2 4 2 4 3 2" xfId="53329"/>
    <cellStyle name="Total 2 4 2 4 4" xfId="37233"/>
    <cellStyle name="Total 2 4 2 5" xfId="11668"/>
    <cellStyle name="Total 2 4 2 5 2" xfId="25712"/>
    <cellStyle name="Total 2 4 2 5 2 2" xfId="54891"/>
    <cellStyle name="Total 2 4 2 5 3" xfId="40849"/>
    <cellStyle name="Total 2 4 2 6" xfId="21284"/>
    <cellStyle name="Total 2 4 2 6 2" xfId="50463"/>
    <cellStyle name="Total 2 4 2 7" xfId="30887"/>
    <cellStyle name="Total 2 4 3" xfId="2604"/>
    <cellStyle name="Total 2 4 3 2" xfId="5781"/>
    <cellStyle name="Total 2 4 3 2 2" xfId="14676"/>
    <cellStyle name="Total 2 4 3 2 2 2" xfId="27512"/>
    <cellStyle name="Total 2 4 3 2 2 2 2" xfId="56691"/>
    <cellStyle name="Total 2 4 3 2 2 3" xfId="43857"/>
    <cellStyle name="Total 2 4 3 2 3" xfId="23084"/>
    <cellStyle name="Total 2 4 3 2 3 2" xfId="52263"/>
    <cellStyle name="Total 2 4 3 2 4" xfId="34964"/>
    <cellStyle name="Total 2 4 3 3" xfId="8815"/>
    <cellStyle name="Total 2 4 3 3 2" xfId="16911"/>
    <cellStyle name="Total 2 4 3 3 2 2" xfId="28878"/>
    <cellStyle name="Total 2 4 3 3 2 2 2" xfId="58057"/>
    <cellStyle name="Total 2 4 3 3 2 3" xfId="46092"/>
    <cellStyle name="Total 2 4 3 3 3" xfId="24450"/>
    <cellStyle name="Total 2 4 3 3 3 2" xfId="53629"/>
    <cellStyle name="Total 2 4 3 3 4" xfId="37998"/>
    <cellStyle name="Total 2 4 3 4" xfId="12303"/>
    <cellStyle name="Total 2 4 3 4 2" xfId="26072"/>
    <cellStyle name="Total 2 4 3 4 2 2" xfId="55251"/>
    <cellStyle name="Total 2 4 3 4 3" xfId="41484"/>
    <cellStyle name="Total 2 4 3 5" xfId="21644"/>
    <cellStyle name="Total 2 4 3 5 2" xfId="50823"/>
    <cellStyle name="Total 2 4 3 6" xfId="31787"/>
    <cellStyle name="Total 2 4 4" xfId="4341"/>
    <cellStyle name="Total 2 4 4 2" xfId="13555"/>
    <cellStyle name="Total 2 4 4 2 2" xfId="26792"/>
    <cellStyle name="Total 2 4 4 2 2 2" xfId="55971"/>
    <cellStyle name="Total 2 4 4 2 3" xfId="42736"/>
    <cellStyle name="Total 2 4 4 3" xfId="22364"/>
    <cellStyle name="Total 2 4 4 3 2" xfId="51543"/>
    <cellStyle name="Total 2 4 4 4" xfId="33524"/>
    <cellStyle name="Total 2 4 5" xfId="7343"/>
    <cellStyle name="Total 2 4 5 2" xfId="15870"/>
    <cellStyle name="Total 2 4 5 2 2" xfId="28297"/>
    <cellStyle name="Total 2 4 5 2 2 2" xfId="57476"/>
    <cellStyle name="Total 2 4 5 2 3" xfId="45051"/>
    <cellStyle name="Total 2 4 5 3" xfId="23869"/>
    <cellStyle name="Total 2 4 5 3 2" xfId="53048"/>
    <cellStyle name="Total 2 4 5 4" xfId="36526"/>
    <cellStyle name="Total 2 4 6" xfId="11007"/>
    <cellStyle name="Total 2 4 6 2" xfId="25328"/>
    <cellStyle name="Total 2 4 6 2 2" xfId="54507"/>
    <cellStyle name="Total 2 4 6 3" xfId="40188"/>
    <cellStyle name="Total 2 4 7" xfId="20900"/>
    <cellStyle name="Total 2 4 7 2" xfId="50079"/>
    <cellStyle name="Total 2 4 8" xfId="29963"/>
    <cellStyle name="Total 2 5" xfId="958"/>
    <cellStyle name="Total 2 5 2" xfId="1868"/>
    <cellStyle name="Total 2 5 2 2" xfId="3668"/>
    <cellStyle name="Total 2 5 2 2 2" xfId="6629"/>
    <cellStyle name="Total 2 5 2 2 2 2" xfId="15341"/>
    <cellStyle name="Total 2 5 2 2 2 2 2" xfId="27946"/>
    <cellStyle name="Total 2 5 2 2 2 2 2 2" xfId="57125"/>
    <cellStyle name="Total 2 5 2 2 2 2 3" xfId="44522"/>
    <cellStyle name="Total 2 5 2 2 2 3" xfId="23518"/>
    <cellStyle name="Total 2 5 2 2 2 3 2" xfId="52697"/>
    <cellStyle name="Total 2 5 2 2 2 4" xfId="35812"/>
    <cellStyle name="Total 2 5 2 2 3" xfId="8344"/>
    <cellStyle name="Total 2 5 2 2 3 2" xfId="16576"/>
    <cellStyle name="Total 2 5 2 2 3 2 2" xfId="28692"/>
    <cellStyle name="Total 2 5 2 2 3 2 2 2" xfId="57871"/>
    <cellStyle name="Total 2 5 2 2 3 2 3" xfId="45757"/>
    <cellStyle name="Total 2 5 2 2 3 3" xfId="24264"/>
    <cellStyle name="Total 2 5 2 2 3 3 2" xfId="53443"/>
    <cellStyle name="Total 2 5 2 2 3 4" xfId="37527"/>
    <cellStyle name="Total 2 5 2 2 4" xfId="13062"/>
    <cellStyle name="Total 2 5 2 2 4 2" xfId="26506"/>
    <cellStyle name="Total 2 5 2 2 4 2 2" xfId="55685"/>
    <cellStyle name="Total 2 5 2 2 4 3" xfId="42243"/>
    <cellStyle name="Total 2 5 2 2 5" xfId="22078"/>
    <cellStyle name="Total 2 5 2 2 5 2" xfId="51257"/>
    <cellStyle name="Total 2 5 2 2 6" xfId="32851"/>
    <cellStyle name="Total 2 5 2 3" xfId="5189"/>
    <cellStyle name="Total 2 5 2 3 2" xfId="14219"/>
    <cellStyle name="Total 2 5 2 3 2 2" xfId="27226"/>
    <cellStyle name="Total 2 5 2 3 2 2 2" xfId="56405"/>
    <cellStyle name="Total 2 5 2 3 2 3" xfId="43400"/>
    <cellStyle name="Total 2 5 2 3 3" xfId="22798"/>
    <cellStyle name="Total 2 5 2 3 3 2" xfId="51977"/>
    <cellStyle name="Total 2 5 2 3 4" xfId="34372"/>
    <cellStyle name="Total 2 5 2 4" xfId="7923"/>
    <cellStyle name="Total 2 5 2 4 2" xfId="16272"/>
    <cellStyle name="Total 2 5 2 4 2 2" xfId="28529"/>
    <cellStyle name="Total 2 5 2 4 2 2 2" xfId="57708"/>
    <cellStyle name="Total 2 5 2 4 2 3" xfId="45453"/>
    <cellStyle name="Total 2 5 2 4 3" xfId="24101"/>
    <cellStyle name="Total 2 5 2 4 3 2" xfId="53280"/>
    <cellStyle name="Total 2 5 2 4 4" xfId="37106"/>
    <cellStyle name="Total 2 5 2 5" xfId="11787"/>
    <cellStyle name="Total 2 5 2 5 2" xfId="25786"/>
    <cellStyle name="Total 2 5 2 5 2 2" xfId="54965"/>
    <cellStyle name="Total 2 5 2 5 3" xfId="40968"/>
    <cellStyle name="Total 2 5 2 6" xfId="21358"/>
    <cellStyle name="Total 2 5 2 6 2" xfId="50537"/>
    <cellStyle name="Total 2 5 2 7" xfId="31051"/>
    <cellStyle name="Total 2 5 3" xfId="2768"/>
    <cellStyle name="Total 2 5 3 2" xfId="5909"/>
    <cellStyle name="Total 2 5 3 2 2" xfId="14784"/>
    <cellStyle name="Total 2 5 3 2 2 2" xfId="27586"/>
    <cellStyle name="Total 2 5 3 2 2 2 2" xfId="56765"/>
    <cellStyle name="Total 2 5 3 2 2 3" xfId="43965"/>
    <cellStyle name="Total 2 5 3 2 3" xfId="23158"/>
    <cellStyle name="Total 2 5 3 2 3 2" xfId="52337"/>
    <cellStyle name="Total 2 5 3 2 4" xfId="35092"/>
    <cellStyle name="Total 2 5 3 3" xfId="8696"/>
    <cellStyle name="Total 2 5 3 3 2" xfId="16824"/>
    <cellStyle name="Total 2 5 3 3 2 2" xfId="28830"/>
    <cellStyle name="Total 2 5 3 3 2 2 2" xfId="58009"/>
    <cellStyle name="Total 2 5 3 3 2 3" xfId="46005"/>
    <cellStyle name="Total 2 5 3 3 3" xfId="24402"/>
    <cellStyle name="Total 2 5 3 3 3 2" xfId="53581"/>
    <cellStyle name="Total 2 5 3 3 4" xfId="37879"/>
    <cellStyle name="Total 2 5 3 4" xfId="12427"/>
    <cellStyle name="Total 2 5 3 4 2" xfId="26146"/>
    <cellStyle name="Total 2 5 3 4 2 2" xfId="55325"/>
    <cellStyle name="Total 2 5 3 4 3" xfId="41608"/>
    <cellStyle name="Total 2 5 3 5" xfId="21718"/>
    <cellStyle name="Total 2 5 3 5 2" xfId="50897"/>
    <cellStyle name="Total 2 5 3 6" xfId="31951"/>
    <cellStyle name="Total 2 5 4" xfId="4469"/>
    <cellStyle name="Total 2 5 4 2" xfId="13662"/>
    <cellStyle name="Total 2 5 4 2 2" xfId="26866"/>
    <cellStyle name="Total 2 5 4 2 2 2" xfId="56045"/>
    <cellStyle name="Total 2 5 4 2 3" xfId="42843"/>
    <cellStyle name="Total 2 5 4 3" xfId="22438"/>
    <cellStyle name="Total 2 5 4 3 2" xfId="51617"/>
    <cellStyle name="Total 2 5 4 4" xfId="33652"/>
    <cellStyle name="Total 2 5 5" xfId="9252"/>
    <cellStyle name="Total 2 5 5 2" xfId="17229"/>
    <cellStyle name="Total 2 5 5 2 2" xfId="29049"/>
    <cellStyle name="Total 2 5 5 2 2 2" xfId="58228"/>
    <cellStyle name="Total 2 5 5 2 3" xfId="46410"/>
    <cellStyle name="Total 2 5 5 3" xfId="24621"/>
    <cellStyle name="Total 2 5 5 3 2" xfId="53800"/>
    <cellStyle name="Total 2 5 5 4" xfId="38435"/>
    <cellStyle name="Total 2 5 6" xfId="11152"/>
    <cellStyle name="Total 2 5 6 2" xfId="25423"/>
    <cellStyle name="Total 2 5 6 2 2" xfId="54602"/>
    <cellStyle name="Total 2 5 6 3" xfId="40333"/>
    <cellStyle name="Total 2 5 7" xfId="20995"/>
    <cellStyle name="Total 2 5 7 2" xfId="50174"/>
    <cellStyle name="Total 2 5 8" xfId="30148"/>
    <cellStyle name="Total 2 6" xfId="1108"/>
    <cellStyle name="Total 2 6 2" xfId="2012"/>
    <cellStyle name="Total 2 6 2 2" xfId="3812"/>
    <cellStyle name="Total 2 6 2 2 2" xfId="6746"/>
    <cellStyle name="Total 2 6 2 2 2 2" xfId="15432"/>
    <cellStyle name="Total 2 6 2 2 2 2 2" xfId="28009"/>
    <cellStyle name="Total 2 6 2 2 2 2 2 2" xfId="57188"/>
    <cellStyle name="Total 2 6 2 2 2 2 3" xfId="44613"/>
    <cellStyle name="Total 2 6 2 2 2 3" xfId="23581"/>
    <cellStyle name="Total 2 6 2 2 2 3 2" xfId="52760"/>
    <cellStyle name="Total 2 6 2 2 2 4" xfId="35929"/>
    <cellStyle name="Total 2 6 2 2 3" xfId="8882"/>
    <cellStyle name="Total 2 6 2 2 3 2" xfId="16967"/>
    <cellStyle name="Total 2 6 2 2 3 2 2" xfId="28907"/>
    <cellStyle name="Total 2 6 2 2 3 2 2 2" xfId="58086"/>
    <cellStyle name="Total 2 6 2 2 3 2 3" xfId="46148"/>
    <cellStyle name="Total 2 6 2 2 3 3" xfId="24479"/>
    <cellStyle name="Total 2 6 2 2 3 3 2" xfId="53658"/>
    <cellStyle name="Total 2 6 2 2 3 4" xfId="38065"/>
    <cellStyle name="Total 2 6 2 2 4" xfId="13169"/>
    <cellStyle name="Total 2 6 2 2 4 2" xfId="26569"/>
    <cellStyle name="Total 2 6 2 2 4 2 2" xfId="55748"/>
    <cellStyle name="Total 2 6 2 2 4 3" xfId="42350"/>
    <cellStyle name="Total 2 6 2 2 5" xfId="22141"/>
    <cellStyle name="Total 2 6 2 2 5 2" xfId="51320"/>
    <cellStyle name="Total 2 6 2 2 6" xfId="32995"/>
    <cellStyle name="Total 2 6 2 3" xfId="5306"/>
    <cellStyle name="Total 2 6 2 3 2" xfId="14311"/>
    <cellStyle name="Total 2 6 2 3 2 2" xfId="27289"/>
    <cellStyle name="Total 2 6 2 3 2 2 2" xfId="56468"/>
    <cellStyle name="Total 2 6 2 3 2 3" xfId="43492"/>
    <cellStyle name="Total 2 6 2 3 3" xfId="22861"/>
    <cellStyle name="Total 2 6 2 3 3 2" xfId="52040"/>
    <cellStyle name="Total 2 6 2 3 4" xfId="34489"/>
    <cellStyle name="Total 2 6 2 4" xfId="8469"/>
    <cellStyle name="Total 2 6 2 4 2" xfId="16659"/>
    <cellStyle name="Total 2 6 2 4 2 2" xfId="28734"/>
    <cellStyle name="Total 2 6 2 4 2 2 2" xfId="57913"/>
    <cellStyle name="Total 2 6 2 4 2 3" xfId="45840"/>
    <cellStyle name="Total 2 6 2 4 3" xfId="24306"/>
    <cellStyle name="Total 2 6 2 4 3 2" xfId="53485"/>
    <cellStyle name="Total 2 6 2 4 4" xfId="37652"/>
    <cellStyle name="Total 2 6 2 5" xfId="11893"/>
    <cellStyle name="Total 2 6 2 5 2" xfId="25849"/>
    <cellStyle name="Total 2 6 2 5 2 2" xfId="55028"/>
    <cellStyle name="Total 2 6 2 5 3" xfId="41074"/>
    <cellStyle name="Total 2 6 2 6" xfId="21421"/>
    <cellStyle name="Total 2 6 2 6 2" xfId="50600"/>
    <cellStyle name="Total 2 6 2 7" xfId="31195"/>
    <cellStyle name="Total 2 6 3" xfId="2912"/>
    <cellStyle name="Total 2 6 3 2" xfId="6026"/>
    <cellStyle name="Total 2 6 3 2 2" xfId="14872"/>
    <cellStyle name="Total 2 6 3 2 2 2" xfId="27649"/>
    <cellStyle name="Total 2 6 3 2 2 2 2" xfId="56828"/>
    <cellStyle name="Total 2 6 3 2 2 3" xfId="44053"/>
    <cellStyle name="Total 2 6 3 2 3" xfId="23221"/>
    <cellStyle name="Total 2 6 3 2 3 2" xfId="52400"/>
    <cellStyle name="Total 2 6 3 2 4" xfId="35209"/>
    <cellStyle name="Total 2 6 3 3" xfId="9987"/>
    <cellStyle name="Total 2 6 3 3 2" xfId="17755"/>
    <cellStyle name="Total 2 6 3 3 2 2" xfId="29342"/>
    <cellStyle name="Total 2 6 3 3 2 2 2" xfId="58521"/>
    <cellStyle name="Total 2 6 3 3 2 3" xfId="46936"/>
    <cellStyle name="Total 2 6 3 3 3" xfId="24914"/>
    <cellStyle name="Total 2 6 3 3 3 2" xfId="54093"/>
    <cellStyle name="Total 2 6 3 3 4" xfId="39170"/>
    <cellStyle name="Total 2 6 3 4" xfId="12529"/>
    <cellStyle name="Total 2 6 3 4 2" xfId="26209"/>
    <cellStyle name="Total 2 6 3 4 2 2" xfId="55388"/>
    <cellStyle name="Total 2 6 3 4 3" xfId="41710"/>
    <cellStyle name="Total 2 6 3 5" xfId="21781"/>
    <cellStyle name="Total 2 6 3 5 2" xfId="50960"/>
    <cellStyle name="Total 2 6 3 6" xfId="32095"/>
    <cellStyle name="Total 2 6 4" xfId="4586"/>
    <cellStyle name="Total 2 6 4 2" xfId="13752"/>
    <cellStyle name="Total 2 6 4 2 2" xfId="26929"/>
    <cellStyle name="Total 2 6 4 2 2 2" xfId="56108"/>
    <cellStyle name="Total 2 6 4 2 3" xfId="42933"/>
    <cellStyle name="Total 2 6 4 3" xfId="22501"/>
    <cellStyle name="Total 2 6 4 3 2" xfId="51680"/>
    <cellStyle name="Total 2 6 4 4" xfId="33769"/>
    <cellStyle name="Total 2 6 5" xfId="8637"/>
    <cellStyle name="Total 2 6 5 2" xfId="16780"/>
    <cellStyle name="Total 2 6 5 2 2" xfId="28804"/>
    <cellStyle name="Total 2 6 5 2 2 2" xfId="57983"/>
    <cellStyle name="Total 2 6 5 2 3" xfId="45961"/>
    <cellStyle name="Total 2 6 5 3" xfId="24376"/>
    <cellStyle name="Total 2 6 5 3 2" xfId="53555"/>
    <cellStyle name="Total 2 6 5 4" xfId="37820"/>
    <cellStyle name="Total 2 6 6" xfId="11261"/>
    <cellStyle name="Total 2 6 6 2" xfId="25489"/>
    <cellStyle name="Total 2 6 6 2 2" xfId="54668"/>
    <cellStyle name="Total 2 6 6 3" xfId="40442"/>
    <cellStyle name="Total 2 6 7" xfId="21061"/>
    <cellStyle name="Total 2 6 7 2" xfId="50240"/>
    <cellStyle name="Total 2 6 8" xfId="30295"/>
    <cellStyle name="Total 2 7" xfId="1254"/>
    <cellStyle name="Total 2 7 2" xfId="2156"/>
    <cellStyle name="Total 2 7 2 2" xfId="3956"/>
    <cellStyle name="Total 2 7 2 2 2" xfId="6863"/>
    <cellStyle name="Total 2 7 2 2 2 2" xfId="15522"/>
    <cellStyle name="Total 2 7 2 2 2 2 2" xfId="28072"/>
    <cellStyle name="Total 2 7 2 2 2 2 2 2" xfId="57251"/>
    <cellStyle name="Total 2 7 2 2 2 2 3" xfId="44703"/>
    <cellStyle name="Total 2 7 2 2 2 3" xfId="23644"/>
    <cellStyle name="Total 2 7 2 2 2 3 2" xfId="52823"/>
    <cellStyle name="Total 2 7 2 2 2 4" xfId="36046"/>
    <cellStyle name="Total 2 7 2 2 3" xfId="7124"/>
    <cellStyle name="Total 2 7 2 2 3 2" xfId="15714"/>
    <cellStyle name="Total 2 7 2 2 3 2 2" xfId="28196"/>
    <cellStyle name="Total 2 7 2 2 3 2 2 2" xfId="57375"/>
    <cellStyle name="Total 2 7 2 2 3 2 3" xfId="44895"/>
    <cellStyle name="Total 2 7 2 2 3 3" xfId="23768"/>
    <cellStyle name="Total 2 7 2 2 3 3 2" xfId="52947"/>
    <cellStyle name="Total 2 7 2 2 3 4" xfId="36307"/>
    <cellStyle name="Total 2 7 2 2 4" xfId="13267"/>
    <cellStyle name="Total 2 7 2 2 4 2" xfId="26632"/>
    <cellStyle name="Total 2 7 2 2 4 2 2" xfId="55811"/>
    <cellStyle name="Total 2 7 2 2 4 3" xfId="42448"/>
    <cellStyle name="Total 2 7 2 2 5" xfId="22204"/>
    <cellStyle name="Total 2 7 2 2 5 2" xfId="51383"/>
    <cellStyle name="Total 2 7 2 2 6" xfId="33139"/>
    <cellStyle name="Total 2 7 2 3" xfId="5423"/>
    <cellStyle name="Total 2 7 2 3 2" xfId="14400"/>
    <cellStyle name="Total 2 7 2 3 2 2" xfId="27352"/>
    <cellStyle name="Total 2 7 2 3 2 2 2" xfId="56531"/>
    <cellStyle name="Total 2 7 2 3 2 3" xfId="43581"/>
    <cellStyle name="Total 2 7 2 3 3" xfId="22924"/>
    <cellStyle name="Total 2 7 2 3 3 2" xfId="52103"/>
    <cellStyle name="Total 2 7 2 3 4" xfId="34606"/>
    <cellStyle name="Total 2 7 2 4" xfId="9783"/>
    <cellStyle name="Total 2 7 2 4 2" xfId="17610"/>
    <cellStyle name="Total 2 7 2 4 2 2" xfId="29264"/>
    <cellStyle name="Total 2 7 2 4 2 2 2" xfId="58443"/>
    <cellStyle name="Total 2 7 2 4 2 3" xfId="46791"/>
    <cellStyle name="Total 2 7 2 4 3" xfId="24836"/>
    <cellStyle name="Total 2 7 2 4 3 2" xfId="54015"/>
    <cellStyle name="Total 2 7 2 4 4" xfId="38966"/>
    <cellStyle name="Total 2 7 2 5" xfId="11992"/>
    <cellStyle name="Total 2 7 2 5 2" xfId="25912"/>
    <cellStyle name="Total 2 7 2 5 2 2" xfId="55091"/>
    <cellStyle name="Total 2 7 2 5 3" xfId="41173"/>
    <cellStyle name="Total 2 7 2 6" xfId="21484"/>
    <cellStyle name="Total 2 7 2 6 2" xfId="50663"/>
    <cellStyle name="Total 2 7 2 7" xfId="31339"/>
    <cellStyle name="Total 2 7 3" xfId="3056"/>
    <cellStyle name="Total 2 7 3 2" xfId="6143"/>
    <cellStyle name="Total 2 7 3 2 2" xfId="14961"/>
    <cellStyle name="Total 2 7 3 2 2 2" xfId="27712"/>
    <cellStyle name="Total 2 7 3 2 2 2 2" xfId="56891"/>
    <cellStyle name="Total 2 7 3 2 2 3" xfId="44142"/>
    <cellStyle name="Total 2 7 3 2 3" xfId="23284"/>
    <cellStyle name="Total 2 7 3 2 3 2" xfId="52463"/>
    <cellStyle name="Total 2 7 3 2 4" xfId="35326"/>
    <cellStyle name="Total 2 7 3 3" xfId="9007"/>
    <cellStyle name="Total 2 7 3 3 2" xfId="17058"/>
    <cellStyle name="Total 2 7 3 3 2 2" xfId="28954"/>
    <cellStyle name="Total 2 7 3 3 2 2 2" xfId="58133"/>
    <cellStyle name="Total 2 7 3 3 2 3" xfId="46239"/>
    <cellStyle name="Total 2 7 3 3 3" xfId="24526"/>
    <cellStyle name="Total 2 7 3 3 3 2" xfId="53705"/>
    <cellStyle name="Total 2 7 3 3 4" xfId="38190"/>
    <cellStyle name="Total 2 7 3 4" xfId="12628"/>
    <cellStyle name="Total 2 7 3 4 2" xfId="26272"/>
    <cellStyle name="Total 2 7 3 4 2 2" xfId="55451"/>
    <cellStyle name="Total 2 7 3 4 3" xfId="41809"/>
    <cellStyle name="Total 2 7 3 5" xfId="21844"/>
    <cellStyle name="Total 2 7 3 5 2" xfId="51023"/>
    <cellStyle name="Total 2 7 3 6" xfId="32239"/>
    <cellStyle name="Total 2 7 4" xfId="4703"/>
    <cellStyle name="Total 2 7 4 2" xfId="13841"/>
    <cellStyle name="Total 2 7 4 2 2" xfId="26992"/>
    <cellStyle name="Total 2 7 4 2 2 2" xfId="56171"/>
    <cellStyle name="Total 2 7 4 2 3" xfId="43022"/>
    <cellStyle name="Total 2 7 4 3" xfId="22564"/>
    <cellStyle name="Total 2 7 4 3 2" xfId="51743"/>
    <cellStyle name="Total 2 7 4 4" xfId="33886"/>
    <cellStyle name="Total 2 7 5" xfId="8752"/>
    <cellStyle name="Total 2 7 5 2" xfId="16863"/>
    <cellStyle name="Total 2 7 5 2 2" xfId="28851"/>
    <cellStyle name="Total 2 7 5 2 2 2" xfId="58030"/>
    <cellStyle name="Total 2 7 5 2 3" xfId="46044"/>
    <cellStyle name="Total 2 7 5 3" xfId="24423"/>
    <cellStyle name="Total 2 7 5 3 2" xfId="53602"/>
    <cellStyle name="Total 2 7 5 4" xfId="37935"/>
    <cellStyle name="Total 2 7 6" xfId="11363"/>
    <cellStyle name="Total 2 7 6 2" xfId="25552"/>
    <cellStyle name="Total 2 7 6 2 2" xfId="54731"/>
    <cellStyle name="Total 2 7 6 3" xfId="40544"/>
    <cellStyle name="Total 2 7 7" xfId="21124"/>
    <cellStyle name="Total 2 7 7 2" xfId="50303"/>
    <cellStyle name="Total 2 7 8" xfId="30439"/>
    <cellStyle name="Total 2 8" xfId="1436"/>
    <cellStyle name="Total 2 8 2" xfId="3236"/>
    <cellStyle name="Total 2 8 2 2" xfId="6287"/>
    <cellStyle name="Total 2 8 2 2 2" xfId="15070"/>
    <cellStyle name="Total 2 8 2 2 2 2" xfId="27784"/>
    <cellStyle name="Total 2 8 2 2 2 2 2" xfId="56963"/>
    <cellStyle name="Total 2 8 2 2 2 3" xfId="44251"/>
    <cellStyle name="Total 2 8 2 2 3" xfId="23356"/>
    <cellStyle name="Total 2 8 2 2 3 2" xfId="52535"/>
    <cellStyle name="Total 2 8 2 2 4" xfId="35470"/>
    <cellStyle name="Total 2 8 2 3" xfId="8808"/>
    <cellStyle name="Total 2 8 2 3 2" xfId="16906"/>
    <cellStyle name="Total 2 8 2 3 2 2" xfId="28874"/>
    <cellStyle name="Total 2 8 2 3 2 2 2" xfId="58053"/>
    <cellStyle name="Total 2 8 2 3 2 3" xfId="46087"/>
    <cellStyle name="Total 2 8 2 3 3" xfId="24446"/>
    <cellStyle name="Total 2 8 2 3 3 2" xfId="53625"/>
    <cellStyle name="Total 2 8 2 3 4" xfId="37991"/>
    <cellStyle name="Total 2 8 2 4" xfId="12755"/>
    <cellStyle name="Total 2 8 2 4 2" xfId="26344"/>
    <cellStyle name="Total 2 8 2 4 2 2" xfId="55523"/>
    <cellStyle name="Total 2 8 2 4 3" xfId="41936"/>
    <cellStyle name="Total 2 8 2 5" xfId="21916"/>
    <cellStyle name="Total 2 8 2 5 2" xfId="51095"/>
    <cellStyle name="Total 2 8 2 6" xfId="32419"/>
    <cellStyle name="Total 2 8 3" xfId="4847"/>
    <cellStyle name="Total 2 8 3 2" xfId="13946"/>
    <cellStyle name="Total 2 8 3 2 2" xfId="27064"/>
    <cellStyle name="Total 2 8 3 2 2 2" xfId="56243"/>
    <cellStyle name="Total 2 8 3 2 3" xfId="43127"/>
    <cellStyle name="Total 2 8 3 3" xfId="22636"/>
    <cellStyle name="Total 2 8 3 3 2" xfId="51815"/>
    <cellStyle name="Total 2 8 3 4" xfId="34030"/>
    <cellStyle name="Total 2 8 4" xfId="8385"/>
    <cellStyle name="Total 2 8 4 2" xfId="16602"/>
    <cellStyle name="Total 2 8 4 2 2" xfId="28706"/>
    <cellStyle name="Total 2 8 4 2 2 2" xfId="57885"/>
    <cellStyle name="Total 2 8 4 2 3" xfId="45783"/>
    <cellStyle name="Total 2 8 4 3" xfId="24278"/>
    <cellStyle name="Total 2 8 4 3 2" xfId="53457"/>
    <cellStyle name="Total 2 8 4 4" xfId="37568"/>
    <cellStyle name="Total 2 8 5" xfId="11484"/>
    <cellStyle name="Total 2 8 5 2" xfId="25624"/>
    <cellStyle name="Total 2 8 5 2 2" xfId="54803"/>
    <cellStyle name="Total 2 8 5 3" xfId="40665"/>
    <cellStyle name="Total 2 8 6" xfId="21196"/>
    <cellStyle name="Total 2 8 6 2" xfId="50375"/>
    <cellStyle name="Total 2 8 7" xfId="30619"/>
    <cellStyle name="Total 2 9" xfId="2336"/>
    <cellStyle name="Total 2 9 2" xfId="5567"/>
    <cellStyle name="Total 2 9 2 2" xfId="14512"/>
    <cellStyle name="Total 2 9 2 2 2" xfId="27424"/>
    <cellStyle name="Total 2 9 2 2 2 2" xfId="56603"/>
    <cellStyle name="Total 2 9 2 2 3" xfId="43693"/>
    <cellStyle name="Total 2 9 2 3" xfId="22996"/>
    <cellStyle name="Total 2 9 2 3 2" xfId="52175"/>
    <cellStyle name="Total 2 9 2 4" xfId="34750"/>
    <cellStyle name="Total 2 9 3" xfId="7614"/>
    <cellStyle name="Total 2 9 3 2" xfId="16056"/>
    <cellStyle name="Total 2 9 3 2 2" xfId="28406"/>
    <cellStyle name="Total 2 9 3 2 2 2" xfId="57585"/>
    <cellStyle name="Total 2 9 3 2 3" xfId="45237"/>
    <cellStyle name="Total 2 9 3 3" xfId="23978"/>
    <cellStyle name="Total 2 9 3 3 2" xfId="53157"/>
    <cellStyle name="Total 2 9 3 4" xfId="36797"/>
    <cellStyle name="Total 2 9 4" xfId="12116"/>
    <cellStyle name="Total 2 9 4 2" xfId="25984"/>
    <cellStyle name="Total 2 9 4 2 2" xfId="55163"/>
    <cellStyle name="Total 2 9 4 3" xfId="41297"/>
    <cellStyle name="Total 2 9 5" xfId="21556"/>
    <cellStyle name="Total 2 9 5 2" xfId="50735"/>
    <cellStyle name="Total 2 9 6" xfId="31519"/>
    <cellStyle name="Total 3" xfId="414"/>
    <cellStyle name="Total 3 10" xfId="4128"/>
    <cellStyle name="Total 3 10 2" xfId="13392"/>
    <cellStyle name="Total 3 10 2 2" xfId="26705"/>
    <cellStyle name="Total 3 10 2 2 2" xfId="55884"/>
    <cellStyle name="Total 3 10 2 3" xfId="42573"/>
    <cellStyle name="Total 3 10 3" xfId="22277"/>
    <cellStyle name="Total 3 10 3 2" xfId="51456"/>
    <cellStyle name="Total 3 10 4" xfId="33311"/>
    <cellStyle name="Total 3 11" xfId="10739"/>
    <cellStyle name="Total 3 11 2" xfId="25165"/>
    <cellStyle name="Total 3 11 2 2" xfId="54344"/>
    <cellStyle name="Total 3 11 3" xfId="39920"/>
    <cellStyle name="Total 3 12" xfId="20737"/>
    <cellStyle name="Total 3 12 2" xfId="49916"/>
    <cellStyle name="Total 3 13" xfId="58757"/>
    <cellStyle name="Total 3 14" xfId="29620"/>
    <cellStyle name="Total 3 2" xfId="459"/>
    <cellStyle name="Total 3 2 10" xfId="9915"/>
    <cellStyle name="Total 3 2 10 2" xfId="17701"/>
    <cellStyle name="Total 3 2 10 2 2" xfId="29314"/>
    <cellStyle name="Total 3 2 10 2 2 2" xfId="58493"/>
    <cellStyle name="Total 3 2 10 2 3" xfId="46882"/>
    <cellStyle name="Total 3 2 10 3" xfId="24886"/>
    <cellStyle name="Total 3 2 10 3 2" xfId="54065"/>
    <cellStyle name="Total 3 2 10 4" xfId="39098"/>
    <cellStyle name="Total 3 2 11" xfId="10773"/>
    <cellStyle name="Total 3 2 11 2" xfId="25183"/>
    <cellStyle name="Total 3 2 11 2 2" xfId="54362"/>
    <cellStyle name="Total 3 2 11 3" xfId="39954"/>
    <cellStyle name="Total 3 2 12" xfId="20755"/>
    <cellStyle name="Total 3 2 12 2" xfId="49934"/>
    <cellStyle name="Total 3 2 13" xfId="58802"/>
    <cellStyle name="Total 3 2 14" xfId="29665"/>
    <cellStyle name="Total 3 2 2" xfId="549"/>
    <cellStyle name="Total 3 2 2 10" xfId="10836"/>
    <cellStyle name="Total 3 2 2 10 2" xfId="25219"/>
    <cellStyle name="Total 3 2 2 10 2 2" xfId="54398"/>
    <cellStyle name="Total 3 2 2 10 3" xfId="40017"/>
    <cellStyle name="Total 3 2 2 11" xfId="20791"/>
    <cellStyle name="Total 3 2 2 11 2" xfId="49970"/>
    <cellStyle name="Total 3 2 2 12" xfId="29755"/>
    <cellStyle name="Total 3 2 2 2" xfId="902"/>
    <cellStyle name="Total 3 2 2 2 2" xfId="1840"/>
    <cellStyle name="Total 3 2 2 2 2 2" xfId="3640"/>
    <cellStyle name="Total 3 2 2 2 2 2 2" xfId="6610"/>
    <cellStyle name="Total 3 2 2 2 2 2 2 2" xfId="15322"/>
    <cellStyle name="Total 3 2 2 2 2 2 2 2 2" xfId="27927"/>
    <cellStyle name="Total 3 2 2 2 2 2 2 2 2 2" xfId="57106"/>
    <cellStyle name="Total 3 2 2 2 2 2 2 2 3" xfId="44503"/>
    <cellStyle name="Total 3 2 2 2 2 2 2 3" xfId="23499"/>
    <cellStyle name="Total 3 2 2 2 2 2 2 3 2" xfId="52678"/>
    <cellStyle name="Total 3 2 2 2 2 2 2 4" xfId="35793"/>
    <cellStyle name="Total 3 2 2 2 2 2 3" xfId="8686"/>
    <cellStyle name="Total 3 2 2 2 2 2 3 2" xfId="16816"/>
    <cellStyle name="Total 3 2 2 2 2 2 3 2 2" xfId="28824"/>
    <cellStyle name="Total 3 2 2 2 2 2 3 2 2 2" xfId="58003"/>
    <cellStyle name="Total 3 2 2 2 2 2 3 2 3" xfId="45997"/>
    <cellStyle name="Total 3 2 2 2 2 2 3 3" xfId="24396"/>
    <cellStyle name="Total 3 2 2 2 2 2 3 3 2" xfId="53575"/>
    <cellStyle name="Total 3 2 2 2 2 2 3 4" xfId="37869"/>
    <cellStyle name="Total 3 2 2 2 2 2 4" xfId="13041"/>
    <cellStyle name="Total 3 2 2 2 2 2 4 2" xfId="26487"/>
    <cellStyle name="Total 3 2 2 2 2 2 4 2 2" xfId="55666"/>
    <cellStyle name="Total 3 2 2 2 2 2 4 3" xfId="42222"/>
    <cellStyle name="Total 3 2 2 2 2 2 5" xfId="22059"/>
    <cellStyle name="Total 3 2 2 2 2 2 5 2" xfId="51238"/>
    <cellStyle name="Total 3 2 2 2 2 2 6" xfId="32823"/>
    <cellStyle name="Total 3 2 2 2 2 3" xfId="5170"/>
    <cellStyle name="Total 3 2 2 2 2 3 2" xfId="14200"/>
    <cellStyle name="Total 3 2 2 2 2 3 2 2" xfId="27207"/>
    <cellStyle name="Total 3 2 2 2 2 3 2 2 2" xfId="56386"/>
    <cellStyle name="Total 3 2 2 2 2 3 2 3" xfId="43381"/>
    <cellStyle name="Total 3 2 2 2 2 3 3" xfId="22779"/>
    <cellStyle name="Total 3 2 2 2 2 3 3 2" xfId="51958"/>
    <cellStyle name="Total 3 2 2 2 2 3 4" xfId="34353"/>
    <cellStyle name="Total 3 2 2 2 2 4" xfId="8628"/>
    <cellStyle name="Total 3 2 2 2 2 4 2" xfId="16773"/>
    <cellStyle name="Total 3 2 2 2 2 4 2 2" xfId="28798"/>
    <cellStyle name="Total 3 2 2 2 2 4 2 2 2" xfId="57977"/>
    <cellStyle name="Total 3 2 2 2 2 4 2 3" xfId="45954"/>
    <cellStyle name="Total 3 2 2 2 2 4 3" xfId="24370"/>
    <cellStyle name="Total 3 2 2 2 2 4 3 2" xfId="53549"/>
    <cellStyle name="Total 3 2 2 2 2 4 4" xfId="37811"/>
    <cellStyle name="Total 3 2 2 2 2 5" xfId="11765"/>
    <cellStyle name="Total 3 2 2 2 2 5 2" xfId="25767"/>
    <cellStyle name="Total 3 2 2 2 2 5 2 2" xfId="54946"/>
    <cellStyle name="Total 3 2 2 2 2 5 3" xfId="40946"/>
    <cellStyle name="Total 3 2 2 2 2 6" xfId="21339"/>
    <cellStyle name="Total 3 2 2 2 2 6 2" xfId="50518"/>
    <cellStyle name="Total 3 2 2 2 2 7" xfId="31023"/>
    <cellStyle name="Total 3 2 2 2 3" xfId="2740"/>
    <cellStyle name="Total 3 2 2 2 3 2" xfId="5890"/>
    <cellStyle name="Total 3 2 2 2 3 2 2" xfId="14765"/>
    <cellStyle name="Total 3 2 2 2 3 2 2 2" xfId="27567"/>
    <cellStyle name="Total 3 2 2 2 3 2 2 2 2" xfId="56746"/>
    <cellStyle name="Total 3 2 2 2 3 2 2 3" xfId="43946"/>
    <cellStyle name="Total 3 2 2 2 3 2 3" xfId="23139"/>
    <cellStyle name="Total 3 2 2 2 3 2 3 2" xfId="52318"/>
    <cellStyle name="Total 3 2 2 2 3 2 4" xfId="35073"/>
    <cellStyle name="Total 3 2 2 2 3 3" xfId="9935"/>
    <cellStyle name="Total 3 2 2 2 3 3 2" xfId="17716"/>
    <cellStyle name="Total 3 2 2 2 3 3 2 2" xfId="29323"/>
    <cellStyle name="Total 3 2 2 2 3 3 2 2 2" xfId="58502"/>
    <cellStyle name="Total 3 2 2 2 3 3 2 3" xfId="46897"/>
    <cellStyle name="Total 3 2 2 2 3 3 3" xfId="24895"/>
    <cellStyle name="Total 3 2 2 2 3 3 3 2" xfId="54074"/>
    <cellStyle name="Total 3 2 2 2 3 3 4" xfId="39118"/>
    <cellStyle name="Total 3 2 2 2 3 4" xfId="12406"/>
    <cellStyle name="Total 3 2 2 2 3 4 2" xfId="26127"/>
    <cellStyle name="Total 3 2 2 2 3 4 2 2" xfId="55306"/>
    <cellStyle name="Total 3 2 2 2 3 4 3" xfId="41587"/>
    <cellStyle name="Total 3 2 2 2 3 5" xfId="21699"/>
    <cellStyle name="Total 3 2 2 2 3 5 2" xfId="50878"/>
    <cellStyle name="Total 3 2 2 2 3 6" xfId="31923"/>
    <cellStyle name="Total 3 2 2 2 4" xfId="4450"/>
    <cellStyle name="Total 3 2 2 2 4 2" xfId="13643"/>
    <cellStyle name="Total 3 2 2 2 4 2 2" xfId="26847"/>
    <cellStyle name="Total 3 2 2 2 4 2 2 2" xfId="56026"/>
    <cellStyle name="Total 3 2 2 2 4 2 3" xfId="42824"/>
    <cellStyle name="Total 3 2 2 2 4 3" xfId="22419"/>
    <cellStyle name="Total 3 2 2 2 4 3 2" xfId="51598"/>
    <cellStyle name="Total 3 2 2 2 4 4" xfId="33633"/>
    <cellStyle name="Total 3 2 2 2 5" xfId="9070"/>
    <cellStyle name="Total 3 2 2 2 5 2" xfId="17102"/>
    <cellStyle name="Total 3 2 2 2 5 2 2" xfId="28982"/>
    <cellStyle name="Total 3 2 2 2 5 2 2 2" xfId="58161"/>
    <cellStyle name="Total 3 2 2 2 5 2 3" xfId="46283"/>
    <cellStyle name="Total 3 2 2 2 5 3" xfId="24554"/>
    <cellStyle name="Total 3 2 2 2 5 3 2" xfId="53733"/>
    <cellStyle name="Total 3 2 2 2 5 4" xfId="38253"/>
    <cellStyle name="Total 3 2 2 2 6" xfId="11106"/>
    <cellStyle name="Total 3 2 2 2 6 2" xfId="25383"/>
    <cellStyle name="Total 3 2 2 2 6 2 2" xfId="54562"/>
    <cellStyle name="Total 3 2 2 2 6 3" xfId="40287"/>
    <cellStyle name="Total 3 2 2 2 7" xfId="20955"/>
    <cellStyle name="Total 3 2 2 2 7 2" xfId="50134"/>
    <cellStyle name="Total 3 2 2 2 8" xfId="30099"/>
    <cellStyle name="Total 3 2 2 3" xfId="1094"/>
    <cellStyle name="Total 3 2 2 3 2" xfId="2004"/>
    <cellStyle name="Total 3 2 2 3 2 2" xfId="3804"/>
    <cellStyle name="Total 3 2 2 3 2 2 2" xfId="6738"/>
    <cellStyle name="Total 3 2 2 3 2 2 2 2" xfId="15424"/>
    <cellStyle name="Total 3 2 2 3 2 2 2 2 2" xfId="28001"/>
    <cellStyle name="Total 3 2 2 3 2 2 2 2 2 2" xfId="57180"/>
    <cellStyle name="Total 3 2 2 3 2 2 2 2 3" xfId="44605"/>
    <cellStyle name="Total 3 2 2 3 2 2 2 3" xfId="23573"/>
    <cellStyle name="Total 3 2 2 3 2 2 2 3 2" xfId="52752"/>
    <cellStyle name="Total 3 2 2 3 2 2 2 4" xfId="35921"/>
    <cellStyle name="Total 3 2 2 3 2 2 3" xfId="8545"/>
    <cellStyle name="Total 3 2 2 3 2 2 3 2" xfId="16710"/>
    <cellStyle name="Total 3 2 2 3 2 2 3 2 2" xfId="28762"/>
    <cellStyle name="Total 3 2 2 3 2 2 3 2 2 2" xfId="57941"/>
    <cellStyle name="Total 3 2 2 3 2 2 3 2 3" xfId="45891"/>
    <cellStyle name="Total 3 2 2 3 2 2 3 3" xfId="24334"/>
    <cellStyle name="Total 3 2 2 3 2 2 3 3 2" xfId="53513"/>
    <cellStyle name="Total 3 2 2 3 2 2 3 4" xfId="37728"/>
    <cellStyle name="Total 3 2 2 3 2 2 4" xfId="13161"/>
    <cellStyle name="Total 3 2 2 3 2 2 4 2" xfId="26561"/>
    <cellStyle name="Total 3 2 2 3 2 2 4 2 2" xfId="55740"/>
    <cellStyle name="Total 3 2 2 3 2 2 4 3" xfId="42342"/>
    <cellStyle name="Total 3 2 2 3 2 2 5" xfId="22133"/>
    <cellStyle name="Total 3 2 2 3 2 2 5 2" xfId="51312"/>
    <cellStyle name="Total 3 2 2 3 2 2 6" xfId="32987"/>
    <cellStyle name="Total 3 2 2 3 2 3" xfId="5298"/>
    <cellStyle name="Total 3 2 2 3 2 3 2" xfId="14303"/>
    <cellStyle name="Total 3 2 2 3 2 3 2 2" xfId="27281"/>
    <cellStyle name="Total 3 2 2 3 2 3 2 2 2" xfId="56460"/>
    <cellStyle name="Total 3 2 2 3 2 3 2 3" xfId="43484"/>
    <cellStyle name="Total 3 2 2 3 2 3 3" xfId="22853"/>
    <cellStyle name="Total 3 2 2 3 2 3 3 2" xfId="52032"/>
    <cellStyle name="Total 3 2 2 3 2 3 4" xfId="34481"/>
    <cellStyle name="Total 3 2 2 3 2 4" xfId="8487"/>
    <cellStyle name="Total 3 2 2 3 2 4 2" xfId="16671"/>
    <cellStyle name="Total 3 2 2 3 2 4 2 2" xfId="28740"/>
    <cellStyle name="Total 3 2 2 3 2 4 2 2 2" xfId="57919"/>
    <cellStyle name="Total 3 2 2 3 2 4 2 3" xfId="45852"/>
    <cellStyle name="Total 3 2 2 3 2 4 3" xfId="24312"/>
    <cellStyle name="Total 3 2 2 3 2 4 3 2" xfId="53491"/>
    <cellStyle name="Total 3 2 2 3 2 4 4" xfId="37670"/>
    <cellStyle name="Total 3 2 2 3 2 5" xfId="11885"/>
    <cellStyle name="Total 3 2 2 3 2 5 2" xfId="25841"/>
    <cellStyle name="Total 3 2 2 3 2 5 2 2" xfId="55020"/>
    <cellStyle name="Total 3 2 2 3 2 5 3" xfId="41066"/>
    <cellStyle name="Total 3 2 2 3 2 6" xfId="21413"/>
    <cellStyle name="Total 3 2 2 3 2 6 2" xfId="50592"/>
    <cellStyle name="Total 3 2 2 3 2 7" xfId="31187"/>
    <cellStyle name="Total 3 2 2 3 3" xfId="2904"/>
    <cellStyle name="Total 3 2 2 3 3 2" xfId="6018"/>
    <cellStyle name="Total 3 2 2 3 3 2 2" xfId="14864"/>
    <cellStyle name="Total 3 2 2 3 3 2 2 2" xfId="27641"/>
    <cellStyle name="Total 3 2 2 3 3 2 2 2 2" xfId="56820"/>
    <cellStyle name="Total 3 2 2 3 3 2 2 3" xfId="44045"/>
    <cellStyle name="Total 3 2 2 3 3 2 3" xfId="23213"/>
    <cellStyle name="Total 3 2 2 3 3 2 3 2" xfId="52392"/>
    <cellStyle name="Total 3 2 2 3 3 2 4" xfId="35201"/>
    <cellStyle name="Total 3 2 2 3 3 3" xfId="9996"/>
    <cellStyle name="Total 3 2 2 3 3 3 2" xfId="17759"/>
    <cellStyle name="Total 3 2 2 3 3 3 2 2" xfId="29344"/>
    <cellStyle name="Total 3 2 2 3 3 3 2 2 2" xfId="58523"/>
    <cellStyle name="Total 3 2 2 3 3 3 2 3" xfId="46940"/>
    <cellStyle name="Total 3 2 2 3 3 3 3" xfId="24916"/>
    <cellStyle name="Total 3 2 2 3 3 3 3 2" xfId="54095"/>
    <cellStyle name="Total 3 2 2 3 3 3 4" xfId="39179"/>
    <cellStyle name="Total 3 2 2 3 3 4" xfId="12521"/>
    <cellStyle name="Total 3 2 2 3 3 4 2" xfId="26201"/>
    <cellStyle name="Total 3 2 2 3 3 4 2 2" xfId="55380"/>
    <cellStyle name="Total 3 2 2 3 3 4 3" xfId="41702"/>
    <cellStyle name="Total 3 2 2 3 3 5" xfId="21773"/>
    <cellStyle name="Total 3 2 2 3 3 5 2" xfId="50952"/>
    <cellStyle name="Total 3 2 2 3 3 6" xfId="32087"/>
    <cellStyle name="Total 3 2 2 3 4" xfId="4578"/>
    <cellStyle name="Total 3 2 2 3 4 2" xfId="13744"/>
    <cellStyle name="Total 3 2 2 3 4 2 2" xfId="26921"/>
    <cellStyle name="Total 3 2 2 3 4 2 2 2" xfId="56100"/>
    <cellStyle name="Total 3 2 2 3 4 2 3" xfId="42925"/>
    <cellStyle name="Total 3 2 2 3 4 3" xfId="22493"/>
    <cellStyle name="Total 3 2 2 3 4 3 2" xfId="51672"/>
    <cellStyle name="Total 3 2 2 3 4 4" xfId="33761"/>
    <cellStyle name="Total 3 2 2 3 5" xfId="8754"/>
    <cellStyle name="Total 3 2 2 3 5 2" xfId="16864"/>
    <cellStyle name="Total 3 2 2 3 5 2 2" xfId="28852"/>
    <cellStyle name="Total 3 2 2 3 5 2 2 2" xfId="58031"/>
    <cellStyle name="Total 3 2 2 3 5 2 3" xfId="46045"/>
    <cellStyle name="Total 3 2 2 3 5 3" xfId="24424"/>
    <cellStyle name="Total 3 2 2 3 5 3 2" xfId="53603"/>
    <cellStyle name="Total 3 2 2 3 5 4" xfId="37937"/>
    <cellStyle name="Total 3 2 2 3 6" xfId="11249"/>
    <cellStyle name="Total 3 2 2 3 6 2" xfId="25478"/>
    <cellStyle name="Total 3 2 2 3 6 2 2" xfId="54657"/>
    <cellStyle name="Total 3 2 2 3 6 3" xfId="40430"/>
    <cellStyle name="Total 3 2 2 3 7" xfId="21050"/>
    <cellStyle name="Total 3 2 2 3 7 2" xfId="50229"/>
    <cellStyle name="Total 3 2 2 3 8" xfId="30284"/>
    <cellStyle name="Total 3 2 2 4" xfId="1244"/>
    <cellStyle name="Total 3 2 2 4 2" xfId="2148"/>
    <cellStyle name="Total 3 2 2 4 2 2" xfId="3948"/>
    <cellStyle name="Total 3 2 2 4 2 2 2" xfId="6855"/>
    <cellStyle name="Total 3 2 2 4 2 2 2 2" xfId="15514"/>
    <cellStyle name="Total 3 2 2 4 2 2 2 2 2" xfId="28064"/>
    <cellStyle name="Total 3 2 2 4 2 2 2 2 2 2" xfId="57243"/>
    <cellStyle name="Total 3 2 2 4 2 2 2 2 3" xfId="44695"/>
    <cellStyle name="Total 3 2 2 4 2 2 2 3" xfId="23636"/>
    <cellStyle name="Total 3 2 2 4 2 2 2 3 2" xfId="52815"/>
    <cellStyle name="Total 3 2 2 4 2 2 2 4" xfId="36038"/>
    <cellStyle name="Total 3 2 2 4 2 2 3" xfId="7132"/>
    <cellStyle name="Total 3 2 2 4 2 2 3 2" xfId="15722"/>
    <cellStyle name="Total 3 2 2 4 2 2 3 2 2" xfId="28204"/>
    <cellStyle name="Total 3 2 2 4 2 2 3 2 2 2" xfId="57383"/>
    <cellStyle name="Total 3 2 2 4 2 2 3 2 3" xfId="44903"/>
    <cellStyle name="Total 3 2 2 4 2 2 3 3" xfId="23776"/>
    <cellStyle name="Total 3 2 2 4 2 2 3 3 2" xfId="52955"/>
    <cellStyle name="Total 3 2 2 4 2 2 3 4" xfId="36315"/>
    <cellStyle name="Total 3 2 2 4 2 2 4" xfId="13259"/>
    <cellStyle name="Total 3 2 2 4 2 2 4 2" xfId="26624"/>
    <cellStyle name="Total 3 2 2 4 2 2 4 2 2" xfId="55803"/>
    <cellStyle name="Total 3 2 2 4 2 2 4 3" xfId="42440"/>
    <cellStyle name="Total 3 2 2 4 2 2 5" xfId="22196"/>
    <cellStyle name="Total 3 2 2 4 2 2 5 2" xfId="51375"/>
    <cellStyle name="Total 3 2 2 4 2 2 6" xfId="33131"/>
    <cellStyle name="Total 3 2 2 4 2 3" xfId="5415"/>
    <cellStyle name="Total 3 2 2 4 2 3 2" xfId="14392"/>
    <cellStyle name="Total 3 2 2 4 2 3 2 2" xfId="27344"/>
    <cellStyle name="Total 3 2 2 4 2 3 2 2 2" xfId="56523"/>
    <cellStyle name="Total 3 2 2 4 2 3 2 3" xfId="43573"/>
    <cellStyle name="Total 3 2 2 4 2 3 3" xfId="22916"/>
    <cellStyle name="Total 3 2 2 4 2 3 3 2" xfId="52095"/>
    <cellStyle name="Total 3 2 2 4 2 3 4" xfId="34598"/>
    <cellStyle name="Total 3 2 2 4 2 4" xfId="9371"/>
    <cellStyle name="Total 3 2 2 4 2 4 2" xfId="17316"/>
    <cellStyle name="Total 3 2 2 4 2 4 2 2" xfId="29098"/>
    <cellStyle name="Total 3 2 2 4 2 4 2 2 2" xfId="58277"/>
    <cellStyle name="Total 3 2 2 4 2 4 2 3" xfId="46497"/>
    <cellStyle name="Total 3 2 2 4 2 4 3" xfId="24670"/>
    <cellStyle name="Total 3 2 2 4 2 4 3 2" xfId="53849"/>
    <cellStyle name="Total 3 2 2 4 2 4 4" xfId="38554"/>
    <cellStyle name="Total 3 2 2 4 2 5" xfId="11984"/>
    <cellStyle name="Total 3 2 2 4 2 5 2" xfId="25904"/>
    <cellStyle name="Total 3 2 2 4 2 5 2 2" xfId="55083"/>
    <cellStyle name="Total 3 2 2 4 2 5 3" xfId="41165"/>
    <cellStyle name="Total 3 2 2 4 2 6" xfId="21476"/>
    <cellStyle name="Total 3 2 2 4 2 6 2" xfId="50655"/>
    <cellStyle name="Total 3 2 2 4 2 7" xfId="31331"/>
    <cellStyle name="Total 3 2 2 4 3" xfId="3048"/>
    <cellStyle name="Total 3 2 2 4 3 2" xfId="6135"/>
    <cellStyle name="Total 3 2 2 4 3 2 2" xfId="14953"/>
    <cellStyle name="Total 3 2 2 4 3 2 2 2" xfId="27704"/>
    <cellStyle name="Total 3 2 2 4 3 2 2 2 2" xfId="56883"/>
    <cellStyle name="Total 3 2 2 4 3 2 2 3" xfId="44134"/>
    <cellStyle name="Total 3 2 2 4 3 2 3" xfId="23276"/>
    <cellStyle name="Total 3 2 2 4 3 2 3 2" xfId="52455"/>
    <cellStyle name="Total 3 2 2 4 3 2 4" xfId="35318"/>
    <cellStyle name="Total 3 2 2 4 3 3" xfId="7950"/>
    <cellStyle name="Total 3 2 2 4 3 3 2" xfId="16292"/>
    <cellStyle name="Total 3 2 2 4 3 3 2 2" xfId="28538"/>
    <cellStyle name="Total 3 2 2 4 3 3 2 2 2" xfId="57717"/>
    <cellStyle name="Total 3 2 2 4 3 3 2 3" xfId="45473"/>
    <cellStyle name="Total 3 2 2 4 3 3 3" xfId="24110"/>
    <cellStyle name="Total 3 2 2 4 3 3 3 2" xfId="53289"/>
    <cellStyle name="Total 3 2 2 4 3 3 4" xfId="37133"/>
    <cellStyle name="Total 3 2 2 4 3 4" xfId="12620"/>
    <cellStyle name="Total 3 2 2 4 3 4 2" xfId="26264"/>
    <cellStyle name="Total 3 2 2 4 3 4 2 2" xfId="55443"/>
    <cellStyle name="Total 3 2 2 4 3 4 3" xfId="41801"/>
    <cellStyle name="Total 3 2 2 4 3 5" xfId="21836"/>
    <cellStyle name="Total 3 2 2 4 3 5 2" xfId="51015"/>
    <cellStyle name="Total 3 2 2 4 3 6" xfId="32231"/>
    <cellStyle name="Total 3 2 2 4 4" xfId="4695"/>
    <cellStyle name="Total 3 2 2 4 4 2" xfId="13833"/>
    <cellStyle name="Total 3 2 2 4 4 2 2" xfId="26984"/>
    <cellStyle name="Total 3 2 2 4 4 2 2 2" xfId="56163"/>
    <cellStyle name="Total 3 2 2 4 4 2 3" xfId="43014"/>
    <cellStyle name="Total 3 2 2 4 4 3" xfId="22556"/>
    <cellStyle name="Total 3 2 2 4 4 3 2" xfId="51735"/>
    <cellStyle name="Total 3 2 2 4 4 4" xfId="33878"/>
    <cellStyle name="Total 3 2 2 4 5" xfId="9756"/>
    <cellStyle name="Total 3 2 2 4 5 2" xfId="17588"/>
    <cellStyle name="Total 3 2 2 4 5 2 2" xfId="29251"/>
    <cellStyle name="Total 3 2 2 4 5 2 2 2" xfId="58430"/>
    <cellStyle name="Total 3 2 2 4 5 2 3" xfId="46769"/>
    <cellStyle name="Total 3 2 2 4 5 3" xfId="24823"/>
    <cellStyle name="Total 3 2 2 4 5 3 2" xfId="54002"/>
    <cellStyle name="Total 3 2 2 4 5 4" xfId="38939"/>
    <cellStyle name="Total 3 2 2 4 6" xfId="11354"/>
    <cellStyle name="Total 3 2 2 4 6 2" xfId="25544"/>
    <cellStyle name="Total 3 2 2 4 6 2 2" xfId="54723"/>
    <cellStyle name="Total 3 2 2 4 6 3" xfId="40535"/>
    <cellStyle name="Total 3 2 2 4 7" xfId="21116"/>
    <cellStyle name="Total 3 2 2 4 7 2" xfId="50295"/>
    <cellStyle name="Total 3 2 2 4 8" xfId="30431"/>
    <cellStyle name="Total 3 2 2 5" xfId="1390"/>
    <cellStyle name="Total 3 2 2 5 2" xfId="2292"/>
    <cellStyle name="Total 3 2 2 5 2 2" xfId="4092"/>
    <cellStyle name="Total 3 2 2 5 2 2 2" xfId="6972"/>
    <cellStyle name="Total 3 2 2 5 2 2 2 2" xfId="15604"/>
    <cellStyle name="Total 3 2 2 5 2 2 2 2 2" xfId="28127"/>
    <cellStyle name="Total 3 2 2 5 2 2 2 2 2 2" xfId="57306"/>
    <cellStyle name="Total 3 2 2 5 2 2 2 2 3" xfId="44785"/>
    <cellStyle name="Total 3 2 2 5 2 2 2 3" xfId="23699"/>
    <cellStyle name="Total 3 2 2 5 2 2 2 3 2" xfId="52878"/>
    <cellStyle name="Total 3 2 2 5 2 2 2 4" xfId="36155"/>
    <cellStyle name="Total 3 2 2 5 2 2 3" xfId="6988"/>
    <cellStyle name="Total 3 2 2 5 2 2 3 2" xfId="15618"/>
    <cellStyle name="Total 3 2 2 5 2 2 3 2 2" xfId="28141"/>
    <cellStyle name="Total 3 2 2 5 2 2 3 2 2 2" xfId="57320"/>
    <cellStyle name="Total 3 2 2 5 2 2 3 2 3" xfId="44799"/>
    <cellStyle name="Total 3 2 2 5 2 2 3 3" xfId="23713"/>
    <cellStyle name="Total 3 2 2 5 2 2 3 3 2" xfId="52892"/>
    <cellStyle name="Total 3 2 2 5 2 2 3 4" xfId="36171"/>
    <cellStyle name="Total 3 2 2 5 2 2 4" xfId="13364"/>
    <cellStyle name="Total 3 2 2 5 2 2 4 2" xfId="26687"/>
    <cellStyle name="Total 3 2 2 5 2 2 4 2 2" xfId="55866"/>
    <cellStyle name="Total 3 2 2 5 2 2 4 3" xfId="42545"/>
    <cellStyle name="Total 3 2 2 5 2 2 5" xfId="22259"/>
    <cellStyle name="Total 3 2 2 5 2 2 5 2" xfId="51438"/>
    <cellStyle name="Total 3 2 2 5 2 2 6" xfId="33275"/>
    <cellStyle name="Total 3 2 2 5 2 3" xfId="5532"/>
    <cellStyle name="Total 3 2 2 5 2 3 2" xfId="14485"/>
    <cellStyle name="Total 3 2 2 5 2 3 2 2" xfId="27407"/>
    <cellStyle name="Total 3 2 2 5 2 3 2 2 2" xfId="56586"/>
    <cellStyle name="Total 3 2 2 5 2 3 2 3" xfId="43666"/>
    <cellStyle name="Total 3 2 2 5 2 3 3" xfId="22979"/>
    <cellStyle name="Total 3 2 2 5 2 3 3 2" xfId="52158"/>
    <cellStyle name="Total 3 2 2 5 2 3 4" xfId="34715"/>
    <cellStyle name="Total 3 2 2 5 2 4" xfId="7288"/>
    <cellStyle name="Total 3 2 2 5 2 4 2" xfId="15831"/>
    <cellStyle name="Total 3 2 2 5 2 4 2 2" xfId="28273"/>
    <cellStyle name="Total 3 2 2 5 2 4 2 2 2" xfId="57452"/>
    <cellStyle name="Total 3 2 2 5 2 4 2 3" xfId="45012"/>
    <cellStyle name="Total 3 2 2 5 2 4 3" xfId="23845"/>
    <cellStyle name="Total 3 2 2 5 2 4 3 2" xfId="53024"/>
    <cellStyle name="Total 3 2 2 5 2 4 4" xfId="36471"/>
    <cellStyle name="Total 3 2 2 5 2 5" xfId="12085"/>
    <cellStyle name="Total 3 2 2 5 2 5 2" xfId="25967"/>
    <cellStyle name="Total 3 2 2 5 2 5 2 2" xfId="55146"/>
    <cellStyle name="Total 3 2 2 5 2 5 3" xfId="41266"/>
    <cellStyle name="Total 3 2 2 5 2 6" xfId="21539"/>
    <cellStyle name="Total 3 2 2 5 2 6 2" xfId="50718"/>
    <cellStyle name="Total 3 2 2 5 2 7" xfId="31475"/>
    <cellStyle name="Total 3 2 2 5 3" xfId="3192"/>
    <cellStyle name="Total 3 2 2 5 3 2" xfId="6252"/>
    <cellStyle name="Total 3 2 2 5 3 2 2" xfId="15045"/>
    <cellStyle name="Total 3 2 2 5 3 2 2 2" xfId="27767"/>
    <cellStyle name="Total 3 2 2 5 3 2 2 2 2" xfId="56946"/>
    <cellStyle name="Total 3 2 2 5 3 2 2 3" xfId="44226"/>
    <cellStyle name="Total 3 2 2 5 3 2 3" xfId="23339"/>
    <cellStyle name="Total 3 2 2 5 3 2 3 2" xfId="52518"/>
    <cellStyle name="Total 3 2 2 5 3 2 4" xfId="35435"/>
    <cellStyle name="Total 3 2 2 5 3 3" xfId="7177"/>
    <cellStyle name="Total 3 2 2 5 3 3 2" xfId="15753"/>
    <cellStyle name="Total 3 2 2 5 3 3 2 2" xfId="28225"/>
    <cellStyle name="Total 3 2 2 5 3 3 2 2 2" xfId="57404"/>
    <cellStyle name="Total 3 2 2 5 3 3 2 3" xfId="44934"/>
    <cellStyle name="Total 3 2 2 5 3 3 3" xfId="23797"/>
    <cellStyle name="Total 3 2 2 5 3 3 3 2" xfId="52976"/>
    <cellStyle name="Total 3 2 2 5 3 3 4" xfId="36360"/>
    <cellStyle name="Total 3 2 2 5 3 4" xfId="12726"/>
    <cellStyle name="Total 3 2 2 5 3 4 2" xfId="26327"/>
    <cellStyle name="Total 3 2 2 5 3 4 2 2" xfId="55506"/>
    <cellStyle name="Total 3 2 2 5 3 4 3" xfId="41907"/>
    <cellStyle name="Total 3 2 2 5 3 5" xfId="21899"/>
    <cellStyle name="Total 3 2 2 5 3 5 2" xfId="51078"/>
    <cellStyle name="Total 3 2 2 5 3 6" xfId="32375"/>
    <cellStyle name="Total 3 2 2 5 4" xfId="4812"/>
    <cellStyle name="Total 3 2 2 5 4 2" xfId="13921"/>
    <cellStyle name="Total 3 2 2 5 4 2 2" xfId="27047"/>
    <cellStyle name="Total 3 2 2 5 4 2 2 2" xfId="56226"/>
    <cellStyle name="Total 3 2 2 5 4 2 3" xfId="43102"/>
    <cellStyle name="Total 3 2 2 5 4 3" xfId="22619"/>
    <cellStyle name="Total 3 2 2 5 4 3 2" xfId="51798"/>
    <cellStyle name="Total 3 2 2 5 4 4" xfId="33995"/>
    <cellStyle name="Total 3 2 2 5 5" xfId="10326"/>
    <cellStyle name="Total 3 2 2 5 5 2" xfId="17987"/>
    <cellStyle name="Total 3 2 2 5 5 2 2" xfId="29478"/>
    <cellStyle name="Total 3 2 2 5 5 2 2 2" xfId="58657"/>
    <cellStyle name="Total 3 2 2 5 5 2 3" xfId="47168"/>
    <cellStyle name="Total 3 2 2 5 5 3" xfId="25050"/>
    <cellStyle name="Total 3 2 2 5 5 3 2" xfId="54229"/>
    <cellStyle name="Total 3 2 2 5 5 4" xfId="39509"/>
    <cellStyle name="Total 3 2 2 5 6" xfId="11454"/>
    <cellStyle name="Total 3 2 2 5 6 2" xfId="25607"/>
    <cellStyle name="Total 3 2 2 5 6 2 2" xfId="54786"/>
    <cellStyle name="Total 3 2 2 5 6 3" xfId="40635"/>
    <cellStyle name="Total 3 2 2 5 7" xfId="21179"/>
    <cellStyle name="Total 3 2 2 5 7 2" xfId="50358"/>
    <cellStyle name="Total 3 2 2 5 8" xfId="30575"/>
    <cellStyle name="Total 3 2 2 6" xfId="1572"/>
    <cellStyle name="Total 3 2 2 6 2" xfId="3372"/>
    <cellStyle name="Total 3 2 2 6 2 2" xfId="6396"/>
    <cellStyle name="Total 3 2 2 6 2 2 2" xfId="15151"/>
    <cellStyle name="Total 3 2 2 6 2 2 2 2" xfId="27839"/>
    <cellStyle name="Total 3 2 2 6 2 2 2 2 2" xfId="57018"/>
    <cellStyle name="Total 3 2 2 6 2 2 2 3" xfId="44332"/>
    <cellStyle name="Total 3 2 2 6 2 2 3" xfId="23411"/>
    <cellStyle name="Total 3 2 2 6 2 2 3 2" xfId="52590"/>
    <cellStyle name="Total 3 2 2 6 2 2 4" xfId="35579"/>
    <cellStyle name="Total 3 2 2 6 2 3" xfId="9951"/>
    <cellStyle name="Total 3 2 2 6 2 3 2" xfId="17729"/>
    <cellStyle name="Total 3 2 2 6 2 3 2 2" xfId="29330"/>
    <cellStyle name="Total 3 2 2 6 2 3 2 2 2" xfId="58509"/>
    <cellStyle name="Total 3 2 2 6 2 3 2 3" xfId="46910"/>
    <cellStyle name="Total 3 2 2 6 2 3 3" xfId="24902"/>
    <cellStyle name="Total 3 2 2 6 2 3 3 2" xfId="54081"/>
    <cellStyle name="Total 3 2 2 6 2 3 4" xfId="39134"/>
    <cellStyle name="Total 3 2 2 6 2 4" xfId="12848"/>
    <cellStyle name="Total 3 2 2 6 2 4 2" xfId="26399"/>
    <cellStyle name="Total 3 2 2 6 2 4 2 2" xfId="55578"/>
    <cellStyle name="Total 3 2 2 6 2 4 3" xfId="42029"/>
    <cellStyle name="Total 3 2 2 6 2 5" xfId="21971"/>
    <cellStyle name="Total 3 2 2 6 2 5 2" xfId="51150"/>
    <cellStyle name="Total 3 2 2 6 2 6" xfId="32555"/>
    <cellStyle name="Total 3 2 2 6 3" xfId="4956"/>
    <cellStyle name="Total 3 2 2 6 3 2" xfId="14030"/>
    <cellStyle name="Total 3 2 2 6 3 2 2" xfId="27119"/>
    <cellStyle name="Total 3 2 2 6 3 2 2 2" xfId="56298"/>
    <cellStyle name="Total 3 2 2 6 3 2 3" xfId="43211"/>
    <cellStyle name="Total 3 2 2 6 3 3" xfId="22691"/>
    <cellStyle name="Total 3 2 2 6 3 3 2" xfId="51870"/>
    <cellStyle name="Total 3 2 2 6 3 4" xfId="34139"/>
    <cellStyle name="Total 3 2 2 6 4" xfId="7723"/>
    <cellStyle name="Total 3 2 2 6 4 2" xfId="16131"/>
    <cellStyle name="Total 3 2 2 6 4 2 2" xfId="28447"/>
    <cellStyle name="Total 3 2 2 6 4 2 2 2" xfId="57626"/>
    <cellStyle name="Total 3 2 2 6 4 2 3" xfId="45312"/>
    <cellStyle name="Total 3 2 2 6 4 3" xfId="24019"/>
    <cellStyle name="Total 3 2 2 6 4 3 2" xfId="53198"/>
    <cellStyle name="Total 3 2 2 6 4 4" xfId="36906"/>
    <cellStyle name="Total 3 2 2 6 5" xfId="11577"/>
    <cellStyle name="Total 3 2 2 6 5 2" xfId="25679"/>
    <cellStyle name="Total 3 2 2 6 5 2 2" xfId="54858"/>
    <cellStyle name="Total 3 2 2 6 5 3" xfId="40758"/>
    <cellStyle name="Total 3 2 2 6 6" xfId="21251"/>
    <cellStyle name="Total 3 2 2 6 6 2" xfId="50430"/>
    <cellStyle name="Total 3 2 2 6 7" xfId="30755"/>
    <cellStyle name="Total 3 2 2 7" xfId="2472"/>
    <cellStyle name="Total 3 2 2 7 2" xfId="5676"/>
    <cellStyle name="Total 3 2 2 7 2 2" xfId="14598"/>
    <cellStyle name="Total 3 2 2 7 2 2 2" xfId="27479"/>
    <cellStyle name="Total 3 2 2 7 2 2 2 2" xfId="56658"/>
    <cellStyle name="Total 3 2 2 7 2 2 3" xfId="43779"/>
    <cellStyle name="Total 3 2 2 7 2 3" xfId="23051"/>
    <cellStyle name="Total 3 2 2 7 2 3 2" xfId="52230"/>
    <cellStyle name="Total 3 2 2 7 2 4" xfId="34859"/>
    <cellStyle name="Total 3 2 2 7 3" xfId="8523"/>
    <cellStyle name="Total 3 2 2 7 3 2" xfId="16697"/>
    <cellStyle name="Total 3 2 2 7 3 2 2" xfId="28754"/>
    <cellStyle name="Total 3 2 2 7 3 2 2 2" xfId="57933"/>
    <cellStyle name="Total 3 2 2 7 3 2 3" xfId="45878"/>
    <cellStyle name="Total 3 2 2 7 3 3" xfId="24326"/>
    <cellStyle name="Total 3 2 2 7 3 3 2" xfId="53505"/>
    <cellStyle name="Total 3 2 2 7 3 4" xfId="37706"/>
    <cellStyle name="Total 3 2 2 7 4" xfId="12214"/>
    <cellStyle name="Total 3 2 2 7 4 2" xfId="26039"/>
    <cellStyle name="Total 3 2 2 7 4 2 2" xfId="55218"/>
    <cellStyle name="Total 3 2 2 7 4 3" xfId="41395"/>
    <cellStyle name="Total 3 2 2 7 5" xfId="21611"/>
    <cellStyle name="Total 3 2 2 7 5 2" xfId="50790"/>
    <cellStyle name="Total 3 2 2 7 6" xfId="31655"/>
    <cellStyle name="Total 3 2 2 8" xfId="4236"/>
    <cellStyle name="Total 3 2 2 8 2" xfId="13479"/>
    <cellStyle name="Total 3 2 2 8 2 2" xfId="26759"/>
    <cellStyle name="Total 3 2 2 8 2 2 2" xfId="55938"/>
    <cellStyle name="Total 3 2 2 8 2 3" xfId="42660"/>
    <cellStyle name="Total 3 2 2 8 3" xfId="22331"/>
    <cellStyle name="Total 3 2 2 8 3 2" xfId="51510"/>
    <cellStyle name="Total 3 2 2 8 4" xfId="33419"/>
    <cellStyle name="Total 3 2 2 9" xfId="9526"/>
    <cellStyle name="Total 3 2 2 9 2" xfId="17422"/>
    <cellStyle name="Total 3 2 2 9 2 2" xfId="29164"/>
    <cellStyle name="Total 3 2 2 9 2 2 2" xfId="58343"/>
    <cellStyle name="Total 3 2 2 9 2 3" xfId="46603"/>
    <cellStyle name="Total 3 2 2 9 3" xfId="24736"/>
    <cellStyle name="Total 3 2 2 9 3 2" xfId="53915"/>
    <cellStyle name="Total 3 2 2 9 4" xfId="38709"/>
    <cellStyle name="Total 3 2 3" xfId="812"/>
    <cellStyle name="Total 3 2 3 2" xfId="1750"/>
    <cellStyle name="Total 3 2 3 2 2" xfId="3550"/>
    <cellStyle name="Total 3 2 3 2 2 2" xfId="6538"/>
    <cellStyle name="Total 3 2 3 2 2 2 2" xfId="15267"/>
    <cellStyle name="Total 3 2 3 2 2 2 2 2" xfId="27891"/>
    <cellStyle name="Total 3 2 3 2 2 2 2 2 2" xfId="57070"/>
    <cellStyle name="Total 3 2 3 2 2 2 2 3" xfId="44448"/>
    <cellStyle name="Total 3 2 3 2 2 2 3" xfId="23463"/>
    <cellStyle name="Total 3 2 3 2 2 2 3 2" xfId="52642"/>
    <cellStyle name="Total 3 2 3 2 2 2 4" xfId="35721"/>
    <cellStyle name="Total 3 2 3 2 2 3" xfId="9691"/>
    <cellStyle name="Total 3 2 3 2 2 3 2" xfId="17539"/>
    <cellStyle name="Total 3 2 3 2 2 3 2 2" xfId="29226"/>
    <cellStyle name="Total 3 2 3 2 2 3 2 2 2" xfId="58405"/>
    <cellStyle name="Total 3 2 3 2 2 3 2 3" xfId="46720"/>
    <cellStyle name="Total 3 2 3 2 2 3 3" xfId="24798"/>
    <cellStyle name="Total 3 2 3 2 2 3 3 2" xfId="53977"/>
    <cellStyle name="Total 3 2 3 2 2 3 4" xfId="38874"/>
    <cellStyle name="Total 3 2 3 2 2 4" xfId="12978"/>
    <cellStyle name="Total 3 2 3 2 2 4 2" xfId="26451"/>
    <cellStyle name="Total 3 2 3 2 2 4 2 2" xfId="55630"/>
    <cellStyle name="Total 3 2 3 2 2 4 3" xfId="42159"/>
    <cellStyle name="Total 3 2 3 2 2 5" xfId="22023"/>
    <cellStyle name="Total 3 2 3 2 2 5 2" xfId="51202"/>
    <cellStyle name="Total 3 2 3 2 2 6" xfId="32733"/>
    <cellStyle name="Total 3 2 3 2 3" xfId="5098"/>
    <cellStyle name="Total 3 2 3 2 3 2" xfId="14143"/>
    <cellStyle name="Total 3 2 3 2 3 2 2" xfId="27171"/>
    <cellStyle name="Total 3 2 3 2 3 2 2 2" xfId="56350"/>
    <cellStyle name="Total 3 2 3 2 3 2 3" xfId="43324"/>
    <cellStyle name="Total 3 2 3 2 3 3" xfId="22743"/>
    <cellStyle name="Total 3 2 3 2 3 3 2" xfId="51922"/>
    <cellStyle name="Total 3 2 3 2 3 4" xfId="34281"/>
    <cellStyle name="Total 3 2 3 2 4" xfId="8606"/>
    <cellStyle name="Total 3 2 3 2 4 2" xfId="16754"/>
    <cellStyle name="Total 3 2 3 2 4 2 2" xfId="28788"/>
    <cellStyle name="Total 3 2 3 2 4 2 2 2" xfId="57967"/>
    <cellStyle name="Total 3 2 3 2 4 2 3" xfId="45935"/>
    <cellStyle name="Total 3 2 3 2 4 3" xfId="24360"/>
    <cellStyle name="Total 3 2 3 2 4 3 2" xfId="53539"/>
    <cellStyle name="Total 3 2 3 2 4 4" xfId="37789"/>
    <cellStyle name="Total 3 2 3 2 5" xfId="11704"/>
    <cellStyle name="Total 3 2 3 2 5 2" xfId="25731"/>
    <cellStyle name="Total 3 2 3 2 5 2 2" xfId="54910"/>
    <cellStyle name="Total 3 2 3 2 5 3" xfId="40885"/>
    <cellStyle name="Total 3 2 3 2 6" xfId="21303"/>
    <cellStyle name="Total 3 2 3 2 6 2" xfId="50482"/>
    <cellStyle name="Total 3 2 3 2 7" xfId="30933"/>
    <cellStyle name="Total 3 2 3 3" xfId="2650"/>
    <cellStyle name="Total 3 2 3 3 2" xfId="5818"/>
    <cellStyle name="Total 3 2 3 3 2 2" xfId="14708"/>
    <cellStyle name="Total 3 2 3 3 2 2 2" xfId="27531"/>
    <cellStyle name="Total 3 2 3 3 2 2 2 2" xfId="56710"/>
    <cellStyle name="Total 3 2 3 3 2 2 3" xfId="43889"/>
    <cellStyle name="Total 3 2 3 3 2 3" xfId="23103"/>
    <cellStyle name="Total 3 2 3 3 2 3 2" xfId="52282"/>
    <cellStyle name="Total 3 2 3 3 2 4" xfId="35001"/>
    <cellStyle name="Total 3 2 3 3 3" xfId="10132"/>
    <cellStyle name="Total 3 2 3 3 3 2" xfId="17848"/>
    <cellStyle name="Total 3 2 3 3 3 2 2" xfId="29400"/>
    <cellStyle name="Total 3 2 3 3 3 2 2 2" xfId="58579"/>
    <cellStyle name="Total 3 2 3 3 3 2 3" xfId="47029"/>
    <cellStyle name="Total 3 2 3 3 3 3" xfId="24972"/>
    <cellStyle name="Total 3 2 3 3 3 3 2" xfId="54151"/>
    <cellStyle name="Total 3 2 3 3 3 4" xfId="39315"/>
    <cellStyle name="Total 3 2 3 3 4" xfId="12340"/>
    <cellStyle name="Total 3 2 3 3 4 2" xfId="26091"/>
    <cellStyle name="Total 3 2 3 3 4 2 2" xfId="55270"/>
    <cellStyle name="Total 3 2 3 3 4 3" xfId="41521"/>
    <cellStyle name="Total 3 2 3 3 5" xfId="21663"/>
    <cellStyle name="Total 3 2 3 3 5 2" xfId="50842"/>
    <cellStyle name="Total 3 2 3 3 6" xfId="31833"/>
    <cellStyle name="Total 3 2 3 4" xfId="4378"/>
    <cellStyle name="Total 3 2 3 4 2" xfId="13584"/>
    <cellStyle name="Total 3 2 3 4 2 2" xfId="26811"/>
    <cellStyle name="Total 3 2 3 4 2 2 2" xfId="55990"/>
    <cellStyle name="Total 3 2 3 4 2 3" xfId="42765"/>
    <cellStyle name="Total 3 2 3 4 3" xfId="22383"/>
    <cellStyle name="Total 3 2 3 4 3 2" xfId="51562"/>
    <cellStyle name="Total 3 2 3 4 4" xfId="33561"/>
    <cellStyle name="Total 3 2 3 5" xfId="8061"/>
    <cellStyle name="Total 3 2 3 5 2" xfId="16368"/>
    <cellStyle name="Total 3 2 3 5 2 2" xfId="28582"/>
    <cellStyle name="Total 3 2 3 5 2 2 2" xfId="57761"/>
    <cellStyle name="Total 3 2 3 5 2 3" xfId="45549"/>
    <cellStyle name="Total 3 2 3 5 3" xfId="24154"/>
    <cellStyle name="Total 3 2 3 5 3 2" xfId="53333"/>
    <cellStyle name="Total 3 2 3 5 4" xfId="37244"/>
    <cellStyle name="Total 3 2 3 6" xfId="11043"/>
    <cellStyle name="Total 3 2 3 6 2" xfId="25347"/>
    <cellStyle name="Total 3 2 3 6 2 2" xfId="54526"/>
    <cellStyle name="Total 3 2 3 6 3" xfId="40224"/>
    <cellStyle name="Total 3 2 3 7" xfId="20919"/>
    <cellStyle name="Total 3 2 3 7 2" xfId="50098"/>
    <cellStyle name="Total 3 2 3 8" xfId="30009"/>
    <cellStyle name="Total 3 2 4" xfId="1004"/>
    <cellStyle name="Total 3 2 4 2" xfId="1914"/>
    <cellStyle name="Total 3 2 4 2 2" xfId="3714"/>
    <cellStyle name="Total 3 2 4 2 2 2" xfId="6666"/>
    <cellStyle name="Total 3 2 4 2 2 2 2" xfId="15367"/>
    <cellStyle name="Total 3 2 4 2 2 2 2 2" xfId="27965"/>
    <cellStyle name="Total 3 2 4 2 2 2 2 2 2" xfId="57144"/>
    <cellStyle name="Total 3 2 4 2 2 2 2 3" xfId="44548"/>
    <cellStyle name="Total 3 2 4 2 2 2 3" xfId="23537"/>
    <cellStyle name="Total 3 2 4 2 2 2 3 2" xfId="52716"/>
    <cellStyle name="Total 3 2 4 2 2 2 4" xfId="35849"/>
    <cellStyle name="Total 3 2 4 2 2 3" xfId="9570"/>
    <cellStyle name="Total 3 2 4 2 2 3 2" xfId="17452"/>
    <cellStyle name="Total 3 2 4 2 2 3 2 2" xfId="29178"/>
    <cellStyle name="Total 3 2 4 2 2 3 2 2 2" xfId="58357"/>
    <cellStyle name="Total 3 2 4 2 2 3 2 3" xfId="46633"/>
    <cellStyle name="Total 3 2 4 2 2 3 3" xfId="24750"/>
    <cellStyle name="Total 3 2 4 2 2 3 3 2" xfId="53929"/>
    <cellStyle name="Total 3 2 4 2 2 3 4" xfId="38753"/>
    <cellStyle name="Total 3 2 4 2 2 4" xfId="13098"/>
    <cellStyle name="Total 3 2 4 2 2 4 2" xfId="26525"/>
    <cellStyle name="Total 3 2 4 2 2 4 2 2" xfId="55704"/>
    <cellStyle name="Total 3 2 4 2 2 4 3" xfId="42279"/>
    <cellStyle name="Total 3 2 4 2 2 5" xfId="22097"/>
    <cellStyle name="Total 3 2 4 2 2 5 2" xfId="51276"/>
    <cellStyle name="Total 3 2 4 2 2 6" xfId="32897"/>
    <cellStyle name="Total 3 2 4 2 3" xfId="5226"/>
    <cellStyle name="Total 3 2 4 2 3 2" xfId="14245"/>
    <cellStyle name="Total 3 2 4 2 3 2 2" xfId="27245"/>
    <cellStyle name="Total 3 2 4 2 3 2 2 2" xfId="56424"/>
    <cellStyle name="Total 3 2 4 2 3 2 3" xfId="43426"/>
    <cellStyle name="Total 3 2 4 2 3 3" xfId="22817"/>
    <cellStyle name="Total 3 2 4 2 3 3 2" xfId="51996"/>
    <cellStyle name="Total 3 2 4 2 3 4" xfId="34409"/>
    <cellStyle name="Total 3 2 4 2 4" xfId="7309"/>
    <cellStyle name="Total 3 2 4 2 4 2" xfId="15847"/>
    <cellStyle name="Total 3 2 4 2 4 2 2" xfId="28285"/>
    <cellStyle name="Total 3 2 4 2 4 2 2 2" xfId="57464"/>
    <cellStyle name="Total 3 2 4 2 4 2 3" xfId="45028"/>
    <cellStyle name="Total 3 2 4 2 4 3" xfId="23857"/>
    <cellStyle name="Total 3 2 4 2 4 3 2" xfId="53036"/>
    <cellStyle name="Total 3 2 4 2 4 4" xfId="36492"/>
    <cellStyle name="Total 3 2 4 2 5" xfId="11822"/>
    <cellStyle name="Total 3 2 4 2 5 2" xfId="25805"/>
    <cellStyle name="Total 3 2 4 2 5 2 2" xfId="54984"/>
    <cellStyle name="Total 3 2 4 2 5 3" xfId="41003"/>
    <cellStyle name="Total 3 2 4 2 6" xfId="21377"/>
    <cellStyle name="Total 3 2 4 2 6 2" xfId="50556"/>
    <cellStyle name="Total 3 2 4 2 7" xfId="31097"/>
    <cellStyle name="Total 3 2 4 3" xfId="2814"/>
    <cellStyle name="Total 3 2 4 3 2" xfId="5946"/>
    <cellStyle name="Total 3 2 4 3 2 2" xfId="14809"/>
    <cellStyle name="Total 3 2 4 3 2 2 2" xfId="27605"/>
    <cellStyle name="Total 3 2 4 3 2 2 2 2" xfId="56784"/>
    <cellStyle name="Total 3 2 4 3 2 2 3" xfId="43990"/>
    <cellStyle name="Total 3 2 4 3 2 3" xfId="23177"/>
    <cellStyle name="Total 3 2 4 3 2 3 2" xfId="52356"/>
    <cellStyle name="Total 3 2 4 3 2 4" xfId="35129"/>
    <cellStyle name="Total 3 2 4 3 3" xfId="7382"/>
    <cellStyle name="Total 3 2 4 3 3 2" xfId="15896"/>
    <cellStyle name="Total 3 2 4 3 3 2 2" xfId="28316"/>
    <cellStyle name="Total 3 2 4 3 3 2 2 2" xfId="57495"/>
    <cellStyle name="Total 3 2 4 3 3 2 3" xfId="45077"/>
    <cellStyle name="Total 3 2 4 3 3 3" xfId="23888"/>
    <cellStyle name="Total 3 2 4 3 3 3 2" xfId="53067"/>
    <cellStyle name="Total 3 2 4 3 3 4" xfId="36565"/>
    <cellStyle name="Total 3 2 4 3 4" xfId="12459"/>
    <cellStyle name="Total 3 2 4 3 4 2" xfId="26165"/>
    <cellStyle name="Total 3 2 4 3 4 2 2" xfId="55344"/>
    <cellStyle name="Total 3 2 4 3 4 3" xfId="41640"/>
    <cellStyle name="Total 3 2 4 3 5" xfId="21737"/>
    <cellStyle name="Total 3 2 4 3 5 2" xfId="50916"/>
    <cellStyle name="Total 3 2 4 3 6" xfId="31997"/>
    <cellStyle name="Total 3 2 4 4" xfId="4506"/>
    <cellStyle name="Total 3 2 4 4 2" xfId="13688"/>
    <cellStyle name="Total 3 2 4 4 2 2" xfId="26885"/>
    <cellStyle name="Total 3 2 4 4 2 2 2" xfId="56064"/>
    <cellStyle name="Total 3 2 4 4 2 3" xfId="42869"/>
    <cellStyle name="Total 3 2 4 4 3" xfId="22457"/>
    <cellStyle name="Total 3 2 4 4 3 2" xfId="51636"/>
    <cellStyle name="Total 3 2 4 4 4" xfId="33689"/>
    <cellStyle name="Total 3 2 4 5" xfId="9759"/>
    <cellStyle name="Total 3 2 4 5 2" xfId="17590"/>
    <cellStyle name="Total 3 2 4 5 2 2" xfId="29253"/>
    <cellStyle name="Total 3 2 4 5 2 2 2" xfId="58432"/>
    <cellStyle name="Total 3 2 4 5 2 3" xfId="46771"/>
    <cellStyle name="Total 3 2 4 5 3" xfId="24825"/>
    <cellStyle name="Total 3 2 4 5 3 2" xfId="54004"/>
    <cellStyle name="Total 3 2 4 5 4" xfId="38942"/>
    <cellStyle name="Total 3 2 4 6" xfId="11185"/>
    <cellStyle name="Total 3 2 4 6 2" xfId="25442"/>
    <cellStyle name="Total 3 2 4 6 2 2" xfId="54621"/>
    <cellStyle name="Total 3 2 4 6 3" xfId="40366"/>
    <cellStyle name="Total 3 2 4 7" xfId="21014"/>
    <cellStyle name="Total 3 2 4 7 2" xfId="50193"/>
    <cellStyle name="Total 3 2 4 8" xfId="30194"/>
    <cellStyle name="Total 3 2 5" xfId="1154"/>
    <cellStyle name="Total 3 2 5 2" xfId="2058"/>
    <cellStyle name="Total 3 2 5 2 2" xfId="3858"/>
    <cellStyle name="Total 3 2 5 2 2 2" xfId="6783"/>
    <cellStyle name="Total 3 2 5 2 2 2 2" xfId="15459"/>
    <cellStyle name="Total 3 2 5 2 2 2 2 2" xfId="28028"/>
    <cellStyle name="Total 3 2 5 2 2 2 2 2 2" xfId="57207"/>
    <cellStyle name="Total 3 2 5 2 2 2 2 3" xfId="44640"/>
    <cellStyle name="Total 3 2 5 2 2 2 3" xfId="23600"/>
    <cellStyle name="Total 3 2 5 2 2 2 3 2" xfId="52779"/>
    <cellStyle name="Total 3 2 5 2 2 2 4" xfId="35966"/>
    <cellStyle name="Total 3 2 5 2 2 3" xfId="7554"/>
    <cellStyle name="Total 3 2 5 2 2 3 2" xfId="16016"/>
    <cellStyle name="Total 3 2 5 2 2 3 2 2" xfId="28386"/>
    <cellStyle name="Total 3 2 5 2 2 3 2 2 2" xfId="57565"/>
    <cellStyle name="Total 3 2 5 2 2 3 2 3" xfId="45197"/>
    <cellStyle name="Total 3 2 5 2 2 3 3" xfId="23958"/>
    <cellStyle name="Total 3 2 5 2 2 3 3 2" xfId="53137"/>
    <cellStyle name="Total 3 2 5 2 2 3 4" xfId="36737"/>
    <cellStyle name="Total 3 2 5 2 2 4" xfId="13198"/>
    <cellStyle name="Total 3 2 5 2 2 4 2" xfId="26588"/>
    <cellStyle name="Total 3 2 5 2 2 4 2 2" xfId="55767"/>
    <cellStyle name="Total 3 2 5 2 2 4 3" xfId="42379"/>
    <cellStyle name="Total 3 2 5 2 2 5" xfId="22160"/>
    <cellStyle name="Total 3 2 5 2 2 5 2" xfId="51339"/>
    <cellStyle name="Total 3 2 5 2 2 6" xfId="33041"/>
    <cellStyle name="Total 3 2 5 2 3" xfId="5343"/>
    <cellStyle name="Total 3 2 5 2 3 2" xfId="14338"/>
    <cellStyle name="Total 3 2 5 2 3 2 2" xfId="27308"/>
    <cellStyle name="Total 3 2 5 2 3 2 2 2" xfId="56487"/>
    <cellStyle name="Total 3 2 5 2 3 2 3" xfId="43519"/>
    <cellStyle name="Total 3 2 5 2 3 3" xfId="22880"/>
    <cellStyle name="Total 3 2 5 2 3 3 2" xfId="52059"/>
    <cellStyle name="Total 3 2 5 2 3 4" xfId="34526"/>
    <cellStyle name="Total 3 2 5 2 4" xfId="8979"/>
    <cellStyle name="Total 3 2 5 2 4 2" xfId="17036"/>
    <cellStyle name="Total 3 2 5 2 4 2 2" xfId="28942"/>
    <cellStyle name="Total 3 2 5 2 4 2 2 2" xfId="58121"/>
    <cellStyle name="Total 3 2 5 2 4 2 3" xfId="46217"/>
    <cellStyle name="Total 3 2 5 2 4 3" xfId="24514"/>
    <cellStyle name="Total 3 2 5 2 4 3 2" xfId="53693"/>
    <cellStyle name="Total 3 2 5 2 4 4" xfId="38162"/>
    <cellStyle name="Total 3 2 5 2 5" xfId="11923"/>
    <cellStyle name="Total 3 2 5 2 5 2" xfId="25868"/>
    <cellStyle name="Total 3 2 5 2 5 2 2" xfId="55047"/>
    <cellStyle name="Total 3 2 5 2 5 3" xfId="41104"/>
    <cellStyle name="Total 3 2 5 2 6" xfId="21440"/>
    <cellStyle name="Total 3 2 5 2 6 2" xfId="50619"/>
    <cellStyle name="Total 3 2 5 2 7" xfId="31241"/>
    <cellStyle name="Total 3 2 5 3" xfId="2958"/>
    <cellStyle name="Total 3 2 5 3 2" xfId="6063"/>
    <cellStyle name="Total 3 2 5 3 2 2" xfId="14900"/>
    <cellStyle name="Total 3 2 5 3 2 2 2" xfId="27668"/>
    <cellStyle name="Total 3 2 5 3 2 2 2 2" xfId="56847"/>
    <cellStyle name="Total 3 2 5 3 2 2 3" xfId="44081"/>
    <cellStyle name="Total 3 2 5 3 2 3" xfId="23240"/>
    <cellStyle name="Total 3 2 5 3 2 3 2" xfId="52419"/>
    <cellStyle name="Total 3 2 5 3 2 4" xfId="35246"/>
    <cellStyle name="Total 3 2 5 3 3" xfId="10506"/>
    <cellStyle name="Total 3 2 5 3 3 2" xfId="18111"/>
    <cellStyle name="Total 3 2 5 3 3 2 2" xfId="29545"/>
    <cellStyle name="Total 3 2 5 3 3 2 2 2" xfId="58724"/>
    <cellStyle name="Total 3 2 5 3 3 2 3" xfId="47292"/>
    <cellStyle name="Total 3 2 5 3 3 3" xfId="25117"/>
    <cellStyle name="Total 3 2 5 3 3 3 2" xfId="54296"/>
    <cellStyle name="Total 3 2 5 3 3 4" xfId="39689"/>
    <cellStyle name="Total 3 2 5 3 4" xfId="12562"/>
    <cellStyle name="Total 3 2 5 3 4 2" xfId="26228"/>
    <cellStyle name="Total 3 2 5 3 4 2 2" xfId="55407"/>
    <cellStyle name="Total 3 2 5 3 4 3" xfId="41743"/>
    <cellStyle name="Total 3 2 5 3 5" xfId="21800"/>
    <cellStyle name="Total 3 2 5 3 5 2" xfId="50979"/>
    <cellStyle name="Total 3 2 5 3 6" xfId="32141"/>
    <cellStyle name="Total 3 2 5 4" xfId="4623"/>
    <cellStyle name="Total 3 2 5 4 2" xfId="13781"/>
    <cellStyle name="Total 3 2 5 4 2 2" xfId="26948"/>
    <cellStyle name="Total 3 2 5 4 2 2 2" xfId="56127"/>
    <cellStyle name="Total 3 2 5 4 2 3" xfId="42962"/>
    <cellStyle name="Total 3 2 5 4 3" xfId="22520"/>
    <cellStyle name="Total 3 2 5 4 3 2" xfId="51699"/>
    <cellStyle name="Total 3 2 5 4 4" xfId="33806"/>
    <cellStyle name="Total 3 2 5 5" xfId="10211"/>
    <cellStyle name="Total 3 2 5 5 2" xfId="17907"/>
    <cellStyle name="Total 3 2 5 5 2 2" xfId="29433"/>
    <cellStyle name="Total 3 2 5 5 2 2 2" xfId="58612"/>
    <cellStyle name="Total 3 2 5 5 2 3" xfId="47088"/>
    <cellStyle name="Total 3 2 5 5 3" xfId="25005"/>
    <cellStyle name="Total 3 2 5 5 3 2" xfId="54184"/>
    <cellStyle name="Total 3 2 5 5 4" xfId="39394"/>
    <cellStyle name="Total 3 2 5 6" xfId="11291"/>
    <cellStyle name="Total 3 2 5 6 2" xfId="25508"/>
    <cellStyle name="Total 3 2 5 6 2 2" xfId="54687"/>
    <cellStyle name="Total 3 2 5 6 3" xfId="40472"/>
    <cellStyle name="Total 3 2 5 7" xfId="21080"/>
    <cellStyle name="Total 3 2 5 7 2" xfId="50259"/>
    <cellStyle name="Total 3 2 5 8" xfId="30341"/>
    <cellStyle name="Total 3 2 6" xfId="1300"/>
    <cellStyle name="Total 3 2 6 2" xfId="2202"/>
    <cellStyle name="Total 3 2 6 2 2" xfId="4002"/>
    <cellStyle name="Total 3 2 6 2 2 2" xfId="6900"/>
    <cellStyle name="Total 3 2 6 2 2 2 2" xfId="15554"/>
    <cellStyle name="Total 3 2 6 2 2 2 2 2" xfId="28091"/>
    <cellStyle name="Total 3 2 6 2 2 2 2 2 2" xfId="57270"/>
    <cellStyle name="Total 3 2 6 2 2 2 2 3" xfId="44735"/>
    <cellStyle name="Total 3 2 6 2 2 2 3" xfId="23663"/>
    <cellStyle name="Total 3 2 6 2 2 2 3 2" xfId="52842"/>
    <cellStyle name="Total 3 2 6 2 2 2 4" xfId="36083"/>
    <cellStyle name="Total 3 2 6 2 2 3" xfId="7078"/>
    <cellStyle name="Total 3 2 6 2 2 3 2" xfId="15678"/>
    <cellStyle name="Total 3 2 6 2 2 3 2 2" xfId="28177"/>
    <cellStyle name="Total 3 2 6 2 2 3 2 2 2" xfId="57356"/>
    <cellStyle name="Total 3 2 6 2 2 3 2 3" xfId="44859"/>
    <cellStyle name="Total 3 2 6 2 2 3 3" xfId="23749"/>
    <cellStyle name="Total 3 2 6 2 2 3 3 2" xfId="52928"/>
    <cellStyle name="Total 3 2 6 2 2 3 4" xfId="36261"/>
    <cellStyle name="Total 3 2 6 2 2 4" xfId="13303"/>
    <cellStyle name="Total 3 2 6 2 2 4 2" xfId="26651"/>
    <cellStyle name="Total 3 2 6 2 2 4 2 2" xfId="55830"/>
    <cellStyle name="Total 3 2 6 2 2 4 3" xfId="42484"/>
    <cellStyle name="Total 3 2 6 2 2 5" xfId="22223"/>
    <cellStyle name="Total 3 2 6 2 2 5 2" xfId="51402"/>
    <cellStyle name="Total 3 2 6 2 2 6" xfId="33185"/>
    <cellStyle name="Total 3 2 6 2 3" xfId="5460"/>
    <cellStyle name="Total 3 2 6 2 3 2" xfId="14434"/>
    <cellStyle name="Total 3 2 6 2 3 2 2" xfId="27371"/>
    <cellStyle name="Total 3 2 6 2 3 2 2 2" xfId="56550"/>
    <cellStyle name="Total 3 2 6 2 3 2 3" xfId="43615"/>
    <cellStyle name="Total 3 2 6 2 3 3" xfId="22943"/>
    <cellStyle name="Total 3 2 6 2 3 3 2" xfId="52122"/>
    <cellStyle name="Total 3 2 6 2 3 4" xfId="34643"/>
    <cellStyle name="Total 3 2 6 2 4" xfId="10316"/>
    <cellStyle name="Total 3 2 6 2 4 2" xfId="17981"/>
    <cellStyle name="Total 3 2 6 2 4 2 2" xfId="29475"/>
    <cellStyle name="Total 3 2 6 2 4 2 2 2" xfId="58654"/>
    <cellStyle name="Total 3 2 6 2 4 2 3" xfId="47162"/>
    <cellStyle name="Total 3 2 6 2 4 3" xfId="25047"/>
    <cellStyle name="Total 3 2 6 2 4 3 2" xfId="54226"/>
    <cellStyle name="Total 3 2 6 2 4 4" xfId="39499"/>
    <cellStyle name="Total 3 2 6 2 5" xfId="12027"/>
    <cellStyle name="Total 3 2 6 2 5 2" xfId="25931"/>
    <cellStyle name="Total 3 2 6 2 5 2 2" xfId="55110"/>
    <cellStyle name="Total 3 2 6 2 5 3" xfId="41208"/>
    <cellStyle name="Total 3 2 6 2 6" xfId="21503"/>
    <cellStyle name="Total 3 2 6 2 6 2" xfId="50682"/>
    <cellStyle name="Total 3 2 6 2 7" xfId="31385"/>
    <cellStyle name="Total 3 2 6 3" xfId="3102"/>
    <cellStyle name="Total 3 2 6 3 2" xfId="6180"/>
    <cellStyle name="Total 3 2 6 3 2 2" xfId="14995"/>
    <cellStyle name="Total 3 2 6 3 2 2 2" xfId="27731"/>
    <cellStyle name="Total 3 2 6 3 2 2 2 2" xfId="56910"/>
    <cellStyle name="Total 3 2 6 3 2 2 3" xfId="44176"/>
    <cellStyle name="Total 3 2 6 3 2 3" xfId="23303"/>
    <cellStyle name="Total 3 2 6 3 2 3 2" xfId="52482"/>
    <cellStyle name="Total 3 2 6 3 2 4" xfId="35363"/>
    <cellStyle name="Total 3 2 6 3 3" xfId="9539"/>
    <cellStyle name="Total 3 2 6 3 3 2" xfId="17432"/>
    <cellStyle name="Total 3 2 6 3 3 2 2" xfId="29168"/>
    <cellStyle name="Total 3 2 6 3 3 2 2 2" xfId="58347"/>
    <cellStyle name="Total 3 2 6 3 3 2 3" xfId="46613"/>
    <cellStyle name="Total 3 2 6 3 3 3" xfId="24740"/>
    <cellStyle name="Total 3 2 6 3 3 3 2" xfId="53919"/>
    <cellStyle name="Total 3 2 6 3 3 4" xfId="38722"/>
    <cellStyle name="Total 3 2 6 3 4" xfId="12665"/>
    <cellStyle name="Total 3 2 6 3 4 2" xfId="26291"/>
    <cellStyle name="Total 3 2 6 3 4 2 2" xfId="55470"/>
    <cellStyle name="Total 3 2 6 3 4 3" xfId="41846"/>
    <cellStyle name="Total 3 2 6 3 5" xfId="21863"/>
    <cellStyle name="Total 3 2 6 3 5 2" xfId="51042"/>
    <cellStyle name="Total 3 2 6 3 6" xfId="32285"/>
    <cellStyle name="Total 3 2 6 4" xfId="4740"/>
    <cellStyle name="Total 3 2 6 4 2" xfId="13872"/>
    <cellStyle name="Total 3 2 6 4 2 2" xfId="27011"/>
    <cellStyle name="Total 3 2 6 4 2 2 2" xfId="56190"/>
    <cellStyle name="Total 3 2 6 4 2 3" xfId="43053"/>
    <cellStyle name="Total 3 2 6 4 3" xfId="22583"/>
    <cellStyle name="Total 3 2 6 4 3 2" xfId="51762"/>
    <cellStyle name="Total 3 2 6 4 4" xfId="33923"/>
    <cellStyle name="Total 3 2 6 5" xfId="7764"/>
    <cellStyle name="Total 3 2 6 5 2" xfId="16160"/>
    <cellStyle name="Total 3 2 6 5 2 2" xfId="28465"/>
    <cellStyle name="Total 3 2 6 5 2 2 2" xfId="57644"/>
    <cellStyle name="Total 3 2 6 5 2 3" xfId="45341"/>
    <cellStyle name="Total 3 2 6 5 3" xfId="24037"/>
    <cellStyle name="Total 3 2 6 5 3 2" xfId="53216"/>
    <cellStyle name="Total 3 2 6 5 4" xfId="36947"/>
    <cellStyle name="Total 3 2 6 6" xfId="11397"/>
    <cellStyle name="Total 3 2 6 6 2" xfId="25571"/>
    <cellStyle name="Total 3 2 6 6 2 2" xfId="54750"/>
    <cellStyle name="Total 3 2 6 6 3" xfId="40578"/>
    <cellStyle name="Total 3 2 6 7" xfId="21143"/>
    <cellStyle name="Total 3 2 6 7 2" xfId="50322"/>
    <cellStyle name="Total 3 2 6 8" xfId="30485"/>
    <cellStyle name="Total 3 2 7" xfId="1482"/>
    <cellStyle name="Total 3 2 7 2" xfId="3282"/>
    <cellStyle name="Total 3 2 7 2 2" xfId="6324"/>
    <cellStyle name="Total 3 2 7 2 2 2" xfId="15098"/>
    <cellStyle name="Total 3 2 7 2 2 2 2" xfId="27803"/>
    <cellStyle name="Total 3 2 7 2 2 2 2 2" xfId="56982"/>
    <cellStyle name="Total 3 2 7 2 2 2 3" xfId="44279"/>
    <cellStyle name="Total 3 2 7 2 2 3" xfId="23375"/>
    <cellStyle name="Total 3 2 7 2 2 3 2" xfId="52554"/>
    <cellStyle name="Total 3 2 7 2 2 4" xfId="35507"/>
    <cellStyle name="Total 3 2 7 2 3" xfId="10125"/>
    <cellStyle name="Total 3 2 7 2 3 2" xfId="17843"/>
    <cellStyle name="Total 3 2 7 2 3 2 2" xfId="29396"/>
    <cellStyle name="Total 3 2 7 2 3 2 2 2" xfId="58575"/>
    <cellStyle name="Total 3 2 7 2 3 2 3" xfId="47024"/>
    <cellStyle name="Total 3 2 7 2 3 3" xfId="24968"/>
    <cellStyle name="Total 3 2 7 2 3 3 2" xfId="54147"/>
    <cellStyle name="Total 3 2 7 2 3 4" xfId="39308"/>
    <cellStyle name="Total 3 2 7 2 4" xfId="12789"/>
    <cellStyle name="Total 3 2 7 2 4 2" xfId="26363"/>
    <cellStyle name="Total 3 2 7 2 4 2 2" xfId="55542"/>
    <cellStyle name="Total 3 2 7 2 4 3" xfId="41970"/>
    <cellStyle name="Total 3 2 7 2 5" xfId="21935"/>
    <cellStyle name="Total 3 2 7 2 5 2" xfId="51114"/>
    <cellStyle name="Total 3 2 7 2 6" xfId="32465"/>
    <cellStyle name="Total 3 2 7 3" xfId="4884"/>
    <cellStyle name="Total 3 2 7 3 2" xfId="13974"/>
    <cellStyle name="Total 3 2 7 3 2 2" xfId="27083"/>
    <cellStyle name="Total 3 2 7 3 2 2 2" xfId="56262"/>
    <cellStyle name="Total 3 2 7 3 2 3" xfId="43155"/>
    <cellStyle name="Total 3 2 7 3 3" xfId="22655"/>
    <cellStyle name="Total 3 2 7 3 3 2" xfId="51834"/>
    <cellStyle name="Total 3 2 7 3 4" xfId="34067"/>
    <cellStyle name="Total 3 2 7 4" xfId="9905"/>
    <cellStyle name="Total 3 2 7 4 2" xfId="17694"/>
    <cellStyle name="Total 3 2 7 4 2 2" xfId="29310"/>
    <cellStyle name="Total 3 2 7 4 2 2 2" xfId="58489"/>
    <cellStyle name="Total 3 2 7 4 2 3" xfId="46875"/>
    <cellStyle name="Total 3 2 7 4 3" xfId="24882"/>
    <cellStyle name="Total 3 2 7 4 3 2" xfId="54061"/>
    <cellStyle name="Total 3 2 7 4 4" xfId="39088"/>
    <cellStyle name="Total 3 2 7 5" xfId="11519"/>
    <cellStyle name="Total 3 2 7 5 2" xfId="25643"/>
    <cellStyle name="Total 3 2 7 5 2 2" xfId="54822"/>
    <cellStyle name="Total 3 2 7 5 3" xfId="40700"/>
    <cellStyle name="Total 3 2 7 6" xfId="21215"/>
    <cellStyle name="Total 3 2 7 6 2" xfId="50394"/>
    <cellStyle name="Total 3 2 7 7" xfId="30665"/>
    <cellStyle name="Total 3 2 8" xfId="2382"/>
    <cellStyle name="Total 3 2 8 2" xfId="5604"/>
    <cellStyle name="Total 3 2 8 2 2" xfId="14539"/>
    <cellStyle name="Total 3 2 8 2 2 2" xfId="27443"/>
    <cellStyle name="Total 3 2 8 2 2 2 2" xfId="56622"/>
    <cellStyle name="Total 3 2 8 2 2 3" xfId="43720"/>
    <cellStyle name="Total 3 2 8 2 3" xfId="23015"/>
    <cellStyle name="Total 3 2 8 2 3 2" xfId="52194"/>
    <cellStyle name="Total 3 2 8 2 4" xfId="34787"/>
    <cellStyle name="Total 3 2 8 3" xfId="7497"/>
    <cellStyle name="Total 3 2 8 3 2" xfId="15974"/>
    <cellStyle name="Total 3 2 8 3 2 2" xfId="28365"/>
    <cellStyle name="Total 3 2 8 3 2 2 2" xfId="57544"/>
    <cellStyle name="Total 3 2 8 3 2 3" xfId="45155"/>
    <cellStyle name="Total 3 2 8 3 3" xfId="23937"/>
    <cellStyle name="Total 3 2 8 3 3 2" xfId="53116"/>
    <cellStyle name="Total 3 2 8 3 4" xfId="36680"/>
    <cellStyle name="Total 3 2 8 4" xfId="12148"/>
    <cellStyle name="Total 3 2 8 4 2" xfId="26003"/>
    <cellStyle name="Total 3 2 8 4 2 2" xfId="55182"/>
    <cellStyle name="Total 3 2 8 4 3" xfId="41329"/>
    <cellStyle name="Total 3 2 8 5" xfId="21575"/>
    <cellStyle name="Total 3 2 8 5 2" xfId="50754"/>
    <cellStyle name="Total 3 2 8 6" xfId="31565"/>
    <cellStyle name="Total 3 2 9" xfId="4164"/>
    <cellStyle name="Total 3 2 9 2" xfId="13417"/>
    <cellStyle name="Total 3 2 9 2 2" xfId="26723"/>
    <cellStyle name="Total 3 2 9 2 2 2" xfId="55902"/>
    <cellStyle name="Total 3 2 9 2 3" xfId="42598"/>
    <cellStyle name="Total 3 2 9 3" xfId="22295"/>
    <cellStyle name="Total 3 2 9 3 2" xfId="51474"/>
    <cellStyle name="Total 3 2 9 4" xfId="33347"/>
    <cellStyle name="Total 3 3" xfId="504"/>
    <cellStyle name="Total 3 3 10" xfId="10802"/>
    <cellStyle name="Total 3 3 10 2" xfId="25201"/>
    <cellStyle name="Total 3 3 10 2 2" xfId="54380"/>
    <cellStyle name="Total 3 3 10 3" xfId="39983"/>
    <cellStyle name="Total 3 3 11" xfId="20773"/>
    <cellStyle name="Total 3 3 11 2" xfId="49952"/>
    <cellStyle name="Total 3 3 12" xfId="29710"/>
    <cellStyle name="Total 3 3 2" xfId="857"/>
    <cellStyle name="Total 3 3 2 2" xfId="1795"/>
    <cellStyle name="Total 3 3 2 2 2" xfId="3595"/>
    <cellStyle name="Total 3 3 2 2 2 2" xfId="6574"/>
    <cellStyle name="Total 3 3 2 2 2 2 2" xfId="15291"/>
    <cellStyle name="Total 3 3 2 2 2 2 2 2" xfId="27909"/>
    <cellStyle name="Total 3 3 2 2 2 2 2 2 2" xfId="57088"/>
    <cellStyle name="Total 3 3 2 2 2 2 2 3" xfId="44472"/>
    <cellStyle name="Total 3 3 2 2 2 2 3" xfId="23481"/>
    <cellStyle name="Total 3 3 2 2 2 2 3 2" xfId="52660"/>
    <cellStyle name="Total 3 3 2 2 2 2 4" xfId="35757"/>
    <cellStyle name="Total 3 3 2 2 2 3" xfId="8843"/>
    <cellStyle name="Total 3 3 2 2 2 3 2" xfId="16933"/>
    <cellStyle name="Total 3 3 2 2 2 3 2 2" xfId="28889"/>
    <cellStyle name="Total 3 3 2 2 2 3 2 2 2" xfId="58068"/>
    <cellStyle name="Total 3 3 2 2 2 3 2 3" xfId="46114"/>
    <cellStyle name="Total 3 3 2 2 2 3 3" xfId="24461"/>
    <cellStyle name="Total 3 3 2 2 2 3 3 2" xfId="53640"/>
    <cellStyle name="Total 3 3 2 2 2 3 4" xfId="38026"/>
    <cellStyle name="Total 3 3 2 2 2 4" xfId="13007"/>
    <cellStyle name="Total 3 3 2 2 2 4 2" xfId="26469"/>
    <cellStyle name="Total 3 3 2 2 2 4 2 2" xfId="55648"/>
    <cellStyle name="Total 3 3 2 2 2 4 3" xfId="42188"/>
    <cellStyle name="Total 3 3 2 2 2 5" xfId="22041"/>
    <cellStyle name="Total 3 3 2 2 2 5 2" xfId="51220"/>
    <cellStyle name="Total 3 3 2 2 2 6" xfId="32778"/>
    <cellStyle name="Total 3 3 2 2 3" xfId="5134"/>
    <cellStyle name="Total 3 3 2 2 3 2" xfId="14168"/>
    <cellStyle name="Total 3 3 2 2 3 2 2" xfId="27189"/>
    <cellStyle name="Total 3 3 2 2 3 2 2 2" xfId="56368"/>
    <cellStyle name="Total 3 3 2 2 3 2 3" xfId="43349"/>
    <cellStyle name="Total 3 3 2 2 3 3" xfId="22761"/>
    <cellStyle name="Total 3 3 2 2 3 3 2" xfId="51940"/>
    <cellStyle name="Total 3 3 2 2 3 4" xfId="34317"/>
    <cellStyle name="Total 3 3 2 2 4" xfId="9825"/>
    <cellStyle name="Total 3 3 2 2 4 2" xfId="17641"/>
    <cellStyle name="Total 3 3 2 2 4 2 2" xfId="29282"/>
    <cellStyle name="Total 3 3 2 2 4 2 2 2" xfId="58461"/>
    <cellStyle name="Total 3 3 2 2 4 2 3" xfId="46822"/>
    <cellStyle name="Total 3 3 2 2 4 3" xfId="24854"/>
    <cellStyle name="Total 3 3 2 2 4 3 2" xfId="54033"/>
    <cellStyle name="Total 3 3 2 2 4 4" xfId="39008"/>
    <cellStyle name="Total 3 3 2 2 5" xfId="11733"/>
    <cellStyle name="Total 3 3 2 2 5 2" xfId="25749"/>
    <cellStyle name="Total 3 3 2 2 5 2 2" xfId="54928"/>
    <cellStyle name="Total 3 3 2 2 5 3" xfId="40914"/>
    <cellStyle name="Total 3 3 2 2 6" xfId="21321"/>
    <cellStyle name="Total 3 3 2 2 6 2" xfId="50500"/>
    <cellStyle name="Total 3 3 2 2 7" xfId="30978"/>
    <cellStyle name="Total 3 3 2 3" xfId="2695"/>
    <cellStyle name="Total 3 3 2 3 2" xfId="5854"/>
    <cellStyle name="Total 3 3 2 3 2 2" xfId="14735"/>
    <cellStyle name="Total 3 3 2 3 2 2 2" xfId="27549"/>
    <cellStyle name="Total 3 3 2 3 2 2 2 2" xfId="56728"/>
    <cellStyle name="Total 3 3 2 3 2 2 3" xfId="43916"/>
    <cellStyle name="Total 3 3 2 3 2 3" xfId="23121"/>
    <cellStyle name="Total 3 3 2 3 2 3 2" xfId="52300"/>
    <cellStyle name="Total 3 3 2 3 2 4" xfId="35037"/>
    <cellStyle name="Total 3 3 2 3 3" xfId="9050"/>
    <cellStyle name="Total 3 3 2 3 3 2" xfId="17088"/>
    <cellStyle name="Total 3 3 2 3 3 2 2" xfId="28975"/>
    <cellStyle name="Total 3 3 2 3 3 2 2 2" xfId="58154"/>
    <cellStyle name="Total 3 3 2 3 3 2 3" xfId="46269"/>
    <cellStyle name="Total 3 3 2 3 3 3" xfId="24547"/>
    <cellStyle name="Total 3 3 2 3 3 3 2" xfId="53726"/>
    <cellStyle name="Total 3 3 2 3 3 4" xfId="38233"/>
    <cellStyle name="Total 3 3 2 3 4" xfId="12370"/>
    <cellStyle name="Total 3 3 2 3 4 2" xfId="26109"/>
    <cellStyle name="Total 3 3 2 3 4 2 2" xfId="55288"/>
    <cellStyle name="Total 3 3 2 3 4 3" xfId="41551"/>
    <cellStyle name="Total 3 3 2 3 5" xfId="21681"/>
    <cellStyle name="Total 3 3 2 3 5 2" xfId="50860"/>
    <cellStyle name="Total 3 3 2 3 6" xfId="31878"/>
    <cellStyle name="Total 3 3 2 4" xfId="4414"/>
    <cellStyle name="Total 3 3 2 4 2" xfId="13612"/>
    <cellStyle name="Total 3 3 2 4 2 2" xfId="26829"/>
    <cellStyle name="Total 3 3 2 4 2 2 2" xfId="56008"/>
    <cellStyle name="Total 3 3 2 4 2 3" xfId="42793"/>
    <cellStyle name="Total 3 3 2 4 3" xfId="22401"/>
    <cellStyle name="Total 3 3 2 4 3 2" xfId="51580"/>
    <cellStyle name="Total 3 3 2 4 4" xfId="33597"/>
    <cellStyle name="Total 3 3 2 5" xfId="10152"/>
    <cellStyle name="Total 3 3 2 5 2" xfId="17863"/>
    <cellStyle name="Total 3 3 2 5 2 2" xfId="29408"/>
    <cellStyle name="Total 3 3 2 5 2 2 2" xfId="58587"/>
    <cellStyle name="Total 3 3 2 5 2 3" xfId="47044"/>
    <cellStyle name="Total 3 3 2 5 3" xfId="24980"/>
    <cellStyle name="Total 3 3 2 5 3 2" xfId="54159"/>
    <cellStyle name="Total 3 3 2 5 4" xfId="39335"/>
    <cellStyle name="Total 3 3 2 6" xfId="11072"/>
    <cellStyle name="Total 3 3 2 6 2" xfId="25365"/>
    <cellStyle name="Total 3 3 2 6 2 2" xfId="54544"/>
    <cellStyle name="Total 3 3 2 6 3" xfId="40253"/>
    <cellStyle name="Total 3 3 2 7" xfId="20937"/>
    <cellStyle name="Total 3 3 2 7 2" xfId="50116"/>
    <cellStyle name="Total 3 3 2 8" xfId="30054"/>
    <cellStyle name="Total 3 3 3" xfId="1049"/>
    <cellStyle name="Total 3 3 3 2" xfId="1959"/>
    <cellStyle name="Total 3 3 3 2 2" xfId="3759"/>
    <cellStyle name="Total 3 3 3 2 2 2" xfId="6702"/>
    <cellStyle name="Total 3 3 3 2 2 2 2" xfId="15396"/>
    <cellStyle name="Total 3 3 3 2 2 2 2 2" xfId="27983"/>
    <cellStyle name="Total 3 3 3 2 2 2 2 2 2" xfId="57162"/>
    <cellStyle name="Total 3 3 3 2 2 2 2 3" xfId="44577"/>
    <cellStyle name="Total 3 3 3 2 2 2 3" xfId="23555"/>
    <cellStyle name="Total 3 3 3 2 2 2 3 2" xfId="52734"/>
    <cellStyle name="Total 3 3 3 2 2 2 4" xfId="35885"/>
    <cellStyle name="Total 3 3 3 2 2 3" xfId="8724"/>
    <cellStyle name="Total 3 3 3 2 2 3 2" xfId="16844"/>
    <cellStyle name="Total 3 3 3 2 2 3 2 2" xfId="28841"/>
    <cellStyle name="Total 3 3 3 2 2 3 2 2 2" xfId="58020"/>
    <cellStyle name="Total 3 3 3 2 2 3 2 3" xfId="46025"/>
    <cellStyle name="Total 3 3 3 2 2 3 3" xfId="24413"/>
    <cellStyle name="Total 3 3 3 2 2 3 3 2" xfId="53592"/>
    <cellStyle name="Total 3 3 3 2 2 3 4" xfId="37907"/>
    <cellStyle name="Total 3 3 3 2 2 4" xfId="13129"/>
    <cellStyle name="Total 3 3 3 2 2 4 2" xfId="26543"/>
    <cellStyle name="Total 3 3 3 2 2 4 2 2" xfId="55722"/>
    <cellStyle name="Total 3 3 3 2 2 4 3" xfId="42310"/>
    <cellStyle name="Total 3 3 3 2 2 5" xfId="22115"/>
    <cellStyle name="Total 3 3 3 2 2 5 2" xfId="51294"/>
    <cellStyle name="Total 3 3 3 2 2 6" xfId="32942"/>
    <cellStyle name="Total 3 3 3 2 3" xfId="5262"/>
    <cellStyle name="Total 3 3 3 2 3 2" xfId="14275"/>
    <cellStyle name="Total 3 3 3 2 3 2 2" xfId="27263"/>
    <cellStyle name="Total 3 3 3 2 3 2 2 2" xfId="56442"/>
    <cellStyle name="Total 3 3 3 2 3 2 3" xfId="43456"/>
    <cellStyle name="Total 3 3 3 2 3 3" xfId="22835"/>
    <cellStyle name="Total 3 3 3 2 3 3 2" xfId="52014"/>
    <cellStyle name="Total 3 3 3 2 3 4" xfId="34445"/>
    <cellStyle name="Total 3 3 3 2 4" xfId="8902"/>
    <cellStyle name="Total 3 3 3 2 4 2" xfId="16980"/>
    <cellStyle name="Total 3 3 3 2 4 2 2" xfId="28913"/>
    <cellStyle name="Total 3 3 3 2 4 2 2 2" xfId="58092"/>
    <cellStyle name="Total 3 3 3 2 4 2 3" xfId="46161"/>
    <cellStyle name="Total 3 3 3 2 4 3" xfId="24485"/>
    <cellStyle name="Total 3 3 3 2 4 3 2" xfId="53664"/>
    <cellStyle name="Total 3 3 3 2 4 4" xfId="38085"/>
    <cellStyle name="Total 3 3 3 2 5" xfId="11853"/>
    <cellStyle name="Total 3 3 3 2 5 2" xfId="25823"/>
    <cellStyle name="Total 3 3 3 2 5 2 2" xfId="55002"/>
    <cellStyle name="Total 3 3 3 2 5 3" xfId="41034"/>
    <cellStyle name="Total 3 3 3 2 6" xfId="21395"/>
    <cellStyle name="Total 3 3 3 2 6 2" xfId="50574"/>
    <cellStyle name="Total 3 3 3 2 7" xfId="31142"/>
    <cellStyle name="Total 3 3 3 3" xfId="2859"/>
    <cellStyle name="Total 3 3 3 3 2" xfId="5982"/>
    <cellStyle name="Total 3 3 3 3 2 2" xfId="14839"/>
    <cellStyle name="Total 3 3 3 3 2 2 2" xfId="27623"/>
    <cellStyle name="Total 3 3 3 3 2 2 2 2" xfId="56802"/>
    <cellStyle name="Total 3 3 3 3 2 2 3" xfId="44020"/>
    <cellStyle name="Total 3 3 3 3 2 3" xfId="23195"/>
    <cellStyle name="Total 3 3 3 3 2 3 2" xfId="52374"/>
    <cellStyle name="Total 3 3 3 3 2 4" xfId="35165"/>
    <cellStyle name="Total 3 3 3 3 3" xfId="10429"/>
    <cellStyle name="Total 3 3 3 3 3 2" xfId="18058"/>
    <cellStyle name="Total 3 3 3 3 3 2 2" xfId="29516"/>
    <cellStyle name="Total 3 3 3 3 3 2 2 2" xfId="58695"/>
    <cellStyle name="Total 3 3 3 3 3 2 3" xfId="47239"/>
    <cellStyle name="Total 3 3 3 3 3 3" xfId="25088"/>
    <cellStyle name="Total 3 3 3 3 3 3 2" xfId="54267"/>
    <cellStyle name="Total 3 3 3 3 3 4" xfId="39612"/>
    <cellStyle name="Total 3 3 3 3 4" xfId="12492"/>
    <cellStyle name="Total 3 3 3 3 4 2" xfId="26183"/>
    <cellStyle name="Total 3 3 3 3 4 2 2" xfId="55362"/>
    <cellStyle name="Total 3 3 3 3 4 3" xfId="41673"/>
    <cellStyle name="Total 3 3 3 3 5" xfId="21755"/>
    <cellStyle name="Total 3 3 3 3 5 2" xfId="50934"/>
    <cellStyle name="Total 3 3 3 3 6" xfId="32042"/>
    <cellStyle name="Total 3 3 3 4" xfId="4542"/>
    <cellStyle name="Total 3 3 3 4 2" xfId="13718"/>
    <cellStyle name="Total 3 3 3 4 2 2" xfId="26903"/>
    <cellStyle name="Total 3 3 3 4 2 2 2" xfId="56082"/>
    <cellStyle name="Total 3 3 3 4 2 3" xfId="42899"/>
    <cellStyle name="Total 3 3 3 4 3" xfId="22475"/>
    <cellStyle name="Total 3 3 3 4 3 2" xfId="51654"/>
    <cellStyle name="Total 3 3 3 4 4" xfId="33725"/>
    <cellStyle name="Total 3 3 3 5" xfId="9600"/>
    <cellStyle name="Total 3 3 3 5 2" xfId="17467"/>
    <cellStyle name="Total 3 3 3 5 2 2" xfId="29189"/>
    <cellStyle name="Total 3 3 3 5 2 2 2" xfId="58368"/>
    <cellStyle name="Total 3 3 3 5 2 3" xfId="46648"/>
    <cellStyle name="Total 3 3 3 5 3" xfId="24761"/>
    <cellStyle name="Total 3 3 3 5 3 2" xfId="53940"/>
    <cellStyle name="Total 3 3 3 5 4" xfId="38783"/>
    <cellStyle name="Total 3 3 3 6" xfId="11216"/>
    <cellStyle name="Total 3 3 3 6 2" xfId="25460"/>
    <cellStyle name="Total 3 3 3 6 2 2" xfId="54639"/>
    <cellStyle name="Total 3 3 3 6 3" xfId="40397"/>
    <cellStyle name="Total 3 3 3 7" xfId="21032"/>
    <cellStyle name="Total 3 3 3 7 2" xfId="50211"/>
    <cellStyle name="Total 3 3 3 8" xfId="30239"/>
    <cellStyle name="Total 3 3 4" xfId="1199"/>
    <cellStyle name="Total 3 3 4 2" xfId="2103"/>
    <cellStyle name="Total 3 3 4 2 2" xfId="3903"/>
    <cellStyle name="Total 3 3 4 2 2 2" xfId="6819"/>
    <cellStyle name="Total 3 3 4 2 2 2 2" xfId="15489"/>
    <cellStyle name="Total 3 3 4 2 2 2 2 2" xfId="28046"/>
    <cellStyle name="Total 3 3 4 2 2 2 2 2 2" xfId="57225"/>
    <cellStyle name="Total 3 3 4 2 2 2 2 3" xfId="44670"/>
    <cellStyle name="Total 3 3 4 2 2 2 3" xfId="23618"/>
    <cellStyle name="Total 3 3 4 2 2 2 3 2" xfId="52797"/>
    <cellStyle name="Total 3 3 4 2 2 2 4" xfId="36002"/>
    <cellStyle name="Total 3 3 4 2 2 3" xfId="10042"/>
    <cellStyle name="Total 3 3 4 2 2 3 2" xfId="17791"/>
    <cellStyle name="Total 3 3 4 2 2 3 2 2" xfId="29365"/>
    <cellStyle name="Total 3 3 4 2 2 3 2 2 2" xfId="58544"/>
    <cellStyle name="Total 3 3 4 2 2 3 2 3" xfId="46972"/>
    <cellStyle name="Total 3 3 4 2 2 3 3" xfId="24937"/>
    <cellStyle name="Total 3 3 4 2 2 3 3 2" xfId="54116"/>
    <cellStyle name="Total 3 3 4 2 2 3 4" xfId="39225"/>
    <cellStyle name="Total 3 3 4 2 2 4" xfId="13231"/>
    <cellStyle name="Total 3 3 4 2 2 4 2" xfId="26606"/>
    <cellStyle name="Total 3 3 4 2 2 4 2 2" xfId="55785"/>
    <cellStyle name="Total 3 3 4 2 2 4 3" xfId="42412"/>
    <cellStyle name="Total 3 3 4 2 2 5" xfId="22178"/>
    <cellStyle name="Total 3 3 4 2 2 5 2" xfId="51357"/>
    <cellStyle name="Total 3 3 4 2 2 6" xfId="33086"/>
    <cellStyle name="Total 3 3 4 2 3" xfId="5379"/>
    <cellStyle name="Total 3 3 4 2 3 2" xfId="14367"/>
    <cellStyle name="Total 3 3 4 2 3 2 2" xfId="27326"/>
    <cellStyle name="Total 3 3 4 2 3 2 2 2" xfId="56505"/>
    <cellStyle name="Total 3 3 4 2 3 2 3" xfId="43548"/>
    <cellStyle name="Total 3 3 4 2 3 3" xfId="22898"/>
    <cellStyle name="Total 3 3 4 2 3 3 2" xfId="52077"/>
    <cellStyle name="Total 3 3 4 2 3 4" xfId="34562"/>
    <cellStyle name="Total 3 3 4 2 4" xfId="8819"/>
    <cellStyle name="Total 3 3 4 2 4 2" xfId="16915"/>
    <cellStyle name="Total 3 3 4 2 4 2 2" xfId="28879"/>
    <cellStyle name="Total 3 3 4 2 4 2 2 2" xfId="58058"/>
    <cellStyle name="Total 3 3 4 2 4 2 3" xfId="46096"/>
    <cellStyle name="Total 3 3 4 2 4 3" xfId="24451"/>
    <cellStyle name="Total 3 3 4 2 4 3 2" xfId="53630"/>
    <cellStyle name="Total 3 3 4 2 4 4" xfId="38002"/>
    <cellStyle name="Total 3 3 4 2 5" xfId="11957"/>
    <cellStyle name="Total 3 3 4 2 5 2" xfId="25886"/>
    <cellStyle name="Total 3 3 4 2 5 2 2" xfId="55065"/>
    <cellStyle name="Total 3 3 4 2 5 3" xfId="41138"/>
    <cellStyle name="Total 3 3 4 2 6" xfId="21458"/>
    <cellStyle name="Total 3 3 4 2 6 2" xfId="50637"/>
    <cellStyle name="Total 3 3 4 2 7" xfId="31286"/>
    <cellStyle name="Total 3 3 4 3" xfId="3003"/>
    <cellStyle name="Total 3 3 4 3 2" xfId="6099"/>
    <cellStyle name="Total 3 3 4 3 2 2" xfId="14928"/>
    <cellStyle name="Total 3 3 4 3 2 2 2" xfId="27686"/>
    <cellStyle name="Total 3 3 4 3 2 2 2 2" xfId="56865"/>
    <cellStyle name="Total 3 3 4 3 2 2 3" xfId="44109"/>
    <cellStyle name="Total 3 3 4 3 2 3" xfId="23258"/>
    <cellStyle name="Total 3 3 4 3 2 3 2" xfId="52437"/>
    <cellStyle name="Total 3 3 4 3 2 4" xfId="35282"/>
    <cellStyle name="Total 3 3 4 3 3" xfId="10346"/>
    <cellStyle name="Total 3 3 4 3 3 2" xfId="18000"/>
    <cellStyle name="Total 3 3 4 3 3 2 2" xfId="29485"/>
    <cellStyle name="Total 3 3 4 3 3 2 2 2" xfId="58664"/>
    <cellStyle name="Total 3 3 4 3 3 2 3" xfId="47181"/>
    <cellStyle name="Total 3 3 4 3 3 3" xfId="25057"/>
    <cellStyle name="Total 3 3 4 3 3 3 2" xfId="54236"/>
    <cellStyle name="Total 3 3 4 3 3 4" xfId="39529"/>
    <cellStyle name="Total 3 3 4 3 4" xfId="12592"/>
    <cellStyle name="Total 3 3 4 3 4 2" xfId="26246"/>
    <cellStyle name="Total 3 3 4 3 4 2 2" xfId="55425"/>
    <cellStyle name="Total 3 3 4 3 4 3" xfId="41773"/>
    <cellStyle name="Total 3 3 4 3 5" xfId="21818"/>
    <cellStyle name="Total 3 3 4 3 5 2" xfId="50997"/>
    <cellStyle name="Total 3 3 4 3 6" xfId="32186"/>
    <cellStyle name="Total 3 3 4 4" xfId="4659"/>
    <cellStyle name="Total 3 3 4 4 2" xfId="13808"/>
    <cellStyle name="Total 3 3 4 4 2 2" xfId="26966"/>
    <cellStyle name="Total 3 3 4 4 2 2 2" xfId="56145"/>
    <cellStyle name="Total 3 3 4 4 2 3" xfId="42989"/>
    <cellStyle name="Total 3 3 4 4 3" xfId="22538"/>
    <cellStyle name="Total 3 3 4 4 3 2" xfId="51717"/>
    <cellStyle name="Total 3 3 4 4 4" xfId="33842"/>
    <cellStyle name="Total 3 3 4 5" xfId="10015"/>
    <cellStyle name="Total 3 3 4 5 2" xfId="17771"/>
    <cellStyle name="Total 3 3 4 5 2 2" xfId="29351"/>
    <cellStyle name="Total 3 3 4 5 2 2 2" xfId="58530"/>
    <cellStyle name="Total 3 3 4 5 2 3" xfId="46952"/>
    <cellStyle name="Total 3 3 4 5 3" xfId="24923"/>
    <cellStyle name="Total 3 3 4 5 3 2" xfId="54102"/>
    <cellStyle name="Total 3 3 4 5 4" xfId="39198"/>
    <cellStyle name="Total 3 3 4 6" xfId="11326"/>
    <cellStyle name="Total 3 3 4 6 2" xfId="25526"/>
    <cellStyle name="Total 3 3 4 6 2 2" xfId="54705"/>
    <cellStyle name="Total 3 3 4 6 3" xfId="40507"/>
    <cellStyle name="Total 3 3 4 7" xfId="21098"/>
    <cellStyle name="Total 3 3 4 7 2" xfId="50277"/>
    <cellStyle name="Total 3 3 4 8" xfId="30386"/>
    <cellStyle name="Total 3 3 5" xfId="1345"/>
    <cellStyle name="Total 3 3 5 2" xfId="2247"/>
    <cellStyle name="Total 3 3 5 2 2" xfId="4047"/>
    <cellStyle name="Total 3 3 5 2 2 2" xfId="6936"/>
    <cellStyle name="Total 3 3 5 2 2 2 2" xfId="15579"/>
    <cellStyle name="Total 3 3 5 2 2 2 2 2" xfId="28109"/>
    <cellStyle name="Total 3 3 5 2 2 2 2 2 2" xfId="57288"/>
    <cellStyle name="Total 3 3 5 2 2 2 2 3" xfId="44760"/>
    <cellStyle name="Total 3 3 5 2 2 2 3" xfId="23681"/>
    <cellStyle name="Total 3 3 5 2 2 2 3 2" xfId="52860"/>
    <cellStyle name="Total 3 3 5 2 2 2 4" xfId="36119"/>
    <cellStyle name="Total 3 3 5 2 2 3" xfId="7033"/>
    <cellStyle name="Total 3 3 5 2 2 3 2" xfId="15650"/>
    <cellStyle name="Total 3 3 5 2 2 3 2 2" xfId="28159"/>
    <cellStyle name="Total 3 3 5 2 2 3 2 2 2" xfId="57338"/>
    <cellStyle name="Total 3 3 5 2 2 3 2 3" xfId="44831"/>
    <cellStyle name="Total 3 3 5 2 2 3 3" xfId="23731"/>
    <cellStyle name="Total 3 3 5 2 2 3 3 2" xfId="52910"/>
    <cellStyle name="Total 3 3 5 2 2 3 4" xfId="36216"/>
    <cellStyle name="Total 3 3 5 2 2 4" xfId="13333"/>
    <cellStyle name="Total 3 3 5 2 2 4 2" xfId="26669"/>
    <cellStyle name="Total 3 3 5 2 2 4 2 2" xfId="55848"/>
    <cellStyle name="Total 3 3 5 2 2 4 3" xfId="42514"/>
    <cellStyle name="Total 3 3 5 2 2 5" xfId="22241"/>
    <cellStyle name="Total 3 3 5 2 2 5 2" xfId="51420"/>
    <cellStyle name="Total 3 3 5 2 2 6" xfId="33230"/>
    <cellStyle name="Total 3 3 5 2 3" xfId="5496"/>
    <cellStyle name="Total 3 3 5 2 3 2" xfId="14459"/>
    <cellStyle name="Total 3 3 5 2 3 2 2" xfId="27389"/>
    <cellStyle name="Total 3 3 5 2 3 2 2 2" xfId="56568"/>
    <cellStyle name="Total 3 3 5 2 3 2 3" xfId="43640"/>
    <cellStyle name="Total 3 3 5 2 3 3" xfId="22961"/>
    <cellStyle name="Total 3 3 5 2 3 3 2" xfId="52140"/>
    <cellStyle name="Total 3 3 5 2 3 4" xfId="34679"/>
    <cellStyle name="Total 3 3 5 2 4" xfId="7300"/>
    <cellStyle name="Total 3 3 5 2 4 2" xfId="15840"/>
    <cellStyle name="Total 3 3 5 2 4 2 2" xfId="28279"/>
    <cellStyle name="Total 3 3 5 2 4 2 2 2" xfId="57458"/>
    <cellStyle name="Total 3 3 5 2 4 2 3" xfId="45021"/>
    <cellStyle name="Total 3 3 5 2 4 3" xfId="23851"/>
    <cellStyle name="Total 3 3 5 2 4 3 2" xfId="53030"/>
    <cellStyle name="Total 3 3 5 2 4 4" xfId="36483"/>
    <cellStyle name="Total 3 3 5 2 5" xfId="12056"/>
    <cellStyle name="Total 3 3 5 2 5 2" xfId="25949"/>
    <cellStyle name="Total 3 3 5 2 5 2 2" xfId="55128"/>
    <cellStyle name="Total 3 3 5 2 5 3" xfId="41237"/>
    <cellStyle name="Total 3 3 5 2 6" xfId="21521"/>
    <cellStyle name="Total 3 3 5 2 6 2" xfId="50700"/>
    <cellStyle name="Total 3 3 5 2 7" xfId="31430"/>
    <cellStyle name="Total 3 3 5 3" xfId="3147"/>
    <cellStyle name="Total 3 3 5 3 2" xfId="6216"/>
    <cellStyle name="Total 3 3 5 3 2 2" xfId="15019"/>
    <cellStyle name="Total 3 3 5 3 2 2 2" xfId="27749"/>
    <cellStyle name="Total 3 3 5 3 2 2 2 2" xfId="56928"/>
    <cellStyle name="Total 3 3 5 3 2 2 3" xfId="44200"/>
    <cellStyle name="Total 3 3 5 3 2 3" xfId="23321"/>
    <cellStyle name="Total 3 3 5 3 2 3 2" xfId="52500"/>
    <cellStyle name="Total 3 3 5 3 2 4" xfId="35399"/>
    <cellStyle name="Total 3 3 5 3 3" xfId="7222"/>
    <cellStyle name="Total 3 3 5 3 3 2" xfId="15784"/>
    <cellStyle name="Total 3 3 5 3 3 2 2" xfId="28243"/>
    <cellStyle name="Total 3 3 5 3 3 2 2 2" xfId="57422"/>
    <cellStyle name="Total 3 3 5 3 3 2 3" xfId="44965"/>
    <cellStyle name="Total 3 3 5 3 3 3" xfId="23815"/>
    <cellStyle name="Total 3 3 5 3 3 3 2" xfId="52994"/>
    <cellStyle name="Total 3 3 5 3 3 4" xfId="36405"/>
    <cellStyle name="Total 3 3 5 3 4" xfId="12694"/>
    <cellStyle name="Total 3 3 5 3 4 2" xfId="26309"/>
    <cellStyle name="Total 3 3 5 3 4 2 2" xfId="55488"/>
    <cellStyle name="Total 3 3 5 3 4 3" xfId="41875"/>
    <cellStyle name="Total 3 3 5 3 5" xfId="21881"/>
    <cellStyle name="Total 3 3 5 3 5 2" xfId="51060"/>
    <cellStyle name="Total 3 3 5 3 6" xfId="32330"/>
    <cellStyle name="Total 3 3 5 4" xfId="4776"/>
    <cellStyle name="Total 3 3 5 4 2" xfId="13896"/>
    <cellStyle name="Total 3 3 5 4 2 2" xfId="27029"/>
    <cellStyle name="Total 3 3 5 4 2 2 2" xfId="56208"/>
    <cellStyle name="Total 3 3 5 4 2 3" xfId="43077"/>
    <cellStyle name="Total 3 3 5 4 3" xfId="22601"/>
    <cellStyle name="Total 3 3 5 4 3 2" xfId="51780"/>
    <cellStyle name="Total 3 3 5 4 4" xfId="33959"/>
    <cellStyle name="Total 3 3 5 5" xfId="8254"/>
    <cellStyle name="Total 3 3 5 5 2" xfId="16508"/>
    <cellStyle name="Total 3 3 5 5 2 2" xfId="28660"/>
    <cellStyle name="Total 3 3 5 5 2 2 2" xfId="57839"/>
    <cellStyle name="Total 3 3 5 5 2 3" xfId="45689"/>
    <cellStyle name="Total 3 3 5 5 3" xfId="24232"/>
    <cellStyle name="Total 3 3 5 5 3 2" xfId="53411"/>
    <cellStyle name="Total 3 3 5 5 4" xfId="37437"/>
    <cellStyle name="Total 3 3 5 6" xfId="11425"/>
    <cellStyle name="Total 3 3 5 6 2" xfId="25589"/>
    <cellStyle name="Total 3 3 5 6 2 2" xfId="54768"/>
    <cellStyle name="Total 3 3 5 6 3" xfId="40606"/>
    <cellStyle name="Total 3 3 5 7" xfId="21161"/>
    <cellStyle name="Total 3 3 5 7 2" xfId="50340"/>
    <cellStyle name="Total 3 3 5 8" xfId="30530"/>
    <cellStyle name="Total 3 3 6" xfId="1527"/>
    <cellStyle name="Total 3 3 6 2" xfId="3327"/>
    <cellStyle name="Total 3 3 6 2 2" xfId="6360"/>
    <cellStyle name="Total 3 3 6 2 2 2" xfId="15122"/>
    <cellStyle name="Total 3 3 6 2 2 2 2" xfId="27821"/>
    <cellStyle name="Total 3 3 6 2 2 2 2 2" xfId="57000"/>
    <cellStyle name="Total 3 3 6 2 2 2 3" xfId="44303"/>
    <cellStyle name="Total 3 3 6 2 2 3" xfId="23393"/>
    <cellStyle name="Total 3 3 6 2 2 3 2" xfId="52572"/>
    <cellStyle name="Total 3 3 6 2 2 4" xfId="35543"/>
    <cellStyle name="Total 3 3 6 2 3" xfId="9043"/>
    <cellStyle name="Total 3 3 6 2 3 2" xfId="17083"/>
    <cellStyle name="Total 3 3 6 2 3 2 2" xfId="28971"/>
    <cellStyle name="Total 3 3 6 2 3 2 2 2" xfId="58150"/>
    <cellStyle name="Total 3 3 6 2 3 2 3" xfId="46264"/>
    <cellStyle name="Total 3 3 6 2 3 3" xfId="24543"/>
    <cellStyle name="Total 3 3 6 2 3 3 2" xfId="53722"/>
    <cellStyle name="Total 3 3 6 2 3 4" xfId="38226"/>
    <cellStyle name="Total 3 3 6 2 4" xfId="12818"/>
    <cellStyle name="Total 3 3 6 2 4 2" xfId="26381"/>
    <cellStyle name="Total 3 3 6 2 4 2 2" xfId="55560"/>
    <cellStyle name="Total 3 3 6 2 4 3" xfId="41999"/>
    <cellStyle name="Total 3 3 6 2 5" xfId="21953"/>
    <cellStyle name="Total 3 3 6 2 5 2" xfId="51132"/>
    <cellStyle name="Total 3 3 6 2 6" xfId="32510"/>
    <cellStyle name="Total 3 3 6 3" xfId="4920"/>
    <cellStyle name="Total 3 3 6 3 2" xfId="14001"/>
    <cellStyle name="Total 3 3 6 3 2 2" xfId="27101"/>
    <cellStyle name="Total 3 3 6 3 2 2 2" xfId="56280"/>
    <cellStyle name="Total 3 3 6 3 2 3" xfId="43182"/>
    <cellStyle name="Total 3 3 6 3 3" xfId="22673"/>
    <cellStyle name="Total 3 3 6 3 3 2" xfId="51852"/>
    <cellStyle name="Total 3 3 6 3 4" xfId="34103"/>
    <cellStyle name="Total 3 3 6 4" xfId="9922"/>
    <cellStyle name="Total 3 3 6 4 2" xfId="17706"/>
    <cellStyle name="Total 3 3 6 4 2 2" xfId="29318"/>
    <cellStyle name="Total 3 3 6 4 2 2 2" xfId="58497"/>
    <cellStyle name="Total 3 3 6 4 2 3" xfId="46887"/>
    <cellStyle name="Total 3 3 6 4 3" xfId="24890"/>
    <cellStyle name="Total 3 3 6 4 3 2" xfId="54069"/>
    <cellStyle name="Total 3 3 6 4 4" xfId="39105"/>
    <cellStyle name="Total 3 3 6 5" xfId="11546"/>
    <cellStyle name="Total 3 3 6 5 2" xfId="25661"/>
    <cellStyle name="Total 3 3 6 5 2 2" xfId="54840"/>
    <cellStyle name="Total 3 3 6 5 3" xfId="40727"/>
    <cellStyle name="Total 3 3 6 6" xfId="21233"/>
    <cellStyle name="Total 3 3 6 6 2" xfId="50412"/>
    <cellStyle name="Total 3 3 6 7" xfId="30710"/>
    <cellStyle name="Total 3 3 7" xfId="2427"/>
    <cellStyle name="Total 3 3 7 2" xfId="5640"/>
    <cellStyle name="Total 3 3 7 2 2" xfId="14568"/>
    <cellStyle name="Total 3 3 7 2 2 2" xfId="27461"/>
    <cellStyle name="Total 3 3 7 2 2 2 2" xfId="56640"/>
    <cellStyle name="Total 3 3 7 2 2 3" xfId="43749"/>
    <cellStyle name="Total 3 3 7 2 3" xfId="23033"/>
    <cellStyle name="Total 3 3 7 2 3 2" xfId="52212"/>
    <cellStyle name="Total 3 3 7 2 4" xfId="34823"/>
    <cellStyle name="Total 3 3 7 3" xfId="9174"/>
    <cellStyle name="Total 3 3 7 3 2" xfId="17174"/>
    <cellStyle name="Total 3 3 7 3 2 2" xfId="29023"/>
    <cellStyle name="Total 3 3 7 3 2 2 2" xfId="58202"/>
    <cellStyle name="Total 3 3 7 3 2 3" xfId="46355"/>
    <cellStyle name="Total 3 3 7 3 3" xfId="24595"/>
    <cellStyle name="Total 3 3 7 3 3 2" xfId="53774"/>
    <cellStyle name="Total 3 3 7 3 4" xfId="38357"/>
    <cellStyle name="Total 3 3 7 4" xfId="12180"/>
    <cellStyle name="Total 3 3 7 4 2" xfId="26021"/>
    <cellStyle name="Total 3 3 7 4 2 2" xfId="55200"/>
    <cellStyle name="Total 3 3 7 4 3" xfId="41361"/>
    <cellStyle name="Total 3 3 7 5" xfId="21593"/>
    <cellStyle name="Total 3 3 7 5 2" xfId="50772"/>
    <cellStyle name="Total 3 3 7 6" xfId="31610"/>
    <cellStyle name="Total 3 3 8" xfId="4200"/>
    <cellStyle name="Total 3 3 8 2" xfId="13449"/>
    <cellStyle name="Total 3 3 8 2 2" xfId="26741"/>
    <cellStyle name="Total 3 3 8 2 2 2" xfId="55920"/>
    <cellStyle name="Total 3 3 8 2 3" xfId="42630"/>
    <cellStyle name="Total 3 3 8 3" xfId="22313"/>
    <cellStyle name="Total 3 3 8 3 2" xfId="51492"/>
    <cellStyle name="Total 3 3 8 4" xfId="33383"/>
    <cellStyle name="Total 3 3 9" xfId="8957"/>
    <cellStyle name="Total 3 3 9 2" xfId="17018"/>
    <cellStyle name="Total 3 3 9 2 2" xfId="28931"/>
    <cellStyle name="Total 3 3 9 2 2 2" xfId="58110"/>
    <cellStyle name="Total 3 3 9 2 3" xfId="46199"/>
    <cellStyle name="Total 3 3 9 3" xfId="24503"/>
    <cellStyle name="Total 3 3 9 3 2" xfId="53682"/>
    <cellStyle name="Total 3 3 9 4" xfId="38140"/>
    <cellStyle name="Total 3 4" xfId="767"/>
    <cellStyle name="Total 3 4 2" xfId="1705"/>
    <cellStyle name="Total 3 4 2 2" xfId="3505"/>
    <cellStyle name="Total 3 4 2 2 2" xfId="6502"/>
    <cellStyle name="Total 3 4 2 2 2 2" xfId="15236"/>
    <cellStyle name="Total 3 4 2 2 2 2 2" xfId="27873"/>
    <cellStyle name="Total 3 4 2 2 2 2 2 2" xfId="57052"/>
    <cellStyle name="Total 3 4 2 2 2 2 3" xfId="44417"/>
    <cellStyle name="Total 3 4 2 2 2 3" xfId="23445"/>
    <cellStyle name="Total 3 4 2 2 2 3 2" xfId="52624"/>
    <cellStyle name="Total 3 4 2 2 2 4" xfId="35685"/>
    <cellStyle name="Total 3 4 2 2 3" xfId="7702"/>
    <cellStyle name="Total 3 4 2 2 3 2" xfId="16119"/>
    <cellStyle name="Total 3 4 2 2 3 2 2" xfId="28443"/>
    <cellStyle name="Total 3 4 2 2 3 2 2 2" xfId="57622"/>
    <cellStyle name="Total 3 4 2 2 3 2 3" xfId="45300"/>
    <cellStyle name="Total 3 4 2 2 3 3" xfId="24015"/>
    <cellStyle name="Total 3 4 2 2 3 3 2" xfId="53194"/>
    <cellStyle name="Total 3 4 2 2 3 4" xfId="36885"/>
    <cellStyle name="Total 3 4 2 2 4" xfId="12942"/>
    <cellStyle name="Total 3 4 2 2 4 2" xfId="26433"/>
    <cellStyle name="Total 3 4 2 2 4 2 2" xfId="55612"/>
    <cellStyle name="Total 3 4 2 2 4 3" xfId="42123"/>
    <cellStyle name="Total 3 4 2 2 5" xfId="22005"/>
    <cellStyle name="Total 3 4 2 2 5 2" xfId="51184"/>
    <cellStyle name="Total 3 4 2 2 6" xfId="32688"/>
    <cellStyle name="Total 3 4 2 3" xfId="5062"/>
    <cellStyle name="Total 3 4 2 3 2" xfId="14112"/>
    <cellStyle name="Total 3 4 2 3 2 2" xfId="27153"/>
    <cellStyle name="Total 3 4 2 3 2 2 2" xfId="56332"/>
    <cellStyle name="Total 3 4 2 3 2 3" xfId="43293"/>
    <cellStyle name="Total 3 4 2 3 3" xfId="22725"/>
    <cellStyle name="Total 3 4 2 3 3 2" xfId="51904"/>
    <cellStyle name="Total 3 4 2 3 4" xfId="34245"/>
    <cellStyle name="Total 3 4 2 4" xfId="9476"/>
    <cellStyle name="Total 3 4 2 4 2" xfId="17385"/>
    <cellStyle name="Total 3 4 2 4 2 2" xfId="29144"/>
    <cellStyle name="Total 3 4 2 4 2 2 2" xfId="58323"/>
    <cellStyle name="Total 3 4 2 4 2 3" xfId="46566"/>
    <cellStyle name="Total 3 4 2 4 3" xfId="24716"/>
    <cellStyle name="Total 3 4 2 4 3 2" xfId="53895"/>
    <cellStyle name="Total 3 4 2 4 4" xfId="38659"/>
    <cellStyle name="Total 3 4 2 5" xfId="11669"/>
    <cellStyle name="Total 3 4 2 5 2" xfId="25713"/>
    <cellStyle name="Total 3 4 2 5 2 2" xfId="54892"/>
    <cellStyle name="Total 3 4 2 5 3" xfId="40850"/>
    <cellStyle name="Total 3 4 2 6" xfId="21285"/>
    <cellStyle name="Total 3 4 2 6 2" xfId="50464"/>
    <cellStyle name="Total 3 4 2 7" xfId="30888"/>
    <cellStyle name="Total 3 4 3" xfId="2605"/>
    <cellStyle name="Total 3 4 3 2" xfId="5782"/>
    <cellStyle name="Total 3 4 3 2 2" xfId="14677"/>
    <cellStyle name="Total 3 4 3 2 2 2" xfId="27513"/>
    <cellStyle name="Total 3 4 3 2 2 2 2" xfId="56692"/>
    <cellStyle name="Total 3 4 3 2 2 3" xfId="43858"/>
    <cellStyle name="Total 3 4 3 2 3" xfId="23085"/>
    <cellStyle name="Total 3 4 3 2 3 2" xfId="52264"/>
    <cellStyle name="Total 3 4 3 2 4" xfId="34965"/>
    <cellStyle name="Total 3 4 3 3" xfId="8041"/>
    <cellStyle name="Total 3 4 3 3 2" xfId="16355"/>
    <cellStyle name="Total 3 4 3 3 2 2" xfId="28574"/>
    <cellStyle name="Total 3 4 3 3 2 2 2" xfId="57753"/>
    <cellStyle name="Total 3 4 3 3 2 3" xfId="45536"/>
    <cellStyle name="Total 3 4 3 3 3" xfId="24146"/>
    <cellStyle name="Total 3 4 3 3 3 2" xfId="53325"/>
    <cellStyle name="Total 3 4 3 3 4" xfId="37224"/>
    <cellStyle name="Total 3 4 3 4" xfId="12304"/>
    <cellStyle name="Total 3 4 3 4 2" xfId="26073"/>
    <cellStyle name="Total 3 4 3 4 2 2" xfId="55252"/>
    <cellStyle name="Total 3 4 3 4 3" xfId="41485"/>
    <cellStyle name="Total 3 4 3 5" xfId="21645"/>
    <cellStyle name="Total 3 4 3 5 2" xfId="50824"/>
    <cellStyle name="Total 3 4 3 6" xfId="31788"/>
    <cellStyle name="Total 3 4 4" xfId="4342"/>
    <cellStyle name="Total 3 4 4 2" xfId="13556"/>
    <cellStyle name="Total 3 4 4 2 2" xfId="26793"/>
    <cellStyle name="Total 3 4 4 2 2 2" xfId="55972"/>
    <cellStyle name="Total 3 4 4 2 3" xfId="42737"/>
    <cellStyle name="Total 3 4 4 3" xfId="22365"/>
    <cellStyle name="Total 3 4 4 3 2" xfId="51544"/>
    <cellStyle name="Total 3 4 4 4" xfId="33525"/>
    <cellStyle name="Total 3 4 5" xfId="7342"/>
    <cellStyle name="Total 3 4 5 2" xfId="15869"/>
    <cellStyle name="Total 3 4 5 2 2" xfId="28296"/>
    <cellStyle name="Total 3 4 5 2 2 2" xfId="57475"/>
    <cellStyle name="Total 3 4 5 2 3" xfId="45050"/>
    <cellStyle name="Total 3 4 5 3" xfId="23868"/>
    <cellStyle name="Total 3 4 5 3 2" xfId="53047"/>
    <cellStyle name="Total 3 4 5 4" xfId="36525"/>
    <cellStyle name="Total 3 4 6" xfId="11008"/>
    <cellStyle name="Total 3 4 6 2" xfId="25329"/>
    <cellStyle name="Total 3 4 6 2 2" xfId="54508"/>
    <cellStyle name="Total 3 4 6 3" xfId="40189"/>
    <cellStyle name="Total 3 4 7" xfId="20901"/>
    <cellStyle name="Total 3 4 7 2" xfId="50080"/>
    <cellStyle name="Total 3 4 8" xfId="29964"/>
    <cellStyle name="Total 3 5" xfId="959"/>
    <cellStyle name="Total 3 5 2" xfId="1869"/>
    <cellStyle name="Total 3 5 2 2" xfId="3669"/>
    <cellStyle name="Total 3 5 2 2 2" xfId="6630"/>
    <cellStyle name="Total 3 5 2 2 2 2" xfId="15342"/>
    <cellStyle name="Total 3 5 2 2 2 2 2" xfId="27947"/>
    <cellStyle name="Total 3 5 2 2 2 2 2 2" xfId="57126"/>
    <cellStyle name="Total 3 5 2 2 2 2 3" xfId="44523"/>
    <cellStyle name="Total 3 5 2 2 2 3" xfId="23519"/>
    <cellStyle name="Total 3 5 2 2 2 3 2" xfId="52698"/>
    <cellStyle name="Total 3 5 2 2 2 4" xfId="35813"/>
    <cellStyle name="Total 3 5 2 2 3" xfId="9729"/>
    <cellStyle name="Total 3 5 2 2 3 2" xfId="17569"/>
    <cellStyle name="Total 3 5 2 2 3 2 2" xfId="29242"/>
    <cellStyle name="Total 3 5 2 2 3 2 2 2" xfId="58421"/>
    <cellStyle name="Total 3 5 2 2 3 2 3" xfId="46750"/>
    <cellStyle name="Total 3 5 2 2 3 3" xfId="24814"/>
    <cellStyle name="Total 3 5 2 2 3 3 2" xfId="53993"/>
    <cellStyle name="Total 3 5 2 2 3 4" xfId="38912"/>
    <cellStyle name="Total 3 5 2 2 4" xfId="13063"/>
    <cellStyle name="Total 3 5 2 2 4 2" xfId="26507"/>
    <cellStyle name="Total 3 5 2 2 4 2 2" xfId="55686"/>
    <cellStyle name="Total 3 5 2 2 4 3" xfId="42244"/>
    <cellStyle name="Total 3 5 2 2 5" xfId="22079"/>
    <cellStyle name="Total 3 5 2 2 5 2" xfId="51258"/>
    <cellStyle name="Total 3 5 2 2 6" xfId="32852"/>
    <cellStyle name="Total 3 5 2 3" xfId="5190"/>
    <cellStyle name="Total 3 5 2 3 2" xfId="14220"/>
    <cellStyle name="Total 3 5 2 3 2 2" xfId="27227"/>
    <cellStyle name="Total 3 5 2 3 2 2 2" xfId="56406"/>
    <cellStyle name="Total 3 5 2 3 2 3" xfId="43401"/>
    <cellStyle name="Total 3 5 2 3 3" xfId="22799"/>
    <cellStyle name="Total 3 5 2 3 3 2" xfId="51978"/>
    <cellStyle name="Total 3 5 2 3 4" xfId="34373"/>
    <cellStyle name="Total 3 5 2 4" xfId="9335"/>
    <cellStyle name="Total 3 5 2 4 2" xfId="17292"/>
    <cellStyle name="Total 3 5 2 4 2 2" xfId="29084"/>
    <cellStyle name="Total 3 5 2 4 2 2 2" xfId="58263"/>
    <cellStyle name="Total 3 5 2 4 2 3" xfId="46473"/>
    <cellStyle name="Total 3 5 2 4 3" xfId="24656"/>
    <cellStyle name="Total 3 5 2 4 3 2" xfId="53835"/>
    <cellStyle name="Total 3 5 2 4 4" xfId="38518"/>
    <cellStyle name="Total 3 5 2 5" xfId="11788"/>
    <cellStyle name="Total 3 5 2 5 2" xfId="25787"/>
    <cellStyle name="Total 3 5 2 5 2 2" xfId="54966"/>
    <cellStyle name="Total 3 5 2 5 3" xfId="40969"/>
    <cellStyle name="Total 3 5 2 6" xfId="21359"/>
    <cellStyle name="Total 3 5 2 6 2" xfId="50538"/>
    <cellStyle name="Total 3 5 2 7" xfId="31052"/>
    <cellStyle name="Total 3 5 3" xfId="2769"/>
    <cellStyle name="Total 3 5 3 2" xfId="5910"/>
    <cellStyle name="Total 3 5 3 2 2" xfId="14785"/>
    <cellStyle name="Total 3 5 3 2 2 2" xfId="27587"/>
    <cellStyle name="Total 3 5 3 2 2 2 2" xfId="56766"/>
    <cellStyle name="Total 3 5 3 2 2 3" xfId="43966"/>
    <cellStyle name="Total 3 5 3 2 3" xfId="23159"/>
    <cellStyle name="Total 3 5 3 2 3 2" xfId="52338"/>
    <cellStyle name="Total 3 5 3 2 4" xfId="35093"/>
    <cellStyle name="Total 3 5 3 3" xfId="7914"/>
    <cellStyle name="Total 3 5 3 3 2" xfId="16263"/>
    <cellStyle name="Total 3 5 3 3 2 2" xfId="28524"/>
    <cellStyle name="Total 3 5 3 3 2 2 2" xfId="57703"/>
    <cellStyle name="Total 3 5 3 3 2 3" xfId="45444"/>
    <cellStyle name="Total 3 5 3 3 3" xfId="24096"/>
    <cellStyle name="Total 3 5 3 3 3 2" xfId="53275"/>
    <cellStyle name="Total 3 5 3 3 4" xfId="37097"/>
    <cellStyle name="Total 3 5 3 4" xfId="12428"/>
    <cellStyle name="Total 3 5 3 4 2" xfId="26147"/>
    <cellStyle name="Total 3 5 3 4 2 2" xfId="55326"/>
    <cellStyle name="Total 3 5 3 4 3" xfId="41609"/>
    <cellStyle name="Total 3 5 3 5" xfId="21719"/>
    <cellStyle name="Total 3 5 3 5 2" xfId="50898"/>
    <cellStyle name="Total 3 5 3 6" xfId="31952"/>
    <cellStyle name="Total 3 5 4" xfId="4470"/>
    <cellStyle name="Total 3 5 4 2" xfId="13663"/>
    <cellStyle name="Total 3 5 4 2 2" xfId="26867"/>
    <cellStyle name="Total 3 5 4 2 2 2" xfId="56046"/>
    <cellStyle name="Total 3 5 4 2 3" xfId="42844"/>
    <cellStyle name="Total 3 5 4 3" xfId="22439"/>
    <cellStyle name="Total 3 5 4 3 2" xfId="51618"/>
    <cellStyle name="Total 3 5 4 4" xfId="33653"/>
    <cellStyle name="Total 3 5 5" xfId="10018"/>
    <cellStyle name="Total 3 5 5 2" xfId="17774"/>
    <cellStyle name="Total 3 5 5 2 2" xfId="29353"/>
    <cellStyle name="Total 3 5 5 2 2 2" xfId="58532"/>
    <cellStyle name="Total 3 5 5 2 3" xfId="46955"/>
    <cellStyle name="Total 3 5 5 3" xfId="24925"/>
    <cellStyle name="Total 3 5 5 3 2" xfId="54104"/>
    <cellStyle name="Total 3 5 5 4" xfId="39201"/>
    <cellStyle name="Total 3 5 6" xfId="11153"/>
    <cellStyle name="Total 3 5 6 2" xfId="25424"/>
    <cellStyle name="Total 3 5 6 2 2" xfId="54603"/>
    <cellStyle name="Total 3 5 6 3" xfId="40334"/>
    <cellStyle name="Total 3 5 7" xfId="20996"/>
    <cellStyle name="Total 3 5 7 2" xfId="50175"/>
    <cellStyle name="Total 3 5 8" xfId="30149"/>
    <cellStyle name="Total 3 6" xfId="1109"/>
    <cellStyle name="Total 3 6 2" xfId="2013"/>
    <cellStyle name="Total 3 6 2 2" xfId="3813"/>
    <cellStyle name="Total 3 6 2 2 2" xfId="6747"/>
    <cellStyle name="Total 3 6 2 2 2 2" xfId="15433"/>
    <cellStyle name="Total 3 6 2 2 2 2 2" xfId="28010"/>
    <cellStyle name="Total 3 6 2 2 2 2 2 2" xfId="57189"/>
    <cellStyle name="Total 3 6 2 2 2 2 3" xfId="44614"/>
    <cellStyle name="Total 3 6 2 2 2 3" xfId="23582"/>
    <cellStyle name="Total 3 6 2 2 2 3 2" xfId="52761"/>
    <cellStyle name="Total 3 6 2 2 2 4" xfId="35930"/>
    <cellStyle name="Total 3 6 2 2 3" xfId="8108"/>
    <cellStyle name="Total 3 6 2 2 3 2" xfId="16404"/>
    <cellStyle name="Total 3 6 2 2 3 2 2" xfId="28601"/>
    <cellStyle name="Total 3 6 2 2 3 2 2 2" xfId="57780"/>
    <cellStyle name="Total 3 6 2 2 3 2 3" xfId="45585"/>
    <cellStyle name="Total 3 6 2 2 3 3" xfId="24173"/>
    <cellStyle name="Total 3 6 2 2 3 3 2" xfId="53352"/>
    <cellStyle name="Total 3 6 2 2 3 4" xfId="37291"/>
    <cellStyle name="Total 3 6 2 2 4" xfId="13170"/>
    <cellStyle name="Total 3 6 2 2 4 2" xfId="26570"/>
    <cellStyle name="Total 3 6 2 2 4 2 2" xfId="55749"/>
    <cellStyle name="Total 3 6 2 2 4 3" xfId="42351"/>
    <cellStyle name="Total 3 6 2 2 5" xfId="22142"/>
    <cellStyle name="Total 3 6 2 2 5 2" xfId="51321"/>
    <cellStyle name="Total 3 6 2 2 6" xfId="32996"/>
    <cellStyle name="Total 3 6 2 3" xfId="5307"/>
    <cellStyle name="Total 3 6 2 3 2" xfId="14312"/>
    <cellStyle name="Total 3 6 2 3 2 2" xfId="27290"/>
    <cellStyle name="Total 3 6 2 3 2 2 2" xfId="56469"/>
    <cellStyle name="Total 3 6 2 3 2 3" xfId="43493"/>
    <cellStyle name="Total 3 6 2 3 3" xfId="22862"/>
    <cellStyle name="Total 3 6 2 3 3 2" xfId="52041"/>
    <cellStyle name="Total 3 6 2 3 4" xfId="34490"/>
    <cellStyle name="Total 3 6 2 4" xfId="7631"/>
    <cellStyle name="Total 3 6 2 4 2" xfId="16070"/>
    <cellStyle name="Total 3 6 2 4 2 2" xfId="28414"/>
    <cellStyle name="Total 3 6 2 4 2 2 2" xfId="57593"/>
    <cellStyle name="Total 3 6 2 4 2 3" xfId="45251"/>
    <cellStyle name="Total 3 6 2 4 3" xfId="23986"/>
    <cellStyle name="Total 3 6 2 4 3 2" xfId="53165"/>
    <cellStyle name="Total 3 6 2 4 4" xfId="36814"/>
    <cellStyle name="Total 3 6 2 5" xfId="11894"/>
    <cellStyle name="Total 3 6 2 5 2" xfId="25850"/>
    <cellStyle name="Total 3 6 2 5 2 2" xfId="55029"/>
    <cellStyle name="Total 3 6 2 5 3" xfId="41075"/>
    <cellStyle name="Total 3 6 2 6" xfId="21422"/>
    <cellStyle name="Total 3 6 2 6 2" xfId="50601"/>
    <cellStyle name="Total 3 6 2 7" xfId="31196"/>
    <cellStyle name="Total 3 6 3" xfId="2913"/>
    <cellStyle name="Total 3 6 3 2" xfId="6027"/>
    <cellStyle name="Total 3 6 3 2 2" xfId="14873"/>
    <cellStyle name="Total 3 6 3 2 2 2" xfId="27650"/>
    <cellStyle name="Total 3 6 3 2 2 2 2" xfId="56829"/>
    <cellStyle name="Total 3 6 3 2 2 3" xfId="44054"/>
    <cellStyle name="Total 3 6 3 2 3" xfId="23222"/>
    <cellStyle name="Total 3 6 3 2 3 2" xfId="52401"/>
    <cellStyle name="Total 3 6 3 2 4" xfId="35210"/>
    <cellStyle name="Total 3 6 3 3" xfId="8451"/>
    <cellStyle name="Total 3 6 3 3 2" xfId="16647"/>
    <cellStyle name="Total 3 6 3 3 2 2" xfId="28728"/>
    <cellStyle name="Total 3 6 3 3 2 2 2" xfId="57907"/>
    <cellStyle name="Total 3 6 3 3 2 3" xfId="45828"/>
    <cellStyle name="Total 3 6 3 3 3" xfId="24300"/>
    <cellStyle name="Total 3 6 3 3 3 2" xfId="53479"/>
    <cellStyle name="Total 3 6 3 3 4" xfId="37634"/>
    <cellStyle name="Total 3 6 3 4" xfId="12530"/>
    <cellStyle name="Total 3 6 3 4 2" xfId="26210"/>
    <cellStyle name="Total 3 6 3 4 2 2" xfId="55389"/>
    <cellStyle name="Total 3 6 3 4 3" xfId="41711"/>
    <cellStyle name="Total 3 6 3 5" xfId="21782"/>
    <cellStyle name="Total 3 6 3 5 2" xfId="50961"/>
    <cellStyle name="Total 3 6 3 6" xfId="32096"/>
    <cellStyle name="Total 3 6 4" xfId="4587"/>
    <cellStyle name="Total 3 6 4 2" xfId="13753"/>
    <cellStyle name="Total 3 6 4 2 2" xfId="26930"/>
    <cellStyle name="Total 3 6 4 2 2 2" xfId="56109"/>
    <cellStyle name="Total 3 6 4 2 3" xfId="42934"/>
    <cellStyle name="Total 3 6 4 3" xfId="22502"/>
    <cellStyle name="Total 3 6 4 3 2" xfId="51681"/>
    <cellStyle name="Total 3 6 4 4" xfId="33770"/>
    <cellStyle name="Total 3 6 5" xfId="7852"/>
    <cellStyle name="Total 3 6 5 2" xfId="16220"/>
    <cellStyle name="Total 3 6 5 2 2" xfId="28498"/>
    <cellStyle name="Total 3 6 5 2 2 2" xfId="57677"/>
    <cellStyle name="Total 3 6 5 2 3" xfId="45401"/>
    <cellStyle name="Total 3 6 5 3" xfId="24070"/>
    <cellStyle name="Total 3 6 5 3 2" xfId="53249"/>
    <cellStyle name="Total 3 6 5 4" xfId="37035"/>
    <cellStyle name="Total 3 6 6" xfId="11262"/>
    <cellStyle name="Total 3 6 6 2" xfId="25490"/>
    <cellStyle name="Total 3 6 6 2 2" xfId="54669"/>
    <cellStyle name="Total 3 6 6 3" xfId="40443"/>
    <cellStyle name="Total 3 6 7" xfId="21062"/>
    <cellStyle name="Total 3 6 7 2" xfId="50241"/>
    <cellStyle name="Total 3 6 8" xfId="30296"/>
    <cellStyle name="Total 3 7" xfId="1255"/>
    <cellStyle name="Total 3 7 2" xfId="2157"/>
    <cellStyle name="Total 3 7 2 2" xfId="3957"/>
    <cellStyle name="Total 3 7 2 2 2" xfId="6864"/>
    <cellStyle name="Total 3 7 2 2 2 2" xfId="15523"/>
    <cellStyle name="Total 3 7 2 2 2 2 2" xfId="28073"/>
    <cellStyle name="Total 3 7 2 2 2 2 2 2" xfId="57252"/>
    <cellStyle name="Total 3 7 2 2 2 2 3" xfId="44704"/>
    <cellStyle name="Total 3 7 2 2 2 3" xfId="23645"/>
    <cellStyle name="Total 3 7 2 2 2 3 2" xfId="52824"/>
    <cellStyle name="Total 3 7 2 2 2 4" xfId="36047"/>
    <cellStyle name="Total 3 7 2 2 3" xfId="7123"/>
    <cellStyle name="Total 3 7 2 2 3 2" xfId="15713"/>
    <cellStyle name="Total 3 7 2 2 3 2 2" xfId="28195"/>
    <cellStyle name="Total 3 7 2 2 3 2 2 2" xfId="57374"/>
    <cellStyle name="Total 3 7 2 2 3 2 3" xfId="44894"/>
    <cellStyle name="Total 3 7 2 2 3 3" xfId="23767"/>
    <cellStyle name="Total 3 7 2 2 3 3 2" xfId="52946"/>
    <cellStyle name="Total 3 7 2 2 3 4" xfId="36306"/>
    <cellStyle name="Total 3 7 2 2 4" xfId="13268"/>
    <cellStyle name="Total 3 7 2 2 4 2" xfId="26633"/>
    <cellStyle name="Total 3 7 2 2 4 2 2" xfId="55812"/>
    <cellStyle name="Total 3 7 2 2 4 3" xfId="42449"/>
    <cellStyle name="Total 3 7 2 2 5" xfId="22205"/>
    <cellStyle name="Total 3 7 2 2 5 2" xfId="51384"/>
    <cellStyle name="Total 3 7 2 2 6" xfId="33140"/>
    <cellStyle name="Total 3 7 2 3" xfId="5424"/>
    <cellStyle name="Total 3 7 2 3 2" xfId="14401"/>
    <cellStyle name="Total 3 7 2 3 2 2" xfId="27353"/>
    <cellStyle name="Total 3 7 2 3 2 2 2" xfId="56532"/>
    <cellStyle name="Total 3 7 2 3 2 3" xfId="43582"/>
    <cellStyle name="Total 3 7 2 3 3" xfId="22925"/>
    <cellStyle name="Total 3 7 2 3 3 2" xfId="52104"/>
    <cellStyle name="Total 3 7 2 3 4" xfId="34607"/>
    <cellStyle name="Total 3 7 2 4" xfId="8244"/>
    <cellStyle name="Total 3 7 2 4 2" xfId="16500"/>
    <cellStyle name="Total 3 7 2 4 2 2" xfId="28654"/>
    <cellStyle name="Total 3 7 2 4 2 2 2" xfId="57833"/>
    <cellStyle name="Total 3 7 2 4 2 3" xfId="45681"/>
    <cellStyle name="Total 3 7 2 4 3" xfId="24226"/>
    <cellStyle name="Total 3 7 2 4 3 2" xfId="53405"/>
    <cellStyle name="Total 3 7 2 4 4" xfId="37427"/>
    <cellStyle name="Total 3 7 2 5" xfId="11993"/>
    <cellStyle name="Total 3 7 2 5 2" xfId="25913"/>
    <cellStyle name="Total 3 7 2 5 2 2" xfId="55092"/>
    <cellStyle name="Total 3 7 2 5 3" xfId="41174"/>
    <cellStyle name="Total 3 7 2 6" xfId="21485"/>
    <cellStyle name="Total 3 7 2 6 2" xfId="50664"/>
    <cellStyle name="Total 3 7 2 7" xfId="31340"/>
    <cellStyle name="Total 3 7 3" xfId="3057"/>
    <cellStyle name="Total 3 7 3 2" xfId="6144"/>
    <cellStyle name="Total 3 7 3 2 2" xfId="14962"/>
    <cellStyle name="Total 3 7 3 2 2 2" xfId="27713"/>
    <cellStyle name="Total 3 7 3 2 2 2 2" xfId="56892"/>
    <cellStyle name="Total 3 7 3 2 2 3" xfId="44143"/>
    <cellStyle name="Total 3 7 3 2 3" xfId="23285"/>
    <cellStyle name="Total 3 7 3 2 3 2" xfId="52464"/>
    <cellStyle name="Total 3 7 3 2 4" xfId="35327"/>
    <cellStyle name="Total 3 7 3 3" xfId="9774"/>
    <cellStyle name="Total 3 7 3 3 2" xfId="17602"/>
    <cellStyle name="Total 3 7 3 3 2 2" xfId="29258"/>
    <cellStyle name="Total 3 7 3 3 2 2 2" xfId="58437"/>
    <cellStyle name="Total 3 7 3 3 2 3" xfId="46783"/>
    <cellStyle name="Total 3 7 3 3 3" xfId="24830"/>
    <cellStyle name="Total 3 7 3 3 3 2" xfId="54009"/>
    <cellStyle name="Total 3 7 3 3 4" xfId="38957"/>
    <cellStyle name="Total 3 7 3 4" xfId="12629"/>
    <cellStyle name="Total 3 7 3 4 2" xfId="26273"/>
    <cellStyle name="Total 3 7 3 4 2 2" xfId="55452"/>
    <cellStyle name="Total 3 7 3 4 3" xfId="41810"/>
    <cellStyle name="Total 3 7 3 5" xfId="21845"/>
    <cellStyle name="Total 3 7 3 5 2" xfId="51024"/>
    <cellStyle name="Total 3 7 3 6" xfId="32240"/>
    <cellStyle name="Total 3 7 4" xfId="4704"/>
    <cellStyle name="Total 3 7 4 2" xfId="13842"/>
    <cellStyle name="Total 3 7 4 2 2" xfId="26993"/>
    <cellStyle name="Total 3 7 4 2 2 2" xfId="56172"/>
    <cellStyle name="Total 3 7 4 2 3" xfId="43023"/>
    <cellStyle name="Total 3 7 4 3" xfId="22565"/>
    <cellStyle name="Total 3 7 4 3 2" xfId="51744"/>
    <cellStyle name="Total 3 7 4 4" xfId="33887"/>
    <cellStyle name="Total 3 7 5" xfId="7970"/>
    <cellStyle name="Total 3 7 5 2" xfId="16303"/>
    <cellStyle name="Total 3 7 5 2 2" xfId="28545"/>
    <cellStyle name="Total 3 7 5 2 2 2" xfId="57724"/>
    <cellStyle name="Total 3 7 5 2 3" xfId="45484"/>
    <cellStyle name="Total 3 7 5 3" xfId="24117"/>
    <cellStyle name="Total 3 7 5 3 2" xfId="53296"/>
    <cellStyle name="Total 3 7 5 4" xfId="37153"/>
    <cellStyle name="Total 3 7 6" xfId="11364"/>
    <cellStyle name="Total 3 7 6 2" xfId="25553"/>
    <cellStyle name="Total 3 7 6 2 2" xfId="54732"/>
    <cellStyle name="Total 3 7 6 3" xfId="40545"/>
    <cellStyle name="Total 3 7 7" xfId="21125"/>
    <cellStyle name="Total 3 7 7 2" xfId="50304"/>
    <cellStyle name="Total 3 7 8" xfId="30440"/>
    <cellStyle name="Total 3 8" xfId="1437"/>
    <cellStyle name="Total 3 8 2" xfId="3237"/>
    <cellStyle name="Total 3 8 2 2" xfId="6288"/>
    <cellStyle name="Total 3 8 2 2 2" xfId="15071"/>
    <cellStyle name="Total 3 8 2 2 2 2" xfId="27785"/>
    <cellStyle name="Total 3 8 2 2 2 2 2" xfId="56964"/>
    <cellStyle name="Total 3 8 2 2 2 3" xfId="44252"/>
    <cellStyle name="Total 3 8 2 2 3" xfId="23357"/>
    <cellStyle name="Total 3 8 2 2 3 2" xfId="52536"/>
    <cellStyle name="Total 3 8 2 2 4" xfId="35471"/>
    <cellStyle name="Total 3 8 2 3" xfId="8034"/>
    <cellStyle name="Total 3 8 2 3 2" xfId="16350"/>
    <cellStyle name="Total 3 8 2 3 2 2" xfId="28570"/>
    <cellStyle name="Total 3 8 2 3 2 2 2" xfId="57749"/>
    <cellStyle name="Total 3 8 2 3 2 3" xfId="45531"/>
    <cellStyle name="Total 3 8 2 3 3" xfId="24142"/>
    <cellStyle name="Total 3 8 2 3 3 2" xfId="53321"/>
    <cellStyle name="Total 3 8 2 3 4" xfId="37217"/>
    <cellStyle name="Total 3 8 2 4" xfId="12756"/>
    <cellStyle name="Total 3 8 2 4 2" xfId="26345"/>
    <cellStyle name="Total 3 8 2 4 2 2" xfId="55524"/>
    <cellStyle name="Total 3 8 2 4 3" xfId="41937"/>
    <cellStyle name="Total 3 8 2 5" xfId="21917"/>
    <cellStyle name="Total 3 8 2 5 2" xfId="51096"/>
    <cellStyle name="Total 3 8 2 6" xfId="32420"/>
    <cellStyle name="Total 3 8 3" xfId="4848"/>
    <cellStyle name="Total 3 8 3 2" xfId="13947"/>
    <cellStyle name="Total 3 8 3 2 2" xfId="27065"/>
    <cellStyle name="Total 3 8 3 2 2 2" xfId="56244"/>
    <cellStyle name="Total 3 8 3 2 3" xfId="43128"/>
    <cellStyle name="Total 3 8 3 3" xfId="22637"/>
    <cellStyle name="Total 3 8 3 3 2" xfId="51816"/>
    <cellStyle name="Total 3 8 3 4" xfId="34031"/>
    <cellStyle name="Total 3 8 4" xfId="7494"/>
    <cellStyle name="Total 3 8 4 2" xfId="15971"/>
    <cellStyle name="Total 3 8 4 2 2" xfId="28363"/>
    <cellStyle name="Total 3 8 4 2 2 2" xfId="57542"/>
    <cellStyle name="Total 3 8 4 2 3" xfId="45152"/>
    <cellStyle name="Total 3 8 4 3" xfId="23935"/>
    <cellStyle name="Total 3 8 4 3 2" xfId="53114"/>
    <cellStyle name="Total 3 8 4 4" xfId="36677"/>
    <cellStyle name="Total 3 8 5" xfId="11485"/>
    <cellStyle name="Total 3 8 5 2" xfId="25625"/>
    <cellStyle name="Total 3 8 5 2 2" xfId="54804"/>
    <cellStyle name="Total 3 8 5 3" xfId="40666"/>
    <cellStyle name="Total 3 8 6" xfId="21197"/>
    <cellStyle name="Total 3 8 6 2" xfId="50376"/>
    <cellStyle name="Total 3 8 7" xfId="30620"/>
    <cellStyle name="Total 3 9" xfId="2337"/>
    <cellStyle name="Total 3 9 2" xfId="5568"/>
    <cellStyle name="Total 3 9 2 2" xfId="14513"/>
    <cellStyle name="Total 3 9 2 2 2" xfId="27425"/>
    <cellStyle name="Total 3 9 2 2 2 2" xfId="56604"/>
    <cellStyle name="Total 3 9 2 2 3" xfId="43694"/>
    <cellStyle name="Total 3 9 2 3" xfId="22997"/>
    <cellStyle name="Total 3 9 2 3 2" xfId="52176"/>
    <cellStyle name="Total 3 9 2 4" xfId="34751"/>
    <cellStyle name="Total 3 9 3" xfId="7277"/>
    <cellStyle name="Total 3 9 3 2" xfId="15822"/>
    <cellStyle name="Total 3 9 3 2 2" xfId="28266"/>
    <cellStyle name="Total 3 9 3 2 2 2" xfId="57445"/>
    <cellStyle name="Total 3 9 3 2 3" xfId="45003"/>
    <cellStyle name="Total 3 9 3 3" xfId="23838"/>
    <cellStyle name="Total 3 9 3 3 2" xfId="53017"/>
    <cellStyle name="Total 3 9 3 4" xfId="36460"/>
    <cellStyle name="Total 3 9 4" xfId="12117"/>
    <cellStyle name="Total 3 9 4 2" xfId="25985"/>
    <cellStyle name="Total 3 9 4 2 2" xfId="55164"/>
    <cellStyle name="Total 3 9 4 3" xfId="41298"/>
    <cellStyle name="Total 3 9 5" xfId="21557"/>
    <cellStyle name="Total 3 9 5 2" xfId="50736"/>
    <cellStyle name="Total 3 9 6" xfId="31520"/>
    <cellStyle name="Total 4" xfId="415"/>
    <cellStyle name="Total 4 10" xfId="4129"/>
    <cellStyle name="Total 4 10 2" xfId="13393"/>
    <cellStyle name="Total 4 10 2 2" xfId="26706"/>
    <cellStyle name="Total 4 10 2 2 2" xfId="55885"/>
    <cellStyle name="Total 4 10 2 3" xfId="42574"/>
    <cellStyle name="Total 4 10 3" xfId="22278"/>
    <cellStyle name="Total 4 10 3 2" xfId="51457"/>
    <cellStyle name="Total 4 10 4" xfId="33312"/>
    <cellStyle name="Total 4 11" xfId="10740"/>
    <cellStyle name="Total 4 11 2" xfId="25166"/>
    <cellStyle name="Total 4 11 2 2" xfId="54345"/>
    <cellStyle name="Total 4 11 3" xfId="39921"/>
    <cellStyle name="Total 4 12" xfId="20738"/>
    <cellStyle name="Total 4 12 2" xfId="49917"/>
    <cellStyle name="Total 4 13" xfId="58758"/>
    <cellStyle name="Total 4 14" xfId="29621"/>
    <cellStyle name="Total 4 2" xfId="460"/>
    <cellStyle name="Total 4 2 10" xfId="8379"/>
    <cellStyle name="Total 4 2 10 2" xfId="16598"/>
    <cellStyle name="Total 4 2 10 2 2" xfId="28704"/>
    <cellStyle name="Total 4 2 10 2 2 2" xfId="57883"/>
    <cellStyle name="Total 4 2 10 2 3" xfId="45779"/>
    <cellStyle name="Total 4 2 10 3" xfId="24276"/>
    <cellStyle name="Total 4 2 10 3 2" xfId="53455"/>
    <cellStyle name="Total 4 2 10 4" xfId="37562"/>
    <cellStyle name="Total 4 2 11" xfId="10774"/>
    <cellStyle name="Total 4 2 11 2" xfId="25184"/>
    <cellStyle name="Total 4 2 11 2 2" xfId="54363"/>
    <cellStyle name="Total 4 2 11 3" xfId="39955"/>
    <cellStyle name="Total 4 2 12" xfId="20756"/>
    <cellStyle name="Total 4 2 12 2" xfId="49935"/>
    <cellStyle name="Total 4 2 13" xfId="58803"/>
    <cellStyle name="Total 4 2 14" xfId="29666"/>
    <cellStyle name="Total 4 2 2" xfId="550"/>
    <cellStyle name="Total 4 2 2 10" xfId="10837"/>
    <cellStyle name="Total 4 2 2 10 2" xfId="25220"/>
    <cellStyle name="Total 4 2 2 10 2 2" xfId="54399"/>
    <cellStyle name="Total 4 2 2 10 3" xfId="40018"/>
    <cellStyle name="Total 4 2 2 11" xfId="20792"/>
    <cellStyle name="Total 4 2 2 11 2" xfId="49971"/>
    <cellStyle name="Total 4 2 2 12" xfId="29756"/>
    <cellStyle name="Total 4 2 2 2" xfId="903"/>
    <cellStyle name="Total 4 2 2 2 2" xfId="1841"/>
    <cellStyle name="Total 4 2 2 2 2 2" xfId="3641"/>
    <cellStyle name="Total 4 2 2 2 2 2 2" xfId="6611"/>
    <cellStyle name="Total 4 2 2 2 2 2 2 2" xfId="15323"/>
    <cellStyle name="Total 4 2 2 2 2 2 2 2 2" xfId="27928"/>
    <cellStyle name="Total 4 2 2 2 2 2 2 2 2 2" xfId="57107"/>
    <cellStyle name="Total 4 2 2 2 2 2 2 2 3" xfId="44504"/>
    <cellStyle name="Total 4 2 2 2 2 2 2 3" xfId="23500"/>
    <cellStyle name="Total 4 2 2 2 2 2 2 3 2" xfId="52679"/>
    <cellStyle name="Total 4 2 2 2 2 2 2 4" xfId="35794"/>
    <cellStyle name="Total 4 2 2 2 2 2 3" xfId="7904"/>
    <cellStyle name="Total 4 2 2 2 2 2 3 2" xfId="16255"/>
    <cellStyle name="Total 4 2 2 2 2 2 3 2 2" xfId="28518"/>
    <cellStyle name="Total 4 2 2 2 2 2 3 2 2 2" xfId="57697"/>
    <cellStyle name="Total 4 2 2 2 2 2 3 2 3" xfId="45436"/>
    <cellStyle name="Total 4 2 2 2 2 2 3 3" xfId="24090"/>
    <cellStyle name="Total 4 2 2 2 2 2 3 3 2" xfId="53269"/>
    <cellStyle name="Total 4 2 2 2 2 2 3 4" xfId="37087"/>
    <cellStyle name="Total 4 2 2 2 2 2 4" xfId="13042"/>
    <cellStyle name="Total 4 2 2 2 2 2 4 2" xfId="26488"/>
    <cellStyle name="Total 4 2 2 2 2 2 4 2 2" xfId="55667"/>
    <cellStyle name="Total 4 2 2 2 2 2 4 3" xfId="42223"/>
    <cellStyle name="Total 4 2 2 2 2 2 5" xfId="22060"/>
    <cellStyle name="Total 4 2 2 2 2 2 5 2" xfId="51239"/>
    <cellStyle name="Total 4 2 2 2 2 2 6" xfId="32824"/>
    <cellStyle name="Total 4 2 2 2 2 3" xfId="5171"/>
    <cellStyle name="Total 4 2 2 2 2 3 2" xfId="14201"/>
    <cellStyle name="Total 4 2 2 2 2 3 2 2" xfId="27208"/>
    <cellStyle name="Total 4 2 2 2 2 3 2 2 2" xfId="56387"/>
    <cellStyle name="Total 4 2 2 2 2 3 2 3" xfId="43382"/>
    <cellStyle name="Total 4 2 2 2 2 3 3" xfId="22780"/>
    <cellStyle name="Total 4 2 2 2 2 3 3 2" xfId="51959"/>
    <cellStyle name="Total 4 2 2 2 2 3 4" xfId="34354"/>
    <cellStyle name="Total 4 2 2 2 2 4" xfId="7842"/>
    <cellStyle name="Total 4 2 2 2 2 4 2" xfId="16213"/>
    <cellStyle name="Total 4 2 2 2 2 4 2 2" xfId="28492"/>
    <cellStyle name="Total 4 2 2 2 2 4 2 2 2" xfId="57671"/>
    <cellStyle name="Total 4 2 2 2 2 4 2 3" xfId="45394"/>
    <cellStyle name="Total 4 2 2 2 2 4 3" xfId="24064"/>
    <cellStyle name="Total 4 2 2 2 2 4 3 2" xfId="53243"/>
    <cellStyle name="Total 4 2 2 2 2 4 4" xfId="37025"/>
    <cellStyle name="Total 4 2 2 2 2 5" xfId="11766"/>
    <cellStyle name="Total 4 2 2 2 2 5 2" xfId="25768"/>
    <cellStyle name="Total 4 2 2 2 2 5 2 2" xfId="54947"/>
    <cellStyle name="Total 4 2 2 2 2 5 3" xfId="40947"/>
    <cellStyle name="Total 4 2 2 2 2 6" xfId="21340"/>
    <cellStyle name="Total 4 2 2 2 2 6 2" xfId="50519"/>
    <cellStyle name="Total 4 2 2 2 2 7" xfId="31024"/>
    <cellStyle name="Total 4 2 2 2 3" xfId="2741"/>
    <cellStyle name="Total 4 2 2 2 3 2" xfId="5891"/>
    <cellStyle name="Total 4 2 2 2 3 2 2" xfId="14766"/>
    <cellStyle name="Total 4 2 2 2 3 2 2 2" xfId="27568"/>
    <cellStyle name="Total 4 2 2 2 3 2 2 2 2" xfId="56747"/>
    <cellStyle name="Total 4 2 2 2 3 2 2 3" xfId="43947"/>
    <cellStyle name="Total 4 2 2 2 3 2 3" xfId="23140"/>
    <cellStyle name="Total 4 2 2 2 3 2 3 2" xfId="52319"/>
    <cellStyle name="Total 4 2 2 2 3 2 4" xfId="35074"/>
    <cellStyle name="Total 4 2 2 2 3 3" xfId="8399"/>
    <cellStyle name="Total 4 2 2 2 3 3 2" xfId="16611"/>
    <cellStyle name="Total 4 2 2 2 3 3 2 2" xfId="28712"/>
    <cellStyle name="Total 4 2 2 2 3 3 2 2 2" xfId="57891"/>
    <cellStyle name="Total 4 2 2 2 3 3 2 3" xfId="45792"/>
    <cellStyle name="Total 4 2 2 2 3 3 3" xfId="24284"/>
    <cellStyle name="Total 4 2 2 2 3 3 3 2" xfId="53463"/>
    <cellStyle name="Total 4 2 2 2 3 3 4" xfId="37582"/>
    <cellStyle name="Total 4 2 2 2 3 4" xfId="12407"/>
    <cellStyle name="Total 4 2 2 2 3 4 2" xfId="26128"/>
    <cellStyle name="Total 4 2 2 2 3 4 2 2" xfId="55307"/>
    <cellStyle name="Total 4 2 2 2 3 4 3" xfId="41588"/>
    <cellStyle name="Total 4 2 2 2 3 5" xfId="21700"/>
    <cellStyle name="Total 4 2 2 2 3 5 2" xfId="50879"/>
    <cellStyle name="Total 4 2 2 2 3 6" xfId="31924"/>
    <cellStyle name="Total 4 2 2 2 4" xfId="4451"/>
    <cellStyle name="Total 4 2 2 2 4 2" xfId="13644"/>
    <cellStyle name="Total 4 2 2 2 4 2 2" xfId="26848"/>
    <cellStyle name="Total 4 2 2 2 4 2 2 2" xfId="56027"/>
    <cellStyle name="Total 4 2 2 2 4 2 3" xfId="42825"/>
    <cellStyle name="Total 4 2 2 2 4 3" xfId="22420"/>
    <cellStyle name="Total 4 2 2 2 4 3 2" xfId="51599"/>
    <cellStyle name="Total 4 2 2 2 4 4" xfId="33634"/>
    <cellStyle name="Total 4 2 2 2 5" xfId="9836"/>
    <cellStyle name="Total 4 2 2 2 5 2" xfId="17650"/>
    <cellStyle name="Total 4 2 2 2 5 2 2" xfId="29286"/>
    <cellStyle name="Total 4 2 2 2 5 2 2 2" xfId="58465"/>
    <cellStyle name="Total 4 2 2 2 5 2 3" xfId="46831"/>
    <cellStyle name="Total 4 2 2 2 5 3" xfId="24858"/>
    <cellStyle name="Total 4 2 2 2 5 3 2" xfId="54037"/>
    <cellStyle name="Total 4 2 2 2 5 4" xfId="39019"/>
    <cellStyle name="Total 4 2 2 2 6" xfId="11107"/>
    <cellStyle name="Total 4 2 2 2 6 2" xfId="25384"/>
    <cellStyle name="Total 4 2 2 2 6 2 2" xfId="54563"/>
    <cellStyle name="Total 4 2 2 2 6 3" xfId="40288"/>
    <cellStyle name="Total 4 2 2 2 7" xfId="20956"/>
    <cellStyle name="Total 4 2 2 2 7 2" xfId="50135"/>
    <cellStyle name="Total 4 2 2 2 8" xfId="30100"/>
    <cellStyle name="Total 4 2 2 3" xfId="1095"/>
    <cellStyle name="Total 4 2 2 3 2" xfId="2005"/>
    <cellStyle name="Total 4 2 2 3 2 2" xfId="3805"/>
    <cellStyle name="Total 4 2 2 3 2 2 2" xfId="6739"/>
    <cellStyle name="Total 4 2 2 3 2 2 2 2" xfId="15425"/>
    <cellStyle name="Total 4 2 2 3 2 2 2 2 2" xfId="28002"/>
    <cellStyle name="Total 4 2 2 3 2 2 2 2 2 2" xfId="57181"/>
    <cellStyle name="Total 4 2 2 3 2 2 2 2 3" xfId="44606"/>
    <cellStyle name="Total 4 2 2 3 2 2 2 3" xfId="23574"/>
    <cellStyle name="Total 4 2 2 3 2 2 2 3 2" xfId="52753"/>
    <cellStyle name="Total 4 2 2 3 2 2 2 4" xfId="35922"/>
    <cellStyle name="Total 4 2 2 3 2 2 3" xfId="7736"/>
    <cellStyle name="Total 4 2 2 3 2 2 3 2" xfId="16140"/>
    <cellStyle name="Total 4 2 2 3 2 2 3 2 2" xfId="28453"/>
    <cellStyle name="Total 4 2 2 3 2 2 3 2 2 2" xfId="57632"/>
    <cellStyle name="Total 4 2 2 3 2 2 3 2 3" xfId="45321"/>
    <cellStyle name="Total 4 2 2 3 2 2 3 3" xfId="24025"/>
    <cellStyle name="Total 4 2 2 3 2 2 3 3 2" xfId="53204"/>
    <cellStyle name="Total 4 2 2 3 2 2 3 4" xfId="36919"/>
    <cellStyle name="Total 4 2 2 3 2 2 4" xfId="13162"/>
    <cellStyle name="Total 4 2 2 3 2 2 4 2" xfId="26562"/>
    <cellStyle name="Total 4 2 2 3 2 2 4 2 2" xfId="55741"/>
    <cellStyle name="Total 4 2 2 3 2 2 4 3" xfId="42343"/>
    <cellStyle name="Total 4 2 2 3 2 2 5" xfId="22134"/>
    <cellStyle name="Total 4 2 2 3 2 2 5 2" xfId="51313"/>
    <cellStyle name="Total 4 2 2 3 2 2 6" xfId="32988"/>
    <cellStyle name="Total 4 2 2 3 2 3" xfId="5299"/>
    <cellStyle name="Total 4 2 2 3 2 3 2" xfId="14304"/>
    <cellStyle name="Total 4 2 2 3 2 3 2 2" xfId="27282"/>
    <cellStyle name="Total 4 2 2 3 2 3 2 2 2" xfId="56461"/>
    <cellStyle name="Total 4 2 2 3 2 3 2 3" xfId="43485"/>
    <cellStyle name="Total 4 2 2 3 2 3 3" xfId="22854"/>
    <cellStyle name="Total 4 2 2 3 2 3 3 2" xfId="52033"/>
    <cellStyle name="Total 4 2 2 3 2 3 4" xfId="34482"/>
    <cellStyle name="Total 4 2 2 3 2 4" xfId="7674"/>
    <cellStyle name="Total 4 2 2 3 2 4 2" xfId="16100"/>
    <cellStyle name="Total 4 2 2 3 2 4 2 2" xfId="28430"/>
    <cellStyle name="Total 4 2 2 3 2 4 2 2 2" xfId="57609"/>
    <cellStyle name="Total 4 2 2 3 2 4 2 3" xfId="45281"/>
    <cellStyle name="Total 4 2 2 3 2 4 3" xfId="24002"/>
    <cellStyle name="Total 4 2 2 3 2 4 3 2" xfId="53181"/>
    <cellStyle name="Total 4 2 2 3 2 4 4" xfId="36857"/>
    <cellStyle name="Total 4 2 2 3 2 5" xfId="11886"/>
    <cellStyle name="Total 4 2 2 3 2 5 2" xfId="25842"/>
    <cellStyle name="Total 4 2 2 3 2 5 2 2" xfId="55021"/>
    <cellStyle name="Total 4 2 2 3 2 5 3" xfId="41067"/>
    <cellStyle name="Total 4 2 2 3 2 6" xfId="21414"/>
    <cellStyle name="Total 4 2 2 3 2 6 2" xfId="50593"/>
    <cellStyle name="Total 4 2 2 3 2 7" xfId="31188"/>
    <cellStyle name="Total 4 2 2 3 3" xfId="2905"/>
    <cellStyle name="Total 4 2 2 3 3 2" xfId="6019"/>
    <cellStyle name="Total 4 2 2 3 3 2 2" xfId="14865"/>
    <cellStyle name="Total 4 2 2 3 3 2 2 2" xfId="27642"/>
    <cellStyle name="Total 4 2 2 3 3 2 2 2 2" xfId="56821"/>
    <cellStyle name="Total 4 2 2 3 3 2 2 3" xfId="44046"/>
    <cellStyle name="Total 4 2 2 3 3 2 3" xfId="23214"/>
    <cellStyle name="Total 4 2 2 3 3 2 3 2" xfId="52393"/>
    <cellStyle name="Total 4 2 2 3 3 2 4" xfId="35202"/>
    <cellStyle name="Total 4 2 2 3 3 3" xfId="8460"/>
    <cellStyle name="Total 4 2 2 3 3 3 2" xfId="16651"/>
    <cellStyle name="Total 4 2 2 3 3 3 2 2" xfId="28730"/>
    <cellStyle name="Total 4 2 2 3 3 3 2 2 2" xfId="57909"/>
    <cellStyle name="Total 4 2 2 3 3 3 2 3" xfId="45832"/>
    <cellStyle name="Total 4 2 2 3 3 3 3" xfId="24302"/>
    <cellStyle name="Total 4 2 2 3 3 3 3 2" xfId="53481"/>
    <cellStyle name="Total 4 2 2 3 3 3 4" xfId="37643"/>
    <cellStyle name="Total 4 2 2 3 3 4" xfId="12522"/>
    <cellStyle name="Total 4 2 2 3 3 4 2" xfId="26202"/>
    <cellStyle name="Total 4 2 2 3 3 4 2 2" xfId="55381"/>
    <cellStyle name="Total 4 2 2 3 3 4 3" xfId="41703"/>
    <cellStyle name="Total 4 2 2 3 3 5" xfId="21774"/>
    <cellStyle name="Total 4 2 2 3 3 5 2" xfId="50953"/>
    <cellStyle name="Total 4 2 2 3 3 6" xfId="32088"/>
    <cellStyle name="Total 4 2 2 3 4" xfId="4579"/>
    <cellStyle name="Total 4 2 2 3 4 2" xfId="13745"/>
    <cellStyle name="Total 4 2 2 3 4 2 2" xfId="26922"/>
    <cellStyle name="Total 4 2 2 3 4 2 2 2" xfId="56101"/>
    <cellStyle name="Total 4 2 2 3 4 2 3" xfId="42926"/>
    <cellStyle name="Total 4 2 2 3 4 3" xfId="22494"/>
    <cellStyle name="Total 4 2 2 3 4 3 2" xfId="51673"/>
    <cellStyle name="Total 4 2 2 3 4 4" xfId="33762"/>
    <cellStyle name="Total 4 2 2 3 5" xfId="7972"/>
    <cellStyle name="Total 4 2 2 3 5 2" xfId="16305"/>
    <cellStyle name="Total 4 2 2 3 5 2 2" xfId="28546"/>
    <cellStyle name="Total 4 2 2 3 5 2 2 2" xfId="57725"/>
    <cellStyle name="Total 4 2 2 3 5 2 3" xfId="45486"/>
    <cellStyle name="Total 4 2 2 3 5 3" xfId="24118"/>
    <cellStyle name="Total 4 2 2 3 5 3 2" xfId="53297"/>
    <cellStyle name="Total 4 2 2 3 5 4" xfId="37155"/>
    <cellStyle name="Total 4 2 2 3 6" xfId="11250"/>
    <cellStyle name="Total 4 2 2 3 6 2" xfId="25479"/>
    <cellStyle name="Total 4 2 2 3 6 2 2" xfId="54658"/>
    <cellStyle name="Total 4 2 2 3 6 3" xfId="40431"/>
    <cellStyle name="Total 4 2 2 3 7" xfId="21051"/>
    <cellStyle name="Total 4 2 2 3 7 2" xfId="50230"/>
    <cellStyle name="Total 4 2 2 3 8" xfId="30285"/>
    <cellStyle name="Total 4 2 2 4" xfId="1245"/>
    <cellStyle name="Total 4 2 2 4 2" xfId="2149"/>
    <cellStyle name="Total 4 2 2 4 2 2" xfId="3949"/>
    <cellStyle name="Total 4 2 2 4 2 2 2" xfId="6856"/>
    <cellStyle name="Total 4 2 2 4 2 2 2 2" xfId="15515"/>
    <cellStyle name="Total 4 2 2 4 2 2 2 2 2" xfId="28065"/>
    <cellStyle name="Total 4 2 2 4 2 2 2 2 2 2" xfId="57244"/>
    <cellStyle name="Total 4 2 2 4 2 2 2 2 3" xfId="44696"/>
    <cellStyle name="Total 4 2 2 4 2 2 2 3" xfId="23637"/>
    <cellStyle name="Total 4 2 2 4 2 2 2 3 2" xfId="52816"/>
    <cellStyle name="Total 4 2 2 4 2 2 2 4" xfId="36039"/>
    <cellStyle name="Total 4 2 2 4 2 2 3" xfId="7131"/>
    <cellStyle name="Total 4 2 2 4 2 2 3 2" xfId="15721"/>
    <cellStyle name="Total 4 2 2 4 2 2 3 2 2" xfId="28203"/>
    <cellStyle name="Total 4 2 2 4 2 2 3 2 2 2" xfId="57382"/>
    <cellStyle name="Total 4 2 2 4 2 2 3 2 3" xfId="44902"/>
    <cellStyle name="Total 4 2 2 4 2 2 3 3" xfId="23775"/>
    <cellStyle name="Total 4 2 2 4 2 2 3 3 2" xfId="52954"/>
    <cellStyle name="Total 4 2 2 4 2 2 3 4" xfId="36314"/>
    <cellStyle name="Total 4 2 2 4 2 2 4" xfId="13260"/>
    <cellStyle name="Total 4 2 2 4 2 2 4 2" xfId="26625"/>
    <cellStyle name="Total 4 2 2 4 2 2 4 2 2" xfId="55804"/>
    <cellStyle name="Total 4 2 2 4 2 2 4 3" xfId="42441"/>
    <cellStyle name="Total 4 2 2 4 2 2 5" xfId="22197"/>
    <cellStyle name="Total 4 2 2 4 2 2 5 2" xfId="51376"/>
    <cellStyle name="Total 4 2 2 4 2 2 6" xfId="33132"/>
    <cellStyle name="Total 4 2 2 4 2 3" xfId="5416"/>
    <cellStyle name="Total 4 2 2 4 2 3 2" xfId="14393"/>
    <cellStyle name="Total 4 2 2 4 2 3 2 2" xfId="27345"/>
    <cellStyle name="Total 4 2 2 4 2 3 2 2 2" xfId="56524"/>
    <cellStyle name="Total 4 2 2 4 2 3 2 3" xfId="43574"/>
    <cellStyle name="Total 4 2 2 4 2 3 3" xfId="22917"/>
    <cellStyle name="Total 4 2 2 4 2 3 3 2" xfId="52096"/>
    <cellStyle name="Total 4 2 2 4 2 3 4" xfId="34599"/>
    <cellStyle name="Total 4 2 2 4 2 4" xfId="10136"/>
    <cellStyle name="Total 4 2 2 4 2 4 2" xfId="17850"/>
    <cellStyle name="Total 4 2 2 4 2 4 2 2" xfId="29401"/>
    <cellStyle name="Total 4 2 2 4 2 4 2 2 2" xfId="58580"/>
    <cellStyle name="Total 4 2 2 4 2 4 2 3" xfId="47031"/>
    <cellStyle name="Total 4 2 2 4 2 4 3" xfId="24973"/>
    <cellStyle name="Total 4 2 2 4 2 4 3 2" xfId="54152"/>
    <cellStyle name="Total 4 2 2 4 2 4 4" xfId="39319"/>
    <cellStyle name="Total 4 2 2 4 2 5" xfId="11985"/>
    <cellStyle name="Total 4 2 2 4 2 5 2" xfId="25905"/>
    <cellStyle name="Total 4 2 2 4 2 5 2 2" xfId="55084"/>
    <cellStyle name="Total 4 2 2 4 2 5 3" xfId="41166"/>
    <cellStyle name="Total 4 2 2 4 2 6" xfId="21477"/>
    <cellStyle name="Total 4 2 2 4 2 6 2" xfId="50656"/>
    <cellStyle name="Total 4 2 2 4 2 7" xfId="31332"/>
    <cellStyle name="Total 4 2 2 4 3" xfId="3049"/>
    <cellStyle name="Total 4 2 2 4 3 2" xfId="6136"/>
    <cellStyle name="Total 4 2 2 4 3 2 2" xfId="14954"/>
    <cellStyle name="Total 4 2 2 4 3 2 2 2" xfId="27705"/>
    <cellStyle name="Total 4 2 2 4 3 2 2 2 2" xfId="56884"/>
    <cellStyle name="Total 4 2 2 4 3 2 2 3" xfId="44135"/>
    <cellStyle name="Total 4 2 2 4 3 2 3" xfId="23277"/>
    <cellStyle name="Total 4 2 2 4 3 2 3 2" xfId="52456"/>
    <cellStyle name="Total 4 2 2 4 3 2 4" xfId="35319"/>
    <cellStyle name="Total 4 2 2 4 3 3" xfId="9362"/>
    <cellStyle name="Total 4 2 2 4 3 3 2" xfId="17310"/>
    <cellStyle name="Total 4 2 2 4 3 3 2 2" xfId="29094"/>
    <cellStyle name="Total 4 2 2 4 3 3 2 2 2" xfId="58273"/>
    <cellStyle name="Total 4 2 2 4 3 3 2 3" xfId="46491"/>
    <cellStyle name="Total 4 2 2 4 3 3 3" xfId="24666"/>
    <cellStyle name="Total 4 2 2 4 3 3 3 2" xfId="53845"/>
    <cellStyle name="Total 4 2 2 4 3 3 4" xfId="38545"/>
    <cellStyle name="Total 4 2 2 4 3 4" xfId="12621"/>
    <cellStyle name="Total 4 2 2 4 3 4 2" xfId="26265"/>
    <cellStyle name="Total 4 2 2 4 3 4 2 2" xfId="55444"/>
    <cellStyle name="Total 4 2 2 4 3 4 3" xfId="41802"/>
    <cellStyle name="Total 4 2 2 4 3 5" xfId="21837"/>
    <cellStyle name="Total 4 2 2 4 3 5 2" xfId="51016"/>
    <cellStyle name="Total 4 2 2 4 3 6" xfId="32232"/>
    <cellStyle name="Total 4 2 2 4 4" xfId="4696"/>
    <cellStyle name="Total 4 2 2 4 4 2" xfId="13834"/>
    <cellStyle name="Total 4 2 2 4 4 2 2" xfId="26985"/>
    <cellStyle name="Total 4 2 2 4 4 2 2 2" xfId="56164"/>
    <cellStyle name="Total 4 2 2 4 4 2 3" xfId="43015"/>
    <cellStyle name="Total 4 2 2 4 4 3" xfId="22557"/>
    <cellStyle name="Total 4 2 2 4 4 3 2" xfId="51736"/>
    <cellStyle name="Total 4 2 2 4 4 4" xfId="33879"/>
    <cellStyle name="Total 4 2 2 4 5" xfId="10525"/>
    <cellStyle name="Total 4 2 2 4 5 2" xfId="18125"/>
    <cellStyle name="Total 4 2 2 4 5 2 2" xfId="29551"/>
    <cellStyle name="Total 4 2 2 4 5 2 2 2" xfId="58730"/>
    <cellStyle name="Total 4 2 2 4 5 2 3" xfId="47306"/>
    <cellStyle name="Total 4 2 2 4 5 3" xfId="25123"/>
    <cellStyle name="Total 4 2 2 4 5 3 2" xfId="54302"/>
    <cellStyle name="Total 4 2 2 4 5 4" xfId="39708"/>
    <cellStyle name="Total 4 2 2 4 6" xfId="11355"/>
    <cellStyle name="Total 4 2 2 4 6 2" xfId="25545"/>
    <cellStyle name="Total 4 2 2 4 6 2 2" xfId="54724"/>
    <cellStyle name="Total 4 2 2 4 6 3" xfId="40536"/>
    <cellStyle name="Total 4 2 2 4 7" xfId="21117"/>
    <cellStyle name="Total 4 2 2 4 7 2" xfId="50296"/>
    <cellStyle name="Total 4 2 2 4 8" xfId="30432"/>
    <cellStyle name="Total 4 2 2 5" xfId="1391"/>
    <cellStyle name="Total 4 2 2 5 2" xfId="2293"/>
    <cellStyle name="Total 4 2 2 5 2 2" xfId="4093"/>
    <cellStyle name="Total 4 2 2 5 2 2 2" xfId="6973"/>
    <cellStyle name="Total 4 2 2 5 2 2 2 2" xfId="15605"/>
    <cellStyle name="Total 4 2 2 5 2 2 2 2 2" xfId="28128"/>
    <cellStyle name="Total 4 2 2 5 2 2 2 2 2 2" xfId="57307"/>
    <cellStyle name="Total 4 2 2 5 2 2 2 2 3" xfId="44786"/>
    <cellStyle name="Total 4 2 2 5 2 2 2 3" xfId="23700"/>
    <cellStyle name="Total 4 2 2 5 2 2 2 3 2" xfId="52879"/>
    <cellStyle name="Total 4 2 2 5 2 2 2 4" xfId="36156"/>
    <cellStyle name="Total 4 2 2 5 2 2 3" xfId="6987"/>
    <cellStyle name="Total 4 2 2 5 2 2 3 2" xfId="15617"/>
    <cellStyle name="Total 4 2 2 5 2 2 3 2 2" xfId="28140"/>
    <cellStyle name="Total 4 2 2 5 2 2 3 2 2 2" xfId="57319"/>
    <cellStyle name="Total 4 2 2 5 2 2 3 2 3" xfId="44798"/>
    <cellStyle name="Total 4 2 2 5 2 2 3 3" xfId="23712"/>
    <cellStyle name="Total 4 2 2 5 2 2 3 3 2" xfId="52891"/>
    <cellStyle name="Total 4 2 2 5 2 2 3 4" xfId="36170"/>
    <cellStyle name="Total 4 2 2 5 2 2 4" xfId="13365"/>
    <cellStyle name="Total 4 2 2 5 2 2 4 2" xfId="26688"/>
    <cellStyle name="Total 4 2 2 5 2 2 4 2 2" xfId="55867"/>
    <cellStyle name="Total 4 2 2 5 2 2 4 3" xfId="42546"/>
    <cellStyle name="Total 4 2 2 5 2 2 5" xfId="22260"/>
    <cellStyle name="Total 4 2 2 5 2 2 5 2" xfId="51439"/>
    <cellStyle name="Total 4 2 2 5 2 2 6" xfId="33276"/>
    <cellStyle name="Total 4 2 2 5 2 3" xfId="5533"/>
    <cellStyle name="Total 4 2 2 5 2 3 2" xfId="14486"/>
    <cellStyle name="Total 4 2 2 5 2 3 2 2" xfId="27408"/>
    <cellStyle name="Total 4 2 2 5 2 3 2 2 2" xfId="56587"/>
    <cellStyle name="Total 4 2 2 5 2 3 2 3" xfId="43667"/>
    <cellStyle name="Total 4 2 2 5 2 3 3" xfId="22980"/>
    <cellStyle name="Total 4 2 2 5 2 3 3 2" xfId="52159"/>
    <cellStyle name="Total 4 2 2 5 2 3 4" xfId="34716"/>
    <cellStyle name="Total 4 2 2 5 2 4" xfId="7287"/>
    <cellStyle name="Total 4 2 2 5 2 4 2" xfId="15830"/>
    <cellStyle name="Total 4 2 2 5 2 4 2 2" xfId="28272"/>
    <cellStyle name="Total 4 2 2 5 2 4 2 2 2" xfId="57451"/>
    <cellStyle name="Total 4 2 2 5 2 4 2 3" xfId="45011"/>
    <cellStyle name="Total 4 2 2 5 2 4 3" xfId="23844"/>
    <cellStyle name="Total 4 2 2 5 2 4 3 2" xfId="53023"/>
    <cellStyle name="Total 4 2 2 5 2 4 4" xfId="36470"/>
    <cellStyle name="Total 4 2 2 5 2 5" xfId="12086"/>
    <cellStyle name="Total 4 2 2 5 2 5 2" xfId="25968"/>
    <cellStyle name="Total 4 2 2 5 2 5 2 2" xfId="55147"/>
    <cellStyle name="Total 4 2 2 5 2 5 3" xfId="41267"/>
    <cellStyle name="Total 4 2 2 5 2 6" xfId="21540"/>
    <cellStyle name="Total 4 2 2 5 2 6 2" xfId="50719"/>
    <cellStyle name="Total 4 2 2 5 2 7" xfId="31476"/>
    <cellStyle name="Total 4 2 2 5 3" xfId="3193"/>
    <cellStyle name="Total 4 2 2 5 3 2" xfId="6253"/>
    <cellStyle name="Total 4 2 2 5 3 2 2" xfId="15046"/>
    <cellStyle name="Total 4 2 2 5 3 2 2 2" xfId="27768"/>
    <cellStyle name="Total 4 2 2 5 3 2 2 2 2" xfId="56947"/>
    <cellStyle name="Total 4 2 2 5 3 2 2 3" xfId="44227"/>
    <cellStyle name="Total 4 2 2 5 3 2 3" xfId="23340"/>
    <cellStyle name="Total 4 2 2 5 3 2 3 2" xfId="52519"/>
    <cellStyle name="Total 4 2 2 5 3 2 4" xfId="35436"/>
    <cellStyle name="Total 4 2 2 5 3 3" xfId="7176"/>
    <cellStyle name="Total 4 2 2 5 3 3 2" xfId="15752"/>
    <cellStyle name="Total 4 2 2 5 3 3 2 2" xfId="28224"/>
    <cellStyle name="Total 4 2 2 5 3 3 2 2 2" xfId="57403"/>
    <cellStyle name="Total 4 2 2 5 3 3 2 3" xfId="44933"/>
    <cellStyle name="Total 4 2 2 5 3 3 3" xfId="23796"/>
    <cellStyle name="Total 4 2 2 5 3 3 3 2" xfId="52975"/>
    <cellStyle name="Total 4 2 2 5 3 3 4" xfId="36359"/>
    <cellStyle name="Total 4 2 2 5 3 4" xfId="12727"/>
    <cellStyle name="Total 4 2 2 5 3 4 2" xfId="26328"/>
    <cellStyle name="Total 4 2 2 5 3 4 2 2" xfId="55507"/>
    <cellStyle name="Total 4 2 2 5 3 4 3" xfId="41908"/>
    <cellStyle name="Total 4 2 2 5 3 5" xfId="21900"/>
    <cellStyle name="Total 4 2 2 5 3 5 2" xfId="51079"/>
    <cellStyle name="Total 4 2 2 5 3 6" xfId="32376"/>
    <cellStyle name="Total 4 2 2 5 4" xfId="4813"/>
    <cellStyle name="Total 4 2 2 5 4 2" xfId="13922"/>
    <cellStyle name="Total 4 2 2 5 4 2 2" xfId="27048"/>
    <cellStyle name="Total 4 2 2 5 4 2 2 2" xfId="56227"/>
    <cellStyle name="Total 4 2 2 5 4 2 3" xfId="43103"/>
    <cellStyle name="Total 4 2 2 5 4 3" xfId="22620"/>
    <cellStyle name="Total 4 2 2 5 4 3 2" xfId="51799"/>
    <cellStyle name="Total 4 2 2 5 4 4" xfId="33996"/>
    <cellStyle name="Total 4 2 2 5 5" xfId="8790"/>
    <cellStyle name="Total 4 2 2 5 5 2" xfId="16893"/>
    <cellStyle name="Total 4 2 2 5 5 2 2" xfId="28865"/>
    <cellStyle name="Total 4 2 2 5 5 2 2 2" xfId="58044"/>
    <cellStyle name="Total 4 2 2 5 5 2 3" xfId="46074"/>
    <cellStyle name="Total 4 2 2 5 5 3" xfId="24437"/>
    <cellStyle name="Total 4 2 2 5 5 3 2" xfId="53616"/>
    <cellStyle name="Total 4 2 2 5 5 4" xfId="37973"/>
    <cellStyle name="Total 4 2 2 5 6" xfId="11455"/>
    <cellStyle name="Total 4 2 2 5 6 2" xfId="25608"/>
    <cellStyle name="Total 4 2 2 5 6 2 2" xfId="54787"/>
    <cellStyle name="Total 4 2 2 5 6 3" xfId="40636"/>
    <cellStyle name="Total 4 2 2 5 7" xfId="21180"/>
    <cellStyle name="Total 4 2 2 5 7 2" xfId="50359"/>
    <cellStyle name="Total 4 2 2 5 8" xfId="30576"/>
    <cellStyle name="Total 4 2 2 6" xfId="1573"/>
    <cellStyle name="Total 4 2 2 6 2" xfId="3373"/>
    <cellStyle name="Total 4 2 2 6 2 2" xfId="6397"/>
    <cellStyle name="Total 4 2 2 6 2 2 2" xfId="15152"/>
    <cellStyle name="Total 4 2 2 6 2 2 2 2" xfId="27840"/>
    <cellStyle name="Total 4 2 2 6 2 2 2 2 2" xfId="57019"/>
    <cellStyle name="Total 4 2 2 6 2 2 2 3" xfId="44333"/>
    <cellStyle name="Total 4 2 2 6 2 2 3" xfId="23412"/>
    <cellStyle name="Total 4 2 2 6 2 2 3 2" xfId="52591"/>
    <cellStyle name="Total 4 2 2 6 2 2 4" xfId="35580"/>
    <cellStyle name="Total 4 2 2 6 2 3" xfId="8415"/>
    <cellStyle name="Total 4 2 2 6 2 3 2" xfId="16621"/>
    <cellStyle name="Total 4 2 2 6 2 3 2 2" xfId="28717"/>
    <cellStyle name="Total 4 2 2 6 2 3 2 2 2" xfId="57896"/>
    <cellStyle name="Total 4 2 2 6 2 3 2 3" xfId="45802"/>
    <cellStyle name="Total 4 2 2 6 2 3 3" xfId="24289"/>
    <cellStyle name="Total 4 2 2 6 2 3 3 2" xfId="53468"/>
    <cellStyle name="Total 4 2 2 6 2 3 4" xfId="37598"/>
    <cellStyle name="Total 4 2 2 6 2 4" xfId="12849"/>
    <cellStyle name="Total 4 2 2 6 2 4 2" xfId="26400"/>
    <cellStyle name="Total 4 2 2 6 2 4 2 2" xfId="55579"/>
    <cellStyle name="Total 4 2 2 6 2 4 3" xfId="42030"/>
    <cellStyle name="Total 4 2 2 6 2 5" xfId="21972"/>
    <cellStyle name="Total 4 2 2 6 2 5 2" xfId="51151"/>
    <cellStyle name="Total 4 2 2 6 2 6" xfId="32556"/>
    <cellStyle name="Total 4 2 2 6 3" xfId="4957"/>
    <cellStyle name="Total 4 2 2 6 3 2" xfId="14031"/>
    <cellStyle name="Total 4 2 2 6 3 2 2" xfId="27120"/>
    <cellStyle name="Total 4 2 2 6 3 2 2 2" xfId="56299"/>
    <cellStyle name="Total 4 2 2 6 3 2 3" xfId="43212"/>
    <cellStyle name="Total 4 2 2 6 3 3" xfId="22692"/>
    <cellStyle name="Total 4 2 2 6 3 3 2" xfId="51871"/>
    <cellStyle name="Total 4 2 2 6 3 4" xfId="34140"/>
    <cellStyle name="Total 4 2 2 6 4" xfId="9138"/>
    <cellStyle name="Total 4 2 2 6 4 2" xfId="17145"/>
    <cellStyle name="Total 4 2 2 6 4 2 2" xfId="29005"/>
    <cellStyle name="Total 4 2 2 6 4 2 2 2" xfId="58184"/>
    <cellStyle name="Total 4 2 2 6 4 2 3" xfId="46326"/>
    <cellStyle name="Total 4 2 2 6 4 3" xfId="24577"/>
    <cellStyle name="Total 4 2 2 6 4 3 2" xfId="53756"/>
    <cellStyle name="Total 4 2 2 6 4 4" xfId="38321"/>
    <cellStyle name="Total 4 2 2 6 5" xfId="11578"/>
    <cellStyle name="Total 4 2 2 6 5 2" xfId="25680"/>
    <cellStyle name="Total 4 2 2 6 5 2 2" xfId="54859"/>
    <cellStyle name="Total 4 2 2 6 5 3" xfId="40759"/>
    <cellStyle name="Total 4 2 2 6 6" xfId="21252"/>
    <cellStyle name="Total 4 2 2 6 6 2" xfId="50431"/>
    <cellStyle name="Total 4 2 2 6 7" xfId="30756"/>
    <cellStyle name="Total 4 2 2 7" xfId="2473"/>
    <cellStyle name="Total 4 2 2 7 2" xfId="5677"/>
    <cellStyle name="Total 4 2 2 7 2 2" xfId="14599"/>
    <cellStyle name="Total 4 2 2 7 2 2 2" xfId="27480"/>
    <cellStyle name="Total 4 2 2 7 2 2 2 2" xfId="56659"/>
    <cellStyle name="Total 4 2 2 7 2 2 3" xfId="43780"/>
    <cellStyle name="Total 4 2 2 7 2 3" xfId="23052"/>
    <cellStyle name="Total 4 2 2 7 2 3 2" xfId="52231"/>
    <cellStyle name="Total 4 2 2 7 2 4" xfId="34860"/>
    <cellStyle name="Total 4 2 2 7 3" xfId="7714"/>
    <cellStyle name="Total 4 2 2 7 3 2" xfId="16126"/>
    <cellStyle name="Total 4 2 2 7 3 2 2" xfId="28445"/>
    <cellStyle name="Total 4 2 2 7 3 2 2 2" xfId="57624"/>
    <cellStyle name="Total 4 2 2 7 3 2 3" xfId="45307"/>
    <cellStyle name="Total 4 2 2 7 3 3" xfId="24017"/>
    <cellStyle name="Total 4 2 2 7 3 3 2" xfId="53196"/>
    <cellStyle name="Total 4 2 2 7 3 4" xfId="36897"/>
    <cellStyle name="Total 4 2 2 7 4" xfId="12215"/>
    <cellStyle name="Total 4 2 2 7 4 2" xfId="26040"/>
    <cellStyle name="Total 4 2 2 7 4 2 2" xfId="55219"/>
    <cellStyle name="Total 4 2 2 7 4 3" xfId="41396"/>
    <cellStyle name="Total 4 2 2 7 5" xfId="21612"/>
    <cellStyle name="Total 4 2 2 7 5 2" xfId="50791"/>
    <cellStyle name="Total 4 2 2 7 6" xfId="31656"/>
    <cellStyle name="Total 4 2 2 8" xfId="4237"/>
    <cellStyle name="Total 4 2 2 8 2" xfId="13480"/>
    <cellStyle name="Total 4 2 2 8 2 2" xfId="26760"/>
    <cellStyle name="Total 4 2 2 8 2 2 2" xfId="55939"/>
    <cellStyle name="Total 4 2 2 8 2 3" xfId="42661"/>
    <cellStyle name="Total 4 2 2 8 3" xfId="22332"/>
    <cellStyle name="Total 4 2 2 8 3 2" xfId="51511"/>
    <cellStyle name="Total 4 2 2 8 4" xfId="33420"/>
    <cellStyle name="Total 4 2 2 9" xfId="10294"/>
    <cellStyle name="Total 4 2 2 9 2" xfId="17965"/>
    <cellStyle name="Total 4 2 2 9 2 2" xfId="29468"/>
    <cellStyle name="Total 4 2 2 9 2 2 2" xfId="58647"/>
    <cellStyle name="Total 4 2 2 9 2 3" xfId="47146"/>
    <cellStyle name="Total 4 2 2 9 3" xfId="25040"/>
    <cellStyle name="Total 4 2 2 9 3 2" xfId="54219"/>
    <cellStyle name="Total 4 2 2 9 4" xfId="39477"/>
    <cellStyle name="Total 4 2 3" xfId="813"/>
    <cellStyle name="Total 4 2 3 2" xfId="1751"/>
    <cellStyle name="Total 4 2 3 2 2" xfId="3551"/>
    <cellStyle name="Total 4 2 3 2 2 2" xfId="6539"/>
    <cellStyle name="Total 4 2 3 2 2 2 2" xfId="15268"/>
    <cellStyle name="Total 4 2 3 2 2 2 2 2" xfId="27892"/>
    <cellStyle name="Total 4 2 3 2 2 2 2 2 2" xfId="57071"/>
    <cellStyle name="Total 4 2 3 2 2 2 2 3" xfId="44449"/>
    <cellStyle name="Total 4 2 3 2 2 2 3" xfId="23464"/>
    <cellStyle name="Total 4 2 3 2 2 2 3 2" xfId="52643"/>
    <cellStyle name="Total 4 2 3 2 2 2 4" xfId="35722"/>
    <cellStyle name="Total 4 2 3 2 2 3" xfId="10460"/>
    <cellStyle name="Total 4 2 3 2 2 3 2" xfId="18078"/>
    <cellStyle name="Total 4 2 3 2 2 3 2 2" xfId="29527"/>
    <cellStyle name="Total 4 2 3 2 2 3 2 2 2" xfId="58706"/>
    <cellStyle name="Total 4 2 3 2 2 3 2 3" xfId="47259"/>
    <cellStyle name="Total 4 2 3 2 2 3 3" xfId="25099"/>
    <cellStyle name="Total 4 2 3 2 2 3 3 2" xfId="54278"/>
    <cellStyle name="Total 4 2 3 2 2 3 4" xfId="39643"/>
    <cellStyle name="Total 4 2 3 2 2 4" xfId="12979"/>
    <cellStyle name="Total 4 2 3 2 2 4 2" xfId="26452"/>
    <cellStyle name="Total 4 2 3 2 2 4 2 2" xfId="55631"/>
    <cellStyle name="Total 4 2 3 2 2 4 3" xfId="42160"/>
    <cellStyle name="Total 4 2 3 2 2 5" xfId="22024"/>
    <cellStyle name="Total 4 2 3 2 2 5 2" xfId="51203"/>
    <cellStyle name="Total 4 2 3 2 2 6" xfId="32734"/>
    <cellStyle name="Total 4 2 3 2 3" xfId="5099"/>
    <cellStyle name="Total 4 2 3 2 3 2" xfId="14144"/>
    <cellStyle name="Total 4 2 3 2 3 2 2" xfId="27172"/>
    <cellStyle name="Total 4 2 3 2 3 2 2 2" xfId="56351"/>
    <cellStyle name="Total 4 2 3 2 3 2 3" xfId="43325"/>
    <cellStyle name="Total 4 2 3 2 3 3" xfId="22744"/>
    <cellStyle name="Total 4 2 3 2 3 3 2" xfId="51923"/>
    <cellStyle name="Total 4 2 3 2 3 4" xfId="34282"/>
    <cellStyle name="Total 4 2 3 2 4" xfId="7797"/>
    <cellStyle name="Total 4 2 3 2 4 2" xfId="16181"/>
    <cellStyle name="Total 4 2 3 2 4 2 2" xfId="28477"/>
    <cellStyle name="Total 4 2 3 2 4 2 2 2" xfId="57656"/>
    <cellStyle name="Total 4 2 3 2 4 2 3" xfId="45362"/>
    <cellStyle name="Total 4 2 3 2 4 3" xfId="24049"/>
    <cellStyle name="Total 4 2 3 2 4 3 2" xfId="53228"/>
    <cellStyle name="Total 4 2 3 2 4 4" xfId="36980"/>
    <cellStyle name="Total 4 2 3 2 5" xfId="11705"/>
    <cellStyle name="Total 4 2 3 2 5 2" xfId="25732"/>
    <cellStyle name="Total 4 2 3 2 5 2 2" xfId="54911"/>
    <cellStyle name="Total 4 2 3 2 5 3" xfId="40886"/>
    <cellStyle name="Total 4 2 3 2 6" xfId="21304"/>
    <cellStyle name="Total 4 2 3 2 6 2" xfId="50483"/>
    <cellStyle name="Total 4 2 3 2 7" xfId="30934"/>
    <cellStyle name="Total 4 2 3 3" xfId="2651"/>
    <cellStyle name="Total 4 2 3 3 2" xfId="5819"/>
    <cellStyle name="Total 4 2 3 3 2 2" xfId="14709"/>
    <cellStyle name="Total 4 2 3 3 2 2 2" xfId="27532"/>
    <cellStyle name="Total 4 2 3 3 2 2 2 2" xfId="56711"/>
    <cellStyle name="Total 4 2 3 3 2 2 3" xfId="43890"/>
    <cellStyle name="Total 4 2 3 3 2 3" xfId="23104"/>
    <cellStyle name="Total 4 2 3 3 2 3 2" xfId="52283"/>
    <cellStyle name="Total 4 2 3 3 2 4" xfId="35002"/>
    <cellStyle name="Total 4 2 3 3 3" xfId="8597"/>
    <cellStyle name="Total 4 2 3 3 3 2" xfId="16748"/>
    <cellStyle name="Total 4 2 3 3 3 2 2" xfId="28784"/>
    <cellStyle name="Total 4 2 3 3 3 2 2 2" xfId="57963"/>
    <cellStyle name="Total 4 2 3 3 3 2 3" xfId="45929"/>
    <cellStyle name="Total 4 2 3 3 3 3" xfId="24356"/>
    <cellStyle name="Total 4 2 3 3 3 3 2" xfId="53535"/>
    <cellStyle name="Total 4 2 3 3 3 4" xfId="37780"/>
    <cellStyle name="Total 4 2 3 3 4" xfId="12341"/>
    <cellStyle name="Total 4 2 3 3 4 2" xfId="26092"/>
    <cellStyle name="Total 4 2 3 3 4 2 2" xfId="55271"/>
    <cellStyle name="Total 4 2 3 3 4 3" xfId="41522"/>
    <cellStyle name="Total 4 2 3 3 5" xfId="21664"/>
    <cellStyle name="Total 4 2 3 3 5 2" xfId="50843"/>
    <cellStyle name="Total 4 2 3 3 6" xfId="31834"/>
    <cellStyle name="Total 4 2 3 4" xfId="4379"/>
    <cellStyle name="Total 4 2 3 4 2" xfId="13585"/>
    <cellStyle name="Total 4 2 3 4 2 2" xfId="26812"/>
    <cellStyle name="Total 4 2 3 4 2 2 2" xfId="55991"/>
    <cellStyle name="Total 4 2 3 4 2 3" xfId="42766"/>
    <cellStyle name="Total 4 2 3 4 3" xfId="22384"/>
    <cellStyle name="Total 4 2 3 4 3 2" xfId="51563"/>
    <cellStyle name="Total 4 2 3 4 4" xfId="33562"/>
    <cellStyle name="Total 4 2 3 5" xfId="9487"/>
    <cellStyle name="Total 4 2 3 5 2" xfId="17393"/>
    <cellStyle name="Total 4 2 3 5 2 2" xfId="29148"/>
    <cellStyle name="Total 4 2 3 5 2 2 2" xfId="58327"/>
    <cellStyle name="Total 4 2 3 5 2 3" xfId="46574"/>
    <cellStyle name="Total 4 2 3 5 3" xfId="24720"/>
    <cellStyle name="Total 4 2 3 5 3 2" xfId="53899"/>
    <cellStyle name="Total 4 2 3 5 4" xfId="38670"/>
    <cellStyle name="Total 4 2 3 6" xfId="11044"/>
    <cellStyle name="Total 4 2 3 6 2" xfId="25348"/>
    <cellStyle name="Total 4 2 3 6 2 2" xfId="54527"/>
    <cellStyle name="Total 4 2 3 6 3" xfId="40225"/>
    <cellStyle name="Total 4 2 3 7" xfId="20920"/>
    <cellStyle name="Total 4 2 3 7 2" xfId="50099"/>
    <cellStyle name="Total 4 2 3 8" xfId="30010"/>
    <cellStyle name="Total 4 2 4" xfId="1005"/>
    <cellStyle name="Total 4 2 4 2" xfId="1915"/>
    <cellStyle name="Total 4 2 4 2 2" xfId="3715"/>
    <cellStyle name="Total 4 2 4 2 2 2" xfId="6667"/>
    <cellStyle name="Total 4 2 4 2 2 2 2" xfId="15368"/>
    <cellStyle name="Total 4 2 4 2 2 2 2 2" xfId="27966"/>
    <cellStyle name="Total 4 2 4 2 2 2 2 2 2" xfId="57145"/>
    <cellStyle name="Total 4 2 4 2 2 2 2 3" xfId="44549"/>
    <cellStyle name="Total 4 2 4 2 2 2 3" xfId="23538"/>
    <cellStyle name="Total 4 2 4 2 2 2 3 2" xfId="52717"/>
    <cellStyle name="Total 4 2 4 2 2 2 4" xfId="35850"/>
    <cellStyle name="Total 4 2 4 2 2 3" xfId="10338"/>
    <cellStyle name="Total 4 2 4 2 2 3 2" xfId="17995"/>
    <cellStyle name="Total 4 2 4 2 2 3 2 2" xfId="29481"/>
    <cellStyle name="Total 4 2 4 2 2 3 2 2 2" xfId="58660"/>
    <cellStyle name="Total 4 2 4 2 2 3 2 3" xfId="47176"/>
    <cellStyle name="Total 4 2 4 2 2 3 3" xfId="25053"/>
    <cellStyle name="Total 4 2 4 2 2 3 3 2" xfId="54232"/>
    <cellStyle name="Total 4 2 4 2 2 3 4" xfId="39521"/>
    <cellStyle name="Total 4 2 4 2 2 4" xfId="13099"/>
    <cellStyle name="Total 4 2 4 2 2 4 2" xfId="26526"/>
    <cellStyle name="Total 4 2 4 2 2 4 2 2" xfId="55705"/>
    <cellStyle name="Total 4 2 4 2 2 4 3" xfId="42280"/>
    <cellStyle name="Total 4 2 4 2 2 5" xfId="22098"/>
    <cellStyle name="Total 4 2 4 2 2 5 2" xfId="51277"/>
    <cellStyle name="Total 4 2 4 2 2 6" xfId="32898"/>
    <cellStyle name="Total 4 2 4 2 3" xfId="5227"/>
    <cellStyle name="Total 4 2 4 2 3 2" xfId="14246"/>
    <cellStyle name="Total 4 2 4 2 3 2 2" xfId="27246"/>
    <cellStyle name="Total 4 2 4 2 3 2 2 2" xfId="56425"/>
    <cellStyle name="Total 4 2 4 2 3 2 3" xfId="43427"/>
    <cellStyle name="Total 4 2 4 2 3 3" xfId="22818"/>
    <cellStyle name="Total 4 2 4 2 3 3 2" xfId="51997"/>
    <cellStyle name="Total 4 2 4 2 3 4" xfId="34410"/>
    <cellStyle name="Total 4 2 4 2 4" xfId="9019"/>
    <cellStyle name="Total 4 2 4 2 4 2" xfId="17069"/>
    <cellStyle name="Total 4 2 4 2 4 2 2" xfId="28963"/>
    <cellStyle name="Total 4 2 4 2 4 2 2 2" xfId="58142"/>
    <cellStyle name="Total 4 2 4 2 4 2 3" xfId="46250"/>
    <cellStyle name="Total 4 2 4 2 4 3" xfId="24535"/>
    <cellStyle name="Total 4 2 4 2 4 3 2" xfId="53714"/>
    <cellStyle name="Total 4 2 4 2 4 4" xfId="38202"/>
    <cellStyle name="Total 4 2 4 2 5" xfId="11823"/>
    <cellStyle name="Total 4 2 4 2 5 2" xfId="25806"/>
    <cellStyle name="Total 4 2 4 2 5 2 2" xfId="54985"/>
    <cellStyle name="Total 4 2 4 2 5 3" xfId="41004"/>
    <cellStyle name="Total 4 2 4 2 6" xfId="21378"/>
    <cellStyle name="Total 4 2 4 2 6 2" xfId="50557"/>
    <cellStyle name="Total 4 2 4 2 7" xfId="31098"/>
    <cellStyle name="Total 4 2 4 3" xfId="2815"/>
    <cellStyle name="Total 4 2 4 3 2" xfId="5947"/>
    <cellStyle name="Total 4 2 4 3 2 2" xfId="14810"/>
    <cellStyle name="Total 4 2 4 3 2 2 2" xfId="27606"/>
    <cellStyle name="Total 4 2 4 3 2 2 2 2" xfId="56785"/>
    <cellStyle name="Total 4 2 4 3 2 2 3" xfId="43991"/>
    <cellStyle name="Total 4 2 4 3 2 3" xfId="23178"/>
    <cellStyle name="Total 4 2 4 3 2 3 2" xfId="52357"/>
    <cellStyle name="Total 4 2 4 3 2 4" xfId="35130"/>
    <cellStyle name="Total 4 2 4 3 3" xfId="7238"/>
    <cellStyle name="Total 4 2 4 3 3 2" xfId="15799"/>
    <cellStyle name="Total 4 2 4 3 3 2 2" xfId="28257"/>
    <cellStyle name="Total 4 2 4 3 3 2 2 2" xfId="57436"/>
    <cellStyle name="Total 4 2 4 3 3 2 3" xfId="44980"/>
    <cellStyle name="Total 4 2 4 3 3 3" xfId="23829"/>
    <cellStyle name="Total 4 2 4 3 3 3 2" xfId="53008"/>
    <cellStyle name="Total 4 2 4 3 3 4" xfId="36421"/>
    <cellStyle name="Total 4 2 4 3 4" xfId="12460"/>
    <cellStyle name="Total 4 2 4 3 4 2" xfId="26166"/>
    <cellStyle name="Total 4 2 4 3 4 2 2" xfId="55345"/>
    <cellStyle name="Total 4 2 4 3 4 3" xfId="41641"/>
    <cellStyle name="Total 4 2 4 3 5" xfId="21738"/>
    <cellStyle name="Total 4 2 4 3 5 2" xfId="50917"/>
    <cellStyle name="Total 4 2 4 3 6" xfId="31998"/>
    <cellStyle name="Total 4 2 4 4" xfId="4507"/>
    <cellStyle name="Total 4 2 4 4 2" xfId="13689"/>
    <cellStyle name="Total 4 2 4 4 2 2" xfId="26886"/>
    <cellStyle name="Total 4 2 4 4 2 2 2" xfId="56065"/>
    <cellStyle name="Total 4 2 4 4 2 3" xfId="42870"/>
    <cellStyle name="Total 4 2 4 4 3" xfId="22458"/>
    <cellStyle name="Total 4 2 4 4 3 2" xfId="51637"/>
    <cellStyle name="Total 4 2 4 4 4" xfId="33690"/>
    <cellStyle name="Total 4 2 4 5" xfId="10528"/>
    <cellStyle name="Total 4 2 4 5 2" xfId="18128"/>
    <cellStyle name="Total 4 2 4 5 2 2" xfId="29553"/>
    <cellStyle name="Total 4 2 4 5 2 2 2" xfId="58732"/>
    <cellStyle name="Total 4 2 4 5 2 3" xfId="47309"/>
    <cellStyle name="Total 4 2 4 5 3" xfId="25125"/>
    <cellStyle name="Total 4 2 4 5 3 2" xfId="54304"/>
    <cellStyle name="Total 4 2 4 5 4" xfId="39711"/>
    <cellStyle name="Total 4 2 4 6" xfId="11186"/>
    <cellStyle name="Total 4 2 4 6 2" xfId="25443"/>
    <cellStyle name="Total 4 2 4 6 2 2" xfId="54622"/>
    <cellStyle name="Total 4 2 4 6 3" xfId="40367"/>
    <cellStyle name="Total 4 2 4 7" xfId="21015"/>
    <cellStyle name="Total 4 2 4 7 2" xfId="50194"/>
    <cellStyle name="Total 4 2 4 8" xfId="30195"/>
    <cellStyle name="Total 4 2 5" xfId="1155"/>
    <cellStyle name="Total 4 2 5 2" xfId="2059"/>
    <cellStyle name="Total 4 2 5 2 2" xfId="3859"/>
    <cellStyle name="Total 4 2 5 2 2 2" xfId="6784"/>
    <cellStyle name="Total 4 2 5 2 2 2 2" xfId="15460"/>
    <cellStyle name="Total 4 2 5 2 2 2 2 2" xfId="28029"/>
    <cellStyle name="Total 4 2 5 2 2 2 2 2 2" xfId="57208"/>
    <cellStyle name="Total 4 2 5 2 2 2 2 3" xfId="44641"/>
    <cellStyle name="Total 4 2 5 2 2 2 3" xfId="23601"/>
    <cellStyle name="Total 4 2 5 2 2 2 3 2" xfId="52780"/>
    <cellStyle name="Total 4 2 5 2 2 2 4" xfId="35967"/>
    <cellStyle name="Total 4 2 5 2 2 3" xfId="9209"/>
    <cellStyle name="Total 4 2 5 2 2 3 2" xfId="17201"/>
    <cellStyle name="Total 4 2 5 2 2 3 2 2" xfId="29034"/>
    <cellStyle name="Total 4 2 5 2 2 3 2 2 2" xfId="58213"/>
    <cellStyle name="Total 4 2 5 2 2 3 2 3" xfId="46382"/>
    <cellStyle name="Total 4 2 5 2 2 3 3" xfId="24606"/>
    <cellStyle name="Total 4 2 5 2 2 3 3 2" xfId="53785"/>
    <cellStyle name="Total 4 2 5 2 2 3 4" xfId="38392"/>
    <cellStyle name="Total 4 2 5 2 2 4" xfId="13199"/>
    <cellStyle name="Total 4 2 5 2 2 4 2" xfId="26589"/>
    <cellStyle name="Total 4 2 5 2 2 4 2 2" xfId="55768"/>
    <cellStyle name="Total 4 2 5 2 2 4 3" xfId="42380"/>
    <cellStyle name="Total 4 2 5 2 2 5" xfId="22161"/>
    <cellStyle name="Total 4 2 5 2 2 5 2" xfId="51340"/>
    <cellStyle name="Total 4 2 5 2 2 6" xfId="33042"/>
    <cellStyle name="Total 4 2 5 2 3" xfId="5344"/>
    <cellStyle name="Total 4 2 5 2 3 2" xfId="14339"/>
    <cellStyle name="Total 4 2 5 2 3 2 2" xfId="27309"/>
    <cellStyle name="Total 4 2 5 2 3 2 2 2" xfId="56488"/>
    <cellStyle name="Total 4 2 5 2 3 2 3" xfId="43520"/>
    <cellStyle name="Total 4 2 5 2 3 3" xfId="22881"/>
    <cellStyle name="Total 4 2 5 2 3 3 2" xfId="52060"/>
    <cellStyle name="Total 4 2 5 2 3 4" xfId="34527"/>
    <cellStyle name="Total 4 2 5 2 4" xfId="8205"/>
    <cellStyle name="Total 4 2 5 2 4 2" xfId="16472"/>
    <cellStyle name="Total 4 2 5 2 4 2 2" xfId="28636"/>
    <cellStyle name="Total 4 2 5 2 4 2 2 2" xfId="57815"/>
    <cellStyle name="Total 4 2 5 2 4 2 3" xfId="45653"/>
    <cellStyle name="Total 4 2 5 2 4 3" xfId="24208"/>
    <cellStyle name="Total 4 2 5 2 4 3 2" xfId="53387"/>
    <cellStyle name="Total 4 2 5 2 4 4" xfId="37388"/>
    <cellStyle name="Total 4 2 5 2 5" xfId="11924"/>
    <cellStyle name="Total 4 2 5 2 5 2" xfId="25869"/>
    <cellStyle name="Total 4 2 5 2 5 2 2" xfId="55048"/>
    <cellStyle name="Total 4 2 5 2 5 3" xfId="41105"/>
    <cellStyle name="Total 4 2 5 2 6" xfId="21441"/>
    <cellStyle name="Total 4 2 5 2 6 2" xfId="50620"/>
    <cellStyle name="Total 4 2 5 2 7" xfId="31242"/>
    <cellStyle name="Total 4 2 5 3" xfId="2959"/>
    <cellStyle name="Total 4 2 5 3 2" xfId="6064"/>
    <cellStyle name="Total 4 2 5 3 2 2" xfId="14901"/>
    <cellStyle name="Total 4 2 5 3 2 2 2" xfId="27669"/>
    <cellStyle name="Total 4 2 5 3 2 2 2 2" xfId="56848"/>
    <cellStyle name="Total 4 2 5 3 2 2 3" xfId="44082"/>
    <cellStyle name="Total 4 2 5 3 2 3" xfId="23241"/>
    <cellStyle name="Total 4 2 5 3 2 3 2" xfId="52420"/>
    <cellStyle name="Total 4 2 5 3 2 4" xfId="35247"/>
    <cellStyle name="Total 4 2 5 3 3" xfId="8970"/>
    <cellStyle name="Total 4 2 5 3 3 2" xfId="17029"/>
    <cellStyle name="Total 4 2 5 3 3 2 2" xfId="28938"/>
    <cellStyle name="Total 4 2 5 3 3 2 2 2" xfId="58117"/>
    <cellStyle name="Total 4 2 5 3 3 2 3" xfId="46210"/>
    <cellStyle name="Total 4 2 5 3 3 3" xfId="24510"/>
    <cellStyle name="Total 4 2 5 3 3 3 2" xfId="53689"/>
    <cellStyle name="Total 4 2 5 3 3 4" xfId="38153"/>
    <cellStyle name="Total 4 2 5 3 4" xfId="12563"/>
    <cellStyle name="Total 4 2 5 3 4 2" xfId="26229"/>
    <cellStyle name="Total 4 2 5 3 4 2 2" xfId="55408"/>
    <cellStyle name="Total 4 2 5 3 4 3" xfId="41744"/>
    <cellStyle name="Total 4 2 5 3 5" xfId="21801"/>
    <cellStyle name="Total 4 2 5 3 5 2" xfId="50980"/>
    <cellStyle name="Total 4 2 5 3 6" xfId="32142"/>
    <cellStyle name="Total 4 2 5 4" xfId="4624"/>
    <cellStyle name="Total 4 2 5 4 2" xfId="13782"/>
    <cellStyle name="Total 4 2 5 4 2 2" xfId="26949"/>
    <cellStyle name="Total 4 2 5 4 2 2 2" xfId="56128"/>
    <cellStyle name="Total 4 2 5 4 2 3" xfId="42963"/>
    <cellStyle name="Total 4 2 5 4 3" xfId="22521"/>
    <cellStyle name="Total 4 2 5 4 3 2" xfId="51700"/>
    <cellStyle name="Total 4 2 5 4 4" xfId="33807"/>
    <cellStyle name="Total 4 2 5 5" xfId="8676"/>
    <cellStyle name="Total 4 2 5 5 2" xfId="16807"/>
    <cellStyle name="Total 4 2 5 5 2 2" xfId="28819"/>
    <cellStyle name="Total 4 2 5 5 2 2 2" xfId="57998"/>
    <cellStyle name="Total 4 2 5 5 2 3" xfId="45988"/>
    <cellStyle name="Total 4 2 5 5 3" xfId="24391"/>
    <cellStyle name="Total 4 2 5 5 3 2" xfId="53570"/>
    <cellStyle name="Total 4 2 5 5 4" xfId="37859"/>
    <cellStyle name="Total 4 2 5 6" xfId="11292"/>
    <cellStyle name="Total 4 2 5 6 2" xfId="25509"/>
    <cellStyle name="Total 4 2 5 6 2 2" xfId="54688"/>
    <cellStyle name="Total 4 2 5 6 3" xfId="40473"/>
    <cellStyle name="Total 4 2 5 7" xfId="21081"/>
    <cellStyle name="Total 4 2 5 7 2" xfId="50260"/>
    <cellStyle name="Total 4 2 5 8" xfId="30342"/>
    <cellStyle name="Total 4 2 6" xfId="1301"/>
    <cellStyle name="Total 4 2 6 2" xfId="2203"/>
    <cellStyle name="Total 4 2 6 2 2" xfId="4003"/>
    <cellStyle name="Total 4 2 6 2 2 2" xfId="6901"/>
    <cellStyle name="Total 4 2 6 2 2 2 2" xfId="15555"/>
    <cellStyle name="Total 4 2 6 2 2 2 2 2" xfId="28092"/>
    <cellStyle name="Total 4 2 6 2 2 2 2 2 2" xfId="57271"/>
    <cellStyle name="Total 4 2 6 2 2 2 2 3" xfId="44736"/>
    <cellStyle name="Total 4 2 6 2 2 2 3" xfId="23664"/>
    <cellStyle name="Total 4 2 6 2 2 2 3 2" xfId="52843"/>
    <cellStyle name="Total 4 2 6 2 2 2 4" xfId="36084"/>
    <cellStyle name="Total 4 2 6 2 2 3" xfId="7077"/>
    <cellStyle name="Total 4 2 6 2 2 3 2" xfId="15677"/>
    <cellStyle name="Total 4 2 6 2 2 3 2 2" xfId="28176"/>
    <cellStyle name="Total 4 2 6 2 2 3 2 2 2" xfId="57355"/>
    <cellStyle name="Total 4 2 6 2 2 3 2 3" xfId="44858"/>
    <cellStyle name="Total 4 2 6 2 2 3 3" xfId="23748"/>
    <cellStyle name="Total 4 2 6 2 2 3 3 2" xfId="52927"/>
    <cellStyle name="Total 4 2 6 2 2 3 4" xfId="36260"/>
    <cellStyle name="Total 4 2 6 2 2 4" xfId="13304"/>
    <cellStyle name="Total 4 2 6 2 2 4 2" xfId="26652"/>
    <cellStyle name="Total 4 2 6 2 2 4 2 2" xfId="55831"/>
    <cellStyle name="Total 4 2 6 2 2 4 3" xfId="42485"/>
    <cellStyle name="Total 4 2 6 2 2 5" xfId="22224"/>
    <cellStyle name="Total 4 2 6 2 2 5 2" xfId="51403"/>
    <cellStyle name="Total 4 2 6 2 2 6" xfId="33186"/>
    <cellStyle name="Total 4 2 6 2 3" xfId="5461"/>
    <cellStyle name="Total 4 2 6 2 3 2" xfId="14435"/>
    <cellStyle name="Total 4 2 6 2 3 2 2" xfId="27372"/>
    <cellStyle name="Total 4 2 6 2 3 2 2 2" xfId="56551"/>
    <cellStyle name="Total 4 2 6 2 3 2 3" xfId="43616"/>
    <cellStyle name="Total 4 2 6 2 3 3" xfId="22944"/>
    <cellStyle name="Total 4 2 6 2 3 3 2" xfId="52123"/>
    <cellStyle name="Total 4 2 6 2 3 4" xfId="34644"/>
    <cellStyle name="Total 4 2 6 2 4" xfId="8780"/>
    <cellStyle name="Total 4 2 6 2 4 2" xfId="16885"/>
    <cellStyle name="Total 4 2 6 2 4 2 2" xfId="28861"/>
    <cellStyle name="Total 4 2 6 2 4 2 2 2" xfId="58040"/>
    <cellStyle name="Total 4 2 6 2 4 2 3" xfId="46066"/>
    <cellStyle name="Total 4 2 6 2 4 3" xfId="24433"/>
    <cellStyle name="Total 4 2 6 2 4 3 2" xfId="53612"/>
    <cellStyle name="Total 4 2 6 2 4 4" xfId="37963"/>
    <cellStyle name="Total 4 2 6 2 5" xfId="12028"/>
    <cellStyle name="Total 4 2 6 2 5 2" xfId="25932"/>
    <cellStyle name="Total 4 2 6 2 5 2 2" xfId="55111"/>
    <cellStyle name="Total 4 2 6 2 5 3" xfId="41209"/>
    <cellStyle name="Total 4 2 6 2 6" xfId="21504"/>
    <cellStyle name="Total 4 2 6 2 6 2" xfId="50683"/>
    <cellStyle name="Total 4 2 6 2 7" xfId="31386"/>
    <cellStyle name="Total 4 2 6 3" xfId="3103"/>
    <cellStyle name="Total 4 2 6 3 2" xfId="6181"/>
    <cellStyle name="Total 4 2 6 3 2 2" xfId="14996"/>
    <cellStyle name="Total 4 2 6 3 2 2 2" xfId="27732"/>
    <cellStyle name="Total 4 2 6 3 2 2 2 2" xfId="56911"/>
    <cellStyle name="Total 4 2 6 3 2 2 3" xfId="44177"/>
    <cellStyle name="Total 4 2 6 3 2 3" xfId="23304"/>
    <cellStyle name="Total 4 2 6 3 2 3 2" xfId="52483"/>
    <cellStyle name="Total 4 2 6 3 2 4" xfId="35364"/>
    <cellStyle name="Total 4 2 6 3 3" xfId="10307"/>
    <cellStyle name="Total 4 2 6 3 3 2" xfId="17974"/>
    <cellStyle name="Total 4 2 6 3 3 2 2" xfId="29472"/>
    <cellStyle name="Total 4 2 6 3 3 2 2 2" xfId="58651"/>
    <cellStyle name="Total 4 2 6 3 3 2 3" xfId="47155"/>
    <cellStyle name="Total 4 2 6 3 3 3" xfId="25044"/>
    <cellStyle name="Total 4 2 6 3 3 3 2" xfId="54223"/>
    <cellStyle name="Total 4 2 6 3 3 4" xfId="39490"/>
    <cellStyle name="Total 4 2 6 3 4" xfId="12666"/>
    <cellStyle name="Total 4 2 6 3 4 2" xfId="26292"/>
    <cellStyle name="Total 4 2 6 3 4 2 2" xfId="55471"/>
    <cellStyle name="Total 4 2 6 3 4 3" xfId="41847"/>
    <cellStyle name="Total 4 2 6 3 5" xfId="21864"/>
    <cellStyle name="Total 4 2 6 3 5 2" xfId="51043"/>
    <cellStyle name="Total 4 2 6 3 6" xfId="32286"/>
    <cellStyle name="Total 4 2 6 4" xfId="4741"/>
    <cellStyle name="Total 4 2 6 4 2" xfId="13873"/>
    <cellStyle name="Total 4 2 6 4 2 2" xfId="27012"/>
    <cellStyle name="Total 4 2 6 4 2 2 2" xfId="56191"/>
    <cellStyle name="Total 4 2 6 4 2 3" xfId="43054"/>
    <cellStyle name="Total 4 2 6 4 3" xfId="22584"/>
    <cellStyle name="Total 4 2 6 4 3 2" xfId="51763"/>
    <cellStyle name="Total 4 2 6 4 4" xfId="33924"/>
    <cellStyle name="Total 4 2 6 5" xfId="7437"/>
    <cellStyle name="Total 4 2 6 5 2" xfId="15936"/>
    <cellStyle name="Total 4 2 6 5 2 2" xfId="28341"/>
    <cellStyle name="Total 4 2 6 5 2 2 2" xfId="57520"/>
    <cellStyle name="Total 4 2 6 5 2 3" xfId="45117"/>
    <cellStyle name="Total 4 2 6 5 3" xfId="23913"/>
    <cellStyle name="Total 4 2 6 5 3 2" xfId="53092"/>
    <cellStyle name="Total 4 2 6 5 4" xfId="36620"/>
    <cellStyle name="Total 4 2 6 6" xfId="11398"/>
    <cellStyle name="Total 4 2 6 6 2" xfId="25572"/>
    <cellStyle name="Total 4 2 6 6 2 2" xfId="54751"/>
    <cellStyle name="Total 4 2 6 6 3" xfId="40579"/>
    <cellStyle name="Total 4 2 6 7" xfId="21144"/>
    <cellStyle name="Total 4 2 6 7 2" xfId="50323"/>
    <cellStyle name="Total 4 2 6 8" xfId="30486"/>
    <cellStyle name="Total 4 2 7" xfId="1483"/>
    <cellStyle name="Total 4 2 7 2" xfId="3283"/>
    <cellStyle name="Total 4 2 7 2 2" xfId="6325"/>
    <cellStyle name="Total 4 2 7 2 2 2" xfId="15099"/>
    <cellStyle name="Total 4 2 7 2 2 2 2" xfId="27804"/>
    <cellStyle name="Total 4 2 7 2 2 2 2 2" xfId="56983"/>
    <cellStyle name="Total 4 2 7 2 2 2 3" xfId="44280"/>
    <cellStyle name="Total 4 2 7 2 2 3" xfId="23376"/>
    <cellStyle name="Total 4 2 7 2 2 3 2" xfId="52555"/>
    <cellStyle name="Total 4 2 7 2 2 4" xfId="35508"/>
    <cellStyle name="Total 4 2 7 2 3" xfId="8590"/>
    <cellStyle name="Total 4 2 7 2 3 2" xfId="16743"/>
    <cellStyle name="Total 4 2 7 2 3 2 2" xfId="28780"/>
    <cellStyle name="Total 4 2 7 2 3 2 2 2" xfId="57959"/>
    <cellStyle name="Total 4 2 7 2 3 2 3" xfId="45924"/>
    <cellStyle name="Total 4 2 7 2 3 3" xfId="24352"/>
    <cellStyle name="Total 4 2 7 2 3 3 2" xfId="53531"/>
    <cellStyle name="Total 4 2 7 2 3 4" xfId="37773"/>
    <cellStyle name="Total 4 2 7 2 4" xfId="12790"/>
    <cellStyle name="Total 4 2 7 2 4 2" xfId="26364"/>
    <cellStyle name="Total 4 2 7 2 4 2 2" xfId="55543"/>
    <cellStyle name="Total 4 2 7 2 4 3" xfId="41971"/>
    <cellStyle name="Total 4 2 7 2 5" xfId="21936"/>
    <cellStyle name="Total 4 2 7 2 5 2" xfId="51115"/>
    <cellStyle name="Total 4 2 7 2 6" xfId="32466"/>
    <cellStyle name="Total 4 2 7 3" xfId="4885"/>
    <cellStyle name="Total 4 2 7 3 2" xfId="13975"/>
    <cellStyle name="Total 4 2 7 3 2 2" xfId="27084"/>
    <cellStyle name="Total 4 2 7 3 2 2 2" xfId="56263"/>
    <cellStyle name="Total 4 2 7 3 2 3" xfId="43156"/>
    <cellStyle name="Total 4 2 7 3 3" xfId="22656"/>
    <cellStyle name="Total 4 2 7 3 3 2" xfId="51835"/>
    <cellStyle name="Total 4 2 7 3 4" xfId="34068"/>
    <cellStyle name="Total 4 2 7 4" xfId="8368"/>
    <cellStyle name="Total 4 2 7 4 2" xfId="16592"/>
    <cellStyle name="Total 4 2 7 4 2 2" xfId="28699"/>
    <cellStyle name="Total 4 2 7 4 2 2 2" xfId="57878"/>
    <cellStyle name="Total 4 2 7 4 2 3" xfId="45773"/>
    <cellStyle name="Total 4 2 7 4 3" xfId="24271"/>
    <cellStyle name="Total 4 2 7 4 3 2" xfId="53450"/>
    <cellStyle name="Total 4 2 7 4 4" xfId="37551"/>
    <cellStyle name="Total 4 2 7 5" xfId="11520"/>
    <cellStyle name="Total 4 2 7 5 2" xfId="25644"/>
    <cellStyle name="Total 4 2 7 5 2 2" xfId="54823"/>
    <cellStyle name="Total 4 2 7 5 3" xfId="40701"/>
    <cellStyle name="Total 4 2 7 6" xfId="21216"/>
    <cellStyle name="Total 4 2 7 6 2" xfId="50395"/>
    <cellStyle name="Total 4 2 7 7" xfId="30666"/>
    <cellStyle name="Total 4 2 8" xfId="2383"/>
    <cellStyle name="Total 4 2 8 2" xfId="5605"/>
    <cellStyle name="Total 4 2 8 2 2" xfId="14540"/>
    <cellStyle name="Total 4 2 8 2 2 2" xfId="27444"/>
    <cellStyle name="Total 4 2 8 2 2 2 2" xfId="56623"/>
    <cellStyle name="Total 4 2 8 2 2 3" xfId="43721"/>
    <cellStyle name="Total 4 2 8 2 3" xfId="23016"/>
    <cellStyle name="Total 4 2 8 2 3 2" xfId="52195"/>
    <cellStyle name="Total 4 2 8 2 4" xfId="34788"/>
    <cellStyle name="Total 4 2 8 3" xfId="7628"/>
    <cellStyle name="Total 4 2 8 3 2" xfId="16067"/>
    <cellStyle name="Total 4 2 8 3 2 2" xfId="28412"/>
    <cellStyle name="Total 4 2 8 3 2 2 2" xfId="57591"/>
    <cellStyle name="Total 4 2 8 3 2 3" xfId="45248"/>
    <cellStyle name="Total 4 2 8 3 3" xfId="23984"/>
    <cellStyle name="Total 4 2 8 3 3 2" xfId="53163"/>
    <cellStyle name="Total 4 2 8 3 4" xfId="36811"/>
    <cellStyle name="Total 4 2 8 4" xfId="12149"/>
    <cellStyle name="Total 4 2 8 4 2" xfId="26004"/>
    <cellStyle name="Total 4 2 8 4 2 2" xfId="55183"/>
    <cellStyle name="Total 4 2 8 4 3" xfId="41330"/>
    <cellStyle name="Total 4 2 8 5" xfId="21576"/>
    <cellStyle name="Total 4 2 8 5 2" xfId="50755"/>
    <cellStyle name="Total 4 2 8 6" xfId="31566"/>
    <cellStyle name="Total 4 2 9" xfId="4165"/>
    <cellStyle name="Total 4 2 9 2" xfId="13418"/>
    <cellStyle name="Total 4 2 9 2 2" xfId="26724"/>
    <cellStyle name="Total 4 2 9 2 2 2" xfId="55903"/>
    <cellStyle name="Total 4 2 9 2 3" xfId="42599"/>
    <cellStyle name="Total 4 2 9 3" xfId="22296"/>
    <cellStyle name="Total 4 2 9 3 2" xfId="51475"/>
    <cellStyle name="Total 4 2 9 4" xfId="33348"/>
    <cellStyle name="Total 4 3" xfId="505"/>
    <cellStyle name="Total 4 3 10" xfId="10803"/>
    <cellStyle name="Total 4 3 10 2" xfId="25202"/>
    <cellStyle name="Total 4 3 10 2 2" xfId="54381"/>
    <cellStyle name="Total 4 3 10 3" xfId="39984"/>
    <cellStyle name="Total 4 3 11" xfId="20774"/>
    <cellStyle name="Total 4 3 11 2" xfId="49953"/>
    <cellStyle name="Total 4 3 12" xfId="29711"/>
    <cellStyle name="Total 4 3 2" xfId="858"/>
    <cellStyle name="Total 4 3 2 2" xfId="1796"/>
    <cellStyle name="Total 4 3 2 2 2" xfId="3596"/>
    <cellStyle name="Total 4 3 2 2 2 2" xfId="6575"/>
    <cellStyle name="Total 4 3 2 2 2 2 2" xfId="15292"/>
    <cellStyle name="Total 4 3 2 2 2 2 2 2" xfId="27910"/>
    <cellStyle name="Total 4 3 2 2 2 2 2 2 2" xfId="57089"/>
    <cellStyle name="Total 4 3 2 2 2 2 2 3" xfId="44473"/>
    <cellStyle name="Total 4 3 2 2 2 2 3" xfId="23482"/>
    <cellStyle name="Total 4 3 2 2 2 2 3 2" xfId="52661"/>
    <cellStyle name="Total 4 3 2 2 2 2 4" xfId="35758"/>
    <cellStyle name="Total 4 3 2 2 2 3" xfId="8069"/>
    <cellStyle name="Total 4 3 2 2 2 3 2" xfId="16374"/>
    <cellStyle name="Total 4 3 2 2 2 3 2 2" xfId="28585"/>
    <cellStyle name="Total 4 3 2 2 2 3 2 2 2" xfId="57764"/>
    <cellStyle name="Total 4 3 2 2 2 3 2 3" xfId="45555"/>
    <cellStyle name="Total 4 3 2 2 2 3 3" xfId="24157"/>
    <cellStyle name="Total 4 3 2 2 2 3 3 2" xfId="53336"/>
    <cellStyle name="Total 4 3 2 2 2 3 4" xfId="37252"/>
    <cellStyle name="Total 4 3 2 2 2 4" xfId="13008"/>
    <cellStyle name="Total 4 3 2 2 2 4 2" xfId="26470"/>
    <cellStyle name="Total 4 3 2 2 2 4 2 2" xfId="55649"/>
    <cellStyle name="Total 4 3 2 2 2 4 3" xfId="42189"/>
    <cellStyle name="Total 4 3 2 2 2 5" xfId="22042"/>
    <cellStyle name="Total 4 3 2 2 2 5 2" xfId="51221"/>
    <cellStyle name="Total 4 3 2 2 2 6" xfId="32779"/>
    <cellStyle name="Total 4 3 2 2 3" xfId="5135"/>
    <cellStyle name="Total 4 3 2 2 3 2" xfId="14169"/>
    <cellStyle name="Total 4 3 2 2 3 2 2" xfId="27190"/>
    <cellStyle name="Total 4 3 2 2 3 2 2 2" xfId="56369"/>
    <cellStyle name="Total 4 3 2 2 3 2 3" xfId="43350"/>
    <cellStyle name="Total 4 3 2 2 3 3" xfId="22762"/>
    <cellStyle name="Total 4 3 2 2 3 3 2" xfId="51941"/>
    <cellStyle name="Total 4 3 2 2 3 4" xfId="34318"/>
    <cellStyle name="Total 4 3 2 2 4" xfId="8287"/>
    <cellStyle name="Total 4 3 2 2 4 2" xfId="16531"/>
    <cellStyle name="Total 4 3 2 2 4 2 2" xfId="28670"/>
    <cellStyle name="Total 4 3 2 2 4 2 2 2" xfId="57849"/>
    <cellStyle name="Total 4 3 2 2 4 2 3" xfId="45712"/>
    <cellStyle name="Total 4 3 2 2 4 3" xfId="24242"/>
    <cellStyle name="Total 4 3 2 2 4 3 2" xfId="53421"/>
    <cellStyle name="Total 4 3 2 2 4 4" xfId="37470"/>
    <cellStyle name="Total 4 3 2 2 5" xfId="11734"/>
    <cellStyle name="Total 4 3 2 2 5 2" xfId="25750"/>
    <cellStyle name="Total 4 3 2 2 5 2 2" xfId="54929"/>
    <cellStyle name="Total 4 3 2 2 5 3" xfId="40915"/>
    <cellStyle name="Total 4 3 2 2 6" xfId="21322"/>
    <cellStyle name="Total 4 3 2 2 6 2" xfId="50501"/>
    <cellStyle name="Total 4 3 2 2 7" xfId="30979"/>
    <cellStyle name="Total 4 3 2 3" xfId="2696"/>
    <cellStyle name="Total 4 3 2 3 2" xfId="5855"/>
    <cellStyle name="Total 4 3 2 3 2 2" xfId="14736"/>
    <cellStyle name="Total 4 3 2 3 2 2 2" xfId="27550"/>
    <cellStyle name="Total 4 3 2 3 2 2 2 2" xfId="56729"/>
    <cellStyle name="Total 4 3 2 3 2 2 3" xfId="43917"/>
    <cellStyle name="Total 4 3 2 3 2 3" xfId="23122"/>
    <cellStyle name="Total 4 3 2 3 2 3 2" xfId="52301"/>
    <cellStyle name="Total 4 3 2 3 2 4" xfId="35038"/>
    <cellStyle name="Total 4 3 2 3 3" xfId="9816"/>
    <cellStyle name="Total 4 3 2 3 3 2" xfId="17633"/>
    <cellStyle name="Total 4 3 2 3 3 2 2" xfId="29278"/>
    <cellStyle name="Total 4 3 2 3 3 2 2 2" xfId="58457"/>
    <cellStyle name="Total 4 3 2 3 3 2 3" xfId="46814"/>
    <cellStyle name="Total 4 3 2 3 3 3" xfId="24850"/>
    <cellStyle name="Total 4 3 2 3 3 3 2" xfId="54029"/>
    <cellStyle name="Total 4 3 2 3 3 4" xfId="38999"/>
    <cellStyle name="Total 4 3 2 3 4" xfId="12371"/>
    <cellStyle name="Total 4 3 2 3 4 2" xfId="26110"/>
    <cellStyle name="Total 4 3 2 3 4 2 2" xfId="55289"/>
    <cellStyle name="Total 4 3 2 3 4 3" xfId="41552"/>
    <cellStyle name="Total 4 3 2 3 5" xfId="21682"/>
    <cellStyle name="Total 4 3 2 3 5 2" xfId="50861"/>
    <cellStyle name="Total 4 3 2 3 6" xfId="31879"/>
    <cellStyle name="Total 4 3 2 4" xfId="4415"/>
    <cellStyle name="Total 4 3 2 4 2" xfId="13613"/>
    <cellStyle name="Total 4 3 2 4 2 2" xfId="26830"/>
    <cellStyle name="Total 4 3 2 4 2 2 2" xfId="56009"/>
    <cellStyle name="Total 4 3 2 4 2 3" xfId="42794"/>
    <cellStyle name="Total 4 3 2 4 3" xfId="22402"/>
    <cellStyle name="Total 4 3 2 4 3 2" xfId="51581"/>
    <cellStyle name="Total 4 3 2 4 4" xfId="33598"/>
    <cellStyle name="Total 4 3 2 5" xfId="8617"/>
    <cellStyle name="Total 4 3 2 5 2" xfId="16763"/>
    <cellStyle name="Total 4 3 2 5 2 2" xfId="28792"/>
    <cellStyle name="Total 4 3 2 5 2 2 2" xfId="57971"/>
    <cellStyle name="Total 4 3 2 5 2 3" xfId="45944"/>
    <cellStyle name="Total 4 3 2 5 3" xfId="24364"/>
    <cellStyle name="Total 4 3 2 5 3 2" xfId="53543"/>
    <cellStyle name="Total 4 3 2 5 4" xfId="37800"/>
    <cellStyle name="Total 4 3 2 6" xfId="11073"/>
    <cellStyle name="Total 4 3 2 6 2" xfId="25366"/>
    <cellStyle name="Total 4 3 2 6 2 2" xfId="54545"/>
    <cellStyle name="Total 4 3 2 6 3" xfId="40254"/>
    <cellStyle name="Total 4 3 2 7" xfId="20938"/>
    <cellStyle name="Total 4 3 2 7 2" xfId="50117"/>
    <cellStyle name="Total 4 3 2 8" xfId="30055"/>
    <cellStyle name="Total 4 3 3" xfId="1050"/>
    <cellStyle name="Total 4 3 3 2" xfId="1960"/>
    <cellStyle name="Total 4 3 3 2 2" xfId="3760"/>
    <cellStyle name="Total 4 3 3 2 2 2" xfId="6703"/>
    <cellStyle name="Total 4 3 3 2 2 2 2" xfId="15397"/>
    <cellStyle name="Total 4 3 3 2 2 2 2 2" xfId="27984"/>
    <cellStyle name="Total 4 3 3 2 2 2 2 2 2" xfId="57163"/>
    <cellStyle name="Total 4 3 3 2 2 2 2 3" xfId="44578"/>
    <cellStyle name="Total 4 3 3 2 2 2 3" xfId="23556"/>
    <cellStyle name="Total 4 3 3 2 2 2 3 2" xfId="52735"/>
    <cellStyle name="Total 4 3 3 2 2 2 4" xfId="35886"/>
    <cellStyle name="Total 4 3 3 2 2 3" xfId="7942"/>
    <cellStyle name="Total 4 3 3 2 2 3 2" xfId="16286"/>
    <cellStyle name="Total 4 3 3 2 2 3 2 2" xfId="28535"/>
    <cellStyle name="Total 4 3 3 2 2 3 2 2 2" xfId="57714"/>
    <cellStyle name="Total 4 3 3 2 2 3 2 3" xfId="45467"/>
    <cellStyle name="Total 4 3 3 2 2 3 3" xfId="24107"/>
    <cellStyle name="Total 4 3 3 2 2 3 3 2" xfId="53286"/>
    <cellStyle name="Total 4 3 3 2 2 3 4" xfId="37125"/>
    <cellStyle name="Total 4 3 3 2 2 4" xfId="13130"/>
    <cellStyle name="Total 4 3 3 2 2 4 2" xfId="26544"/>
    <cellStyle name="Total 4 3 3 2 2 4 2 2" xfId="55723"/>
    <cellStyle name="Total 4 3 3 2 2 4 3" xfId="42311"/>
    <cellStyle name="Total 4 3 3 2 2 5" xfId="22116"/>
    <cellStyle name="Total 4 3 3 2 2 5 2" xfId="51295"/>
    <cellStyle name="Total 4 3 3 2 2 6" xfId="32943"/>
    <cellStyle name="Total 4 3 3 2 3" xfId="5263"/>
    <cellStyle name="Total 4 3 3 2 3 2" xfId="14276"/>
    <cellStyle name="Total 4 3 3 2 3 2 2" xfId="27264"/>
    <cellStyle name="Total 4 3 3 2 3 2 2 2" xfId="56443"/>
    <cellStyle name="Total 4 3 3 2 3 2 3" xfId="43457"/>
    <cellStyle name="Total 4 3 3 2 3 3" xfId="22836"/>
    <cellStyle name="Total 4 3 3 2 3 3 2" xfId="52015"/>
    <cellStyle name="Total 4 3 3 2 3 4" xfId="34446"/>
    <cellStyle name="Total 4 3 3 2 4" xfId="8128"/>
    <cellStyle name="Total 4 3 3 2 4 2" xfId="16414"/>
    <cellStyle name="Total 4 3 3 2 4 2 2" xfId="28608"/>
    <cellStyle name="Total 4 3 3 2 4 2 2 2" xfId="57787"/>
    <cellStyle name="Total 4 3 3 2 4 2 3" xfId="45595"/>
    <cellStyle name="Total 4 3 3 2 4 3" xfId="24180"/>
    <cellStyle name="Total 4 3 3 2 4 3 2" xfId="53359"/>
    <cellStyle name="Total 4 3 3 2 4 4" xfId="37311"/>
    <cellStyle name="Total 4 3 3 2 5" xfId="11854"/>
    <cellStyle name="Total 4 3 3 2 5 2" xfId="25824"/>
    <cellStyle name="Total 4 3 3 2 5 2 2" xfId="55003"/>
    <cellStyle name="Total 4 3 3 2 5 3" xfId="41035"/>
    <cellStyle name="Total 4 3 3 2 6" xfId="21396"/>
    <cellStyle name="Total 4 3 3 2 6 2" xfId="50575"/>
    <cellStyle name="Total 4 3 3 2 7" xfId="31143"/>
    <cellStyle name="Total 4 3 3 3" xfId="2860"/>
    <cellStyle name="Total 4 3 3 3 2" xfId="5983"/>
    <cellStyle name="Total 4 3 3 3 2 2" xfId="14840"/>
    <cellStyle name="Total 4 3 3 3 2 2 2" xfId="27624"/>
    <cellStyle name="Total 4 3 3 3 2 2 2 2" xfId="56803"/>
    <cellStyle name="Total 4 3 3 3 2 2 3" xfId="44021"/>
    <cellStyle name="Total 4 3 3 3 2 3" xfId="23196"/>
    <cellStyle name="Total 4 3 3 3 2 3 2" xfId="52375"/>
    <cellStyle name="Total 4 3 3 3 2 4" xfId="35166"/>
    <cellStyle name="Total 4 3 3 3 3" xfId="8893"/>
    <cellStyle name="Total 4 3 3 3 3 2" xfId="16974"/>
    <cellStyle name="Total 4 3 3 3 3 2 2" xfId="28910"/>
    <cellStyle name="Total 4 3 3 3 3 2 2 2" xfId="58089"/>
    <cellStyle name="Total 4 3 3 3 3 2 3" xfId="46155"/>
    <cellStyle name="Total 4 3 3 3 3 3" xfId="24482"/>
    <cellStyle name="Total 4 3 3 3 3 3 2" xfId="53661"/>
    <cellStyle name="Total 4 3 3 3 3 4" xfId="38076"/>
    <cellStyle name="Total 4 3 3 3 4" xfId="12493"/>
    <cellStyle name="Total 4 3 3 3 4 2" xfId="26184"/>
    <cellStyle name="Total 4 3 3 3 4 2 2" xfId="55363"/>
    <cellStyle name="Total 4 3 3 3 4 3" xfId="41674"/>
    <cellStyle name="Total 4 3 3 3 5" xfId="21756"/>
    <cellStyle name="Total 4 3 3 3 5 2" xfId="50935"/>
    <cellStyle name="Total 4 3 3 3 6" xfId="32043"/>
    <cellStyle name="Total 4 3 3 4" xfId="4543"/>
    <cellStyle name="Total 4 3 3 4 2" xfId="13719"/>
    <cellStyle name="Total 4 3 3 4 2 2" xfId="26904"/>
    <cellStyle name="Total 4 3 3 4 2 2 2" xfId="56083"/>
    <cellStyle name="Total 4 3 3 4 2 3" xfId="42900"/>
    <cellStyle name="Total 4 3 3 4 3" xfId="22476"/>
    <cellStyle name="Total 4 3 3 4 3 2" xfId="51655"/>
    <cellStyle name="Total 4 3 3 4 4" xfId="33726"/>
    <cellStyle name="Total 4 3 3 5" xfId="10368"/>
    <cellStyle name="Total 4 3 3 5 2" xfId="18014"/>
    <cellStyle name="Total 4 3 3 5 2 2" xfId="29492"/>
    <cellStyle name="Total 4 3 3 5 2 2 2" xfId="58671"/>
    <cellStyle name="Total 4 3 3 5 2 3" xfId="47195"/>
    <cellStyle name="Total 4 3 3 5 3" xfId="25064"/>
    <cellStyle name="Total 4 3 3 5 3 2" xfId="54243"/>
    <cellStyle name="Total 4 3 3 5 4" xfId="39551"/>
    <cellStyle name="Total 4 3 3 6" xfId="11217"/>
    <cellStyle name="Total 4 3 3 6 2" xfId="25461"/>
    <cellStyle name="Total 4 3 3 6 2 2" xfId="54640"/>
    <cellStyle name="Total 4 3 3 6 3" xfId="40398"/>
    <cellStyle name="Total 4 3 3 7" xfId="21033"/>
    <cellStyle name="Total 4 3 3 7 2" xfId="50212"/>
    <cellStyle name="Total 4 3 3 8" xfId="30240"/>
    <cellStyle name="Total 4 3 4" xfId="1200"/>
    <cellStyle name="Total 4 3 4 2" xfId="2104"/>
    <cellStyle name="Total 4 3 4 2 2" xfId="3904"/>
    <cellStyle name="Total 4 3 4 2 2 2" xfId="6820"/>
    <cellStyle name="Total 4 3 4 2 2 2 2" xfId="15490"/>
    <cellStyle name="Total 4 3 4 2 2 2 2 2" xfId="28047"/>
    <cellStyle name="Total 4 3 4 2 2 2 2 2 2" xfId="57226"/>
    <cellStyle name="Total 4 3 4 2 2 2 2 3" xfId="44671"/>
    <cellStyle name="Total 4 3 4 2 2 2 3" xfId="23619"/>
    <cellStyle name="Total 4 3 4 2 2 2 3 2" xfId="52798"/>
    <cellStyle name="Total 4 3 4 2 2 2 4" xfId="36003"/>
    <cellStyle name="Total 4 3 4 2 2 3" xfId="8506"/>
    <cellStyle name="Total 4 3 4 2 2 3 2" xfId="16685"/>
    <cellStyle name="Total 4 3 4 2 2 3 2 2" xfId="28749"/>
    <cellStyle name="Total 4 3 4 2 2 3 2 2 2" xfId="57928"/>
    <cellStyle name="Total 4 3 4 2 2 3 2 3" xfId="45866"/>
    <cellStyle name="Total 4 3 4 2 2 3 3" xfId="24321"/>
    <cellStyle name="Total 4 3 4 2 2 3 3 2" xfId="53500"/>
    <cellStyle name="Total 4 3 4 2 2 3 4" xfId="37689"/>
    <cellStyle name="Total 4 3 4 2 2 4" xfId="13232"/>
    <cellStyle name="Total 4 3 4 2 2 4 2" xfId="26607"/>
    <cellStyle name="Total 4 3 4 2 2 4 2 2" xfId="55786"/>
    <cellStyle name="Total 4 3 4 2 2 4 3" xfId="42413"/>
    <cellStyle name="Total 4 3 4 2 2 5" xfId="22179"/>
    <cellStyle name="Total 4 3 4 2 2 5 2" xfId="51358"/>
    <cellStyle name="Total 4 3 4 2 2 6" xfId="33087"/>
    <cellStyle name="Total 4 3 4 2 3" xfId="5380"/>
    <cellStyle name="Total 4 3 4 2 3 2" xfId="14368"/>
    <cellStyle name="Total 4 3 4 2 3 2 2" xfId="27327"/>
    <cellStyle name="Total 4 3 4 2 3 2 2 2" xfId="56506"/>
    <cellStyle name="Total 4 3 4 2 3 2 3" xfId="43549"/>
    <cellStyle name="Total 4 3 4 2 3 3" xfId="22899"/>
    <cellStyle name="Total 4 3 4 2 3 3 2" xfId="52078"/>
    <cellStyle name="Total 4 3 4 2 3 4" xfId="34563"/>
    <cellStyle name="Total 4 3 4 2 4" xfId="8045"/>
    <cellStyle name="Total 4 3 4 2 4 2" xfId="16357"/>
    <cellStyle name="Total 4 3 4 2 4 2 2" xfId="28575"/>
    <cellStyle name="Total 4 3 4 2 4 2 2 2" xfId="57754"/>
    <cellStyle name="Total 4 3 4 2 4 2 3" xfId="45538"/>
    <cellStyle name="Total 4 3 4 2 4 3" xfId="24147"/>
    <cellStyle name="Total 4 3 4 2 4 3 2" xfId="53326"/>
    <cellStyle name="Total 4 3 4 2 4 4" xfId="37228"/>
    <cellStyle name="Total 4 3 4 2 5" xfId="11958"/>
    <cellStyle name="Total 4 3 4 2 5 2" xfId="25887"/>
    <cellStyle name="Total 4 3 4 2 5 2 2" xfId="55066"/>
    <cellStyle name="Total 4 3 4 2 5 3" xfId="41139"/>
    <cellStyle name="Total 4 3 4 2 6" xfId="21459"/>
    <cellStyle name="Total 4 3 4 2 6 2" xfId="50638"/>
    <cellStyle name="Total 4 3 4 2 7" xfId="31287"/>
    <cellStyle name="Total 4 3 4 3" xfId="3004"/>
    <cellStyle name="Total 4 3 4 3 2" xfId="6100"/>
    <cellStyle name="Total 4 3 4 3 2 2" xfId="14929"/>
    <cellStyle name="Total 4 3 4 3 2 2 2" xfId="27687"/>
    <cellStyle name="Total 4 3 4 3 2 2 2 2" xfId="56866"/>
    <cellStyle name="Total 4 3 4 3 2 2 3" xfId="44110"/>
    <cellStyle name="Total 4 3 4 3 2 3" xfId="23259"/>
    <cellStyle name="Total 4 3 4 3 2 3 2" xfId="52438"/>
    <cellStyle name="Total 4 3 4 3 2 4" xfId="35283"/>
    <cellStyle name="Total 4 3 4 3 3" xfId="8810"/>
    <cellStyle name="Total 4 3 4 3 3 2" xfId="16907"/>
    <cellStyle name="Total 4 3 4 3 3 2 2" xfId="28875"/>
    <cellStyle name="Total 4 3 4 3 3 2 2 2" xfId="58054"/>
    <cellStyle name="Total 4 3 4 3 3 2 3" xfId="46088"/>
    <cellStyle name="Total 4 3 4 3 3 3" xfId="24447"/>
    <cellStyle name="Total 4 3 4 3 3 3 2" xfId="53626"/>
    <cellStyle name="Total 4 3 4 3 3 4" xfId="37993"/>
    <cellStyle name="Total 4 3 4 3 4" xfId="12593"/>
    <cellStyle name="Total 4 3 4 3 4 2" xfId="26247"/>
    <cellStyle name="Total 4 3 4 3 4 2 2" xfId="55426"/>
    <cellStyle name="Total 4 3 4 3 4 3" xfId="41774"/>
    <cellStyle name="Total 4 3 4 3 5" xfId="21819"/>
    <cellStyle name="Total 4 3 4 3 5 2" xfId="50998"/>
    <cellStyle name="Total 4 3 4 3 6" xfId="32187"/>
    <cellStyle name="Total 4 3 4 4" xfId="4660"/>
    <cellStyle name="Total 4 3 4 4 2" xfId="13809"/>
    <cellStyle name="Total 4 3 4 4 2 2" xfId="26967"/>
    <cellStyle name="Total 4 3 4 4 2 2 2" xfId="56146"/>
    <cellStyle name="Total 4 3 4 4 2 3" xfId="42990"/>
    <cellStyle name="Total 4 3 4 4 3" xfId="22539"/>
    <cellStyle name="Total 4 3 4 4 3 2" xfId="51718"/>
    <cellStyle name="Total 4 3 4 4 4" xfId="33843"/>
    <cellStyle name="Total 4 3 4 5" xfId="8479"/>
    <cellStyle name="Total 4 3 4 5 2" xfId="16665"/>
    <cellStyle name="Total 4 3 4 5 2 2" xfId="28737"/>
    <cellStyle name="Total 4 3 4 5 2 2 2" xfId="57916"/>
    <cellStyle name="Total 4 3 4 5 2 3" xfId="45846"/>
    <cellStyle name="Total 4 3 4 5 3" xfId="24309"/>
    <cellStyle name="Total 4 3 4 5 3 2" xfId="53488"/>
    <cellStyle name="Total 4 3 4 5 4" xfId="37662"/>
    <cellStyle name="Total 4 3 4 6" xfId="11327"/>
    <cellStyle name="Total 4 3 4 6 2" xfId="25527"/>
    <cellStyle name="Total 4 3 4 6 2 2" xfId="54706"/>
    <cellStyle name="Total 4 3 4 6 3" xfId="40508"/>
    <cellStyle name="Total 4 3 4 7" xfId="21099"/>
    <cellStyle name="Total 4 3 4 7 2" xfId="50278"/>
    <cellStyle name="Total 4 3 4 8" xfId="30387"/>
    <cellStyle name="Total 4 3 5" xfId="1346"/>
    <cellStyle name="Total 4 3 5 2" xfId="2248"/>
    <cellStyle name="Total 4 3 5 2 2" xfId="4048"/>
    <cellStyle name="Total 4 3 5 2 2 2" xfId="6937"/>
    <cellStyle name="Total 4 3 5 2 2 2 2" xfId="15580"/>
    <cellStyle name="Total 4 3 5 2 2 2 2 2" xfId="28110"/>
    <cellStyle name="Total 4 3 5 2 2 2 2 2 2" xfId="57289"/>
    <cellStyle name="Total 4 3 5 2 2 2 2 3" xfId="44761"/>
    <cellStyle name="Total 4 3 5 2 2 2 3" xfId="23682"/>
    <cellStyle name="Total 4 3 5 2 2 2 3 2" xfId="52861"/>
    <cellStyle name="Total 4 3 5 2 2 2 4" xfId="36120"/>
    <cellStyle name="Total 4 3 5 2 2 3" xfId="7032"/>
    <cellStyle name="Total 4 3 5 2 2 3 2" xfId="15649"/>
    <cellStyle name="Total 4 3 5 2 2 3 2 2" xfId="28158"/>
    <cellStyle name="Total 4 3 5 2 2 3 2 2 2" xfId="57337"/>
    <cellStyle name="Total 4 3 5 2 2 3 2 3" xfId="44830"/>
    <cellStyle name="Total 4 3 5 2 2 3 3" xfId="23730"/>
    <cellStyle name="Total 4 3 5 2 2 3 3 2" xfId="52909"/>
    <cellStyle name="Total 4 3 5 2 2 3 4" xfId="36215"/>
    <cellStyle name="Total 4 3 5 2 2 4" xfId="13334"/>
    <cellStyle name="Total 4 3 5 2 2 4 2" xfId="26670"/>
    <cellStyle name="Total 4 3 5 2 2 4 2 2" xfId="55849"/>
    <cellStyle name="Total 4 3 5 2 2 4 3" xfId="42515"/>
    <cellStyle name="Total 4 3 5 2 2 5" xfId="22242"/>
    <cellStyle name="Total 4 3 5 2 2 5 2" xfId="51421"/>
    <cellStyle name="Total 4 3 5 2 2 6" xfId="33231"/>
    <cellStyle name="Total 4 3 5 2 3" xfId="5497"/>
    <cellStyle name="Total 4 3 5 2 3 2" xfId="14460"/>
    <cellStyle name="Total 4 3 5 2 3 2 2" xfId="27390"/>
    <cellStyle name="Total 4 3 5 2 3 2 2 2" xfId="56569"/>
    <cellStyle name="Total 4 3 5 2 3 2 3" xfId="43641"/>
    <cellStyle name="Total 4 3 5 2 3 3" xfId="22962"/>
    <cellStyle name="Total 4 3 5 2 3 3 2" xfId="52141"/>
    <cellStyle name="Total 4 3 5 2 3 4" xfId="34680"/>
    <cellStyle name="Total 4 3 5 2 4" xfId="7299"/>
    <cellStyle name="Total 4 3 5 2 4 2" xfId="15839"/>
    <cellStyle name="Total 4 3 5 2 4 2 2" xfId="28278"/>
    <cellStyle name="Total 4 3 5 2 4 2 2 2" xfId="57457"/>
    <cellStyle name="Total 4 3 5 2 4 2 3" xfId="45020"/>
    <cellStyle name="Total 4 3 5 2 4 3" xfId="23850"/>
    <cellStyle name="Total 4 3 5 2 4 3 2" xfId="53029"/>
    <cellStyle name="Total 4 3 5 2 4 4" xfId="36482"/>
    <cellStyle name="Total 4 3 5 2 5" xfId="12057"/>
    <cellStyle name="Total 4 3 5 2 5 2" xfId="25950"/>
    <cellStyle name="Total 4 3 5 2 5 2 2" xfId="55129"/>
    <cellStyle name="Total 4 3 5 2 5 3" xfId="41238"/>
    <cellStyle name="Total 4 3 5 2 6" xfId="21522"/>
    <cellStyle name="Total 4 3 5 2 6 2" xfId="50701"/>
    <cellStyle name="Total 4 3 5 2 7" xfId="31431"/>
    <cellStyle name="Total 4 3 5 3" xfId="3148"/>
    <cellStyle name="Total 4 3 5 3 2" xfId="6217"/>
    <cellStyle name="Total 4 3 5 3 2 2" xfId="15020"/>
    <cellStyle name="Total 4 3 5 3 2 2 2" xfId="27750"/>
    <cellStyle name="Total 4 3 5 3 2 2 2 2" xfId="56929"/>
    <cellStyle name="Total 4 3 5 3 2 2 3" xfId="44201"/>
    <cellStyle name="Total 4 3 5 3 2 3" xfId="23322"/>
    <cellStyle name="Total 4 3 5 3 2 3 2" xfId="52501"/>
    <cellStyle name="Total 4 3 5 3 2 4" xfId="35400"/>
    <cellStyle name="Total 4 3 5 3 3" xfId="7221"/>
    <cellStyle name="Total 4 3 5 3 3 2" xfId="15783"/>
    <cellStyle name="Total 4 3 5 3 3 2 2" xfId="28242"/>
    <cellStyle name="Total 4 3 5 3 3 2 2 2" xfId="57421"/>
    <cellStyle name="Total 4 3 5 3 3 2 3" xfId="44964"/>
    <cellStyle name="Total 4 3 5 3 3 3" xfId="23814"/>
    <cellStyle name="Total 4 3 5 3 3 3 2" xfId="52993"/>
    <cellStyle name="Total 4 3 5 3 3 4" xfId="36404"/>
    <cellStyle name="Total 4 3 5 3 4" xfId="12695"/>
    <cellStyle name="Total 4 3 5 3 4 2" xfId="26310"/>
    <cellStyle name="Total 4 3 5 3 4 2 2" xfId="55489"/>
    <cellStyle name="Total 4 3 5 3 4 3" xfId="41876"/>
    <cellStyle name="Total 4 3 5 3 5" xfId="21882"/>
    <cellStyle name="Total 4 3 5 3 5 2" xfId="51061"/>
    <cellStyle name="Total 4 3 5 3 6" xfId="32331"/>
    <cellStyle name="Total 4 3 5 4" xfId="4777"/>
    <cellStyle name="Total 4 3 5 4 2" xfId="13897"/>
    <cellStyle name="Total 4 3 5 4 2 2" xfId="27030"/>
    <cellStyle name="Total 4 3 5 4 2 2 2" xfId="56209"/>
    <cellStyle name="Total 4 3 5 4 2 3" xfId="43078"/>
    <cellStyle name="Total 4 3 5 4 3" xfId="22602"/>
    <cellStyle name="Total 4 3 5 4 3 2" xfId="51781"/>
    <cellStyle name="Total 4 3 5 4 4" xfId="33960"/>
    <cellStyle name="Total 4 3 5 5" xfId="9403"/>
    <cellStyle name="Total 4 3 5 5 2" xfId="17337"/>
    <cellStyle name="Total 4 3 5 5 2 2" xfId="29113"/>
    <cellStyle name="Total 4 3 5 5 2 2 2" xfId="58292"/>
    <cellStyle name="Total 4 3 5 5 2 3" xfId="46518"/>
    <cellStyle name="Total 4 3 5 5 3" xfId="24685"/>
    <cellStyle name="Total 4 3 5 5 3 2" xfId="53864"/>
    <cellStyle name="Total 4 3 5 5 4" xfId="38586"/>
    <cellStyle name="Total 4 3 5 6" xfId="11426"/>
    <cellStyle name="Total 4 3 5 6 2" xfId="25590"/>
    <cellStyle name="Total 4 3 5 6 2 2" xfId="54769"/>
    <cellStyle name="Total 4 3 5 6 3" xfId="40607"/>
    <cellStyle name="Total 4 3 5 7" xfId="21162"/>
    <cellStyle name="Total 4 3 5 7 2" xfId="50341"/>
    <cellStyle name="Total 4 3 5 8" xfId="30531"/>
    <cellStyle name="Total 4 3 6" xfId="1528"/>
    <cellStyle name="Total 4 3 6 2" xfId="3328"/>
    <cellStyle name="Total 4 3 6 2 2" xfId="6361"/>
    <cellStyle name="Total 4 3 6 2 2 2" xfId="15123"/>
    <cellStyle name="Total 4 3 6 2 2 2 2" xfId="27822"/>
    <cellStyle name="Total 4 3 6 2 2 2 2 2" xfId="57001"/>
    <cellStyle name="Total 4 3 6 2 2 2 3" xfId="44304"/>
    <cellStyle name="Total 4 3 6 2 2 3" xfId="23394"/>
    <cellStyle name="Total 4 3 6 2 2 3 2" xfId="52573"/>
    <cellStyle name="Total 4 3 6 2 2 4" xfId="35544"/>
    <cellStyle name="Total 4 3 6 2 3" xfId="9809"/>
    <cellStyle name="Total 4 3 6 2 3 2" xfId="17628"/>
    <cellStyle name="Total 4 3 6 2 3 2 2" xfId="29275"/>
    <cellStyle name="Total 4 3 6 2 3 2 2 2" xfId="58454"/>
    <cellStyle name="Total 4 3 6 2 3 2 3" xfId="46809"/>
    <cellStyle name="Total 4 3 6 2 3 3" xfId="24847"/>
    <cellStyle name="Total 4 3 6 2 3 3 2" xfId="54026"/>
    <cellStyle name="Total 4 3 6 2 3 4" xfId="38992"/>
    <cellStyle name="Total 4 3 6 2 4" xfId="12819"/>
    <cellStyle name="Total 4 3 6 2 4 2" xfId="26382"/>
    <cellStyle name="Total 4 3 6 2 4 2 2" xfId="55561"/>
    <cellStyle name="Total 4 3 6 2 4 3" xfId="42000"/>
    <cellStyle name="Total 4 3 6 2 5" xfId="21954"/>
    <cellStyle name="Total 4 3 6 2 5 2" xfId="51133"/>
    <cellStyle name="Total 4 3 6 2 6" xfId="32511"/>
    <cellStyle name="Total 4 3 6 3" xfId="4921"/>
    <cellStyle name="Total 4 3 6 3 2" xfId="14002"/>
    <cellStyle name="Total 4 3 6 3 2 2" xfId="27102"/>
    <cellStyle name="Total 4 3 6 3 2 2 2" xfId="56281"/>
    <cellStyle name="Total 4 3 6 3 2 3" xfId="43183"/>
    <cellStyle name="Total 4 3 6 3 3" xfId="22674"/>
    <cellStyle name="Total 4 3 6 3 3 2" xfId="51853"/>
    <cellStyle name="Total 4 3 6 3 4" xfId="34104"/>
    <cellStyle name="Total 4 3 6 4" xfId="8386"/>
    <cellStyle name="Total 4 3 6 4 2" xfId="16603"/>
    <cellStyle name="Total 4 3 6 4 2 2" xfId="28707"/>
    <cellStyle name="Total 4 3 6 4 2 2 2" xfId="57886"/>
    <cellStyle name="Total 4 3 6 4 2 3" xfId="45784"/>
    <cellStyle name="Total 4 3 6 4 3" xfId="24279"/>
    <cellStyle name="Total 4 3 6 4 3 2" xfId="53458"/>
    <cellStyle name="Total 4 3 6 4 4" xfId="37569"/>
    <cellStyle name="Total 4 3 6 5" xfId="11547"/>
    <cellStyle name="Total 4 3 6 5 2" xfId="25662"/>
    <cellStyle name="Total 4 3 6 5 2 2" xfId="54841"/>
    <cellStyle name="Total 4 3 6 5 3" xfId="40728"/>
    <cellStyle name="Total 4 3 6 6" xfId="21234"/>
    <cellStyle name="Total 4 3 6 6 2" xfId="50413"/>
    <cellStyle name="Total 4 3 6 7" xfId="30711"/>
    <cellStyle name="Total 4 3 7" xfId="2428"/>
    <cellStyle name="Total 4 3 7 2" xfId="5641"/>
    <cellStyle name="Total 4 3 7 2 2" xfId="14569"/>
    <cellStyle name="Total 4 3 7 2 2 2" xfId="27462"/>
    <cellStyle name="Total 4 3 7 2 2 2 2" xfId="56641"/>
    <cellStyle name="Total 4 3 7 2 2 3" xfId="43750"/>
    <cellStyle name="Total 4 3 7 2 3" xfId="23034"/>
    <cellStyle name="Total 4 3 7 2 3 2" xfId="52213"/>
    <cellStyle name="Total 4 3 7 2 4" xfId="34824"/>
    <cellStyle name="Total 4 3 7 3" xfId="9940"/>
    <cellStyle name="Total 4 3 7 3 2" xfId="17721"/>
    <cellStyle name="Total 4 3 7 3 2 2" xfId="29327"/>
    <cellStyle name="Total 4 3 7 3 2 2 2" xfId="58506"/>
    <cellStyle name="Total 4 3 7 3 2 3" xfId="46902"/>
    <cellStyle name="Total 4 3 7 3 3" xfId="24899"/>
    <cellStyle name="Total 4 3 7 3 3 2" xfId="54078"/>
    <cellStyle name="Total 4 3 7 3 4" xfId="39123"/>
    <cellStyle name="Total 4 3 7 4" xfId="12181"/>
    <cellStyle name="Total 4 3 7 4 2" xfId="26022"/>
    <cellStyle name="Total 4 3 7 4 2 2" xfId="55201"/>
    <cellStyle name="Total 4 3 7 4 3" xfId="41362"/>
    <cellStyle name="Total 4 3 7 5" xfId="21594"/>
    <cellStyle name="Total 4 3 7 5 2" xfId="50773"/>
    <cellStyle name="Total 4 3 7 6" xfId="31611"/>
    <cellStyle name="Total 4 3 8" xfId="4201"/>
    <cellStyle name="Total 4 3 8 2" xfId="13450"/>
    <cellStyle name="Total 4 3 8 2 2" xfId="26742"/>
    <cellStyle name="Total 4 3 8 2 2 2" xfId="55921"/>
    <cellStyle name="Total 4 3 8 2 3" xfId="42631"/>
    <cellStyle name="Total 4 3 8 3" xfId="22314"/>
    <cellStyle name="Total 4 3 8 3 2" xfId="51493"/>
    <cellStyle name="Total 4 3 8 4" xfId="33384"/>
    <cellStyle name="Total 4 3 9" xfId="8183"/>
    <cellStyle name="Total 4 3 9 2" xfId="16452"/>
    <cellStyle name="Total 4 3 9 2 2" xfId="28626"/>
    <cellStyle name="Total 4 3 9 2 2 2" xfId="57805"/>
    <cellStyle name="Total 4 3 9 2 3" xfId="45633"/>
    <cellStyle name="Total 4 3 9 3" xfId="24198"/>
    <cellStyle name="Total 4 3 9 3 2" xfId="53377"/>
    <cellStyle name="Total 4 3 9 4" xfId="37366"/>
    <cellStyle name="Total 4 4" xfId="768"/>
    <cellStyle name="Total 4 4 2" xfId="1706"/>
    <cellStyle name="Total 4 4 2 2" xfId="3506"/>
    <cellStyle name="Total 4 4 2 2 2" xfId="6503"/>
    <cellStyle name="Total 4 4 2 2 2 2" xfId="15237"/>
    <cellStyle name="Total 4 4 2 2 2 2 2" xfId="27874"/>
    <cellStyle name="Total 4 4 2 2 2 2 2 2" xfId="57053"/>
    <cellStyle name="Total 4 4 2 2 2 2 3" xfId="44418"/>
    <cellStyle name="Total 4 4 2 2 2 3" xfId="23446"/>
    <cellStyle name="Total 4 4 2 2 2 3 2" xfId="52625"/>
    <cellStyle name="Total 4 4 2 2 2 4" xfId="35686"/>
    <cellStyle name="Total 4 4 2 2 3" xfId="9117"/>
    <cellStyle name="Total 4 4 2 2 3 2" xfId="17132"/>
    <cellStyle name="Total 4 4 2 2 3 2 2" xfId="29001"/>
    <cellStyle name="Total 4 4 2 2 3 2 2 2" xfId="58180"/>
    <cellStyle name="Total 4 4 2 2 3 2 3" xfId="46313"/>
    <cellStyle name="Total 4 4 2 2 3 3" xfId="24573"/>
    <cellStyle name="Total 4 4 2 2 3 3 2" xfId="53752"/>
    <cellStyle name="Total 4 4 2 2 3 4" xfId="38300"/>
    <cellStyle name="Total 4 4 2 2 4" xfId="12943"/>
    <cellStyle name="Total 4 4 2 2 4 2" xfId="26434"/>
    <cellStyle name="Total 4 4 2 2 4 2 2" xfId="55613"/>
    <cellStyle name="Total 4 4 2 2 4 3" xfId="42124"/>
    <cellStyle name="Total 4 4 2 2 5" xfId="22006"/>
    <cellStyle name="Total 4 4 2 2 5 2" xfId="51185"/>
    <cellStyle name="Total 4 4 2 2 6" xfId="32689"/>
    <cellStyle name="Total 4 4 2 3" xfId="5063"/>
    <cellStyle name="Total 4 4 2 3 2" xfId="14113"/>
    <cellStyle name="Total 4 4 2 3 2 2" xfId="27154"/>
    <cellStyle name="Total 4 4 2 3 2 2 2" xfId="56333"/>
    <cellStyle name="Total 4 4 2 3 2 3" xfId="43294"/>
    <cellStyle name="Total 4 4 2 3 3" xfId="22726"/>
    <cellStyle name="Total 4 4 2 3 3 2" xfId="51905"/>
    <cellStyle name="Total 4 4 2 3 4" xfId="34246"/>
    <cellStyle name="Total 4 4 2 4" xfId="10243"/>
    <cellStyle name="Total 4 4 2 4 2" xfId="17931"/>
    <cellStyle name="Total 4 4 2 4 2 2" xfId="29450"/>
    <cellStyle name="Total 4 4 2 4 2 2 2" xfId="58629"/>
    <cellStyle name="Total 4 4 2 4 2 3" xfId="47112"/>
    <cellStyle name="Total 4 4 2 4 3" xfId="25022"/>
    <cellStyle name="Total 4 4 2 4 3 2" xfId="54201"/>
    <cellStyle name="Total 4 4 2 4 4" xfId="39426"/>
    <cellStyle name="Total 4 4 2 5" xfId="11670"/>
    <cellStyle name="Total 4 4 2 5 2" xfId="25714"/>
    <cellStyle name="Total 4 4 2 5 2 2" xfId="54893"/>
    <cellStyle name="Total 4 4 2 5 3" xfId="40851"/>
    <cellStyle name="Total 4 4 2 6" xfId="21286"/>
    <cellStyle name="Total 4 4 2 6 2" xfId="50465"/>
    <cellStyle name="Total 4 4 2 7" xfId="30889"/>
    <cellStyle name="Total 4 4 3" xfId="2606"/>
    <cellStyle name="Total 4 4 3 2" xfId="5783"/>
    <cellStyle name="Total 4 4 3 2 2" xfId="14678"/>
    <cellStyle name="Total 4 4 3 2 2 2" xfId="27514"/>
    <cellStyle name="Total 4 4 3 2 2 2 2" xfId="56693"/>
    <cellStyle name="Total 4 4 3 2 2 3" xfId="43859"/>
    <cellStyle name="Total 4 4 3 2 3" xfId="23086"/>
    <cellStyle name="Total 4 4 3 2 3 2" xfId="52265"/>
    <cellStyle name="Total 4 4 3 2 4" xfId="34966"/>
    <cellStyle name="Total 4 4 3 3" xfId="9467"/>
    <cellStyle name="Total 4 4 3 3 2" xfId="17379"/>
    <cellStyle name="Total 4 4 3 3 2 2" xfId="29140"/>
    <cellStyle name="Total 4 4 3 3 2 2 2" xfId="58319"/>
    <cellStyle name="Total 4 4 3 3 2 3" xfId="46560"/>
    <cellStyle name="Total 4 4 3 3 3" xfId="24712"/>
    <cellStyle name="Total 4 4 3 3 3 2" xfId="53891"/>
    <cellStyle name="Total 4 4 3 3 4" xfId="38650"/>
    <cellStyle name="Total 4 4 3 4" xfId="12305"/>
    <cellStyle name="Total 4 4 3 4 2" xfId="26074"/>
    <cellStyle name="Total 4 4 3 4 2 2" xfId="55253"/>
    <cellStyle name="Total 4 4 3 4 3" xfId="41486"/>
    <cellStyle name="Total 4 4 3 5" xfId="21646"/>
    <cellStyle name="Total 4 4 3 5 2" xfId="50825"/>
    <cellStyle name="Total 4 4 3 6" xfId="31789"/>
    <cellStyle name="Total 4 4 4" xfId="4343"/>
    <cellStyle name="Total 4 4 4 2" xfId="13557"/>
    <cellStyle name="Total 4 4 4 2 2" xfId="26794"/>
    <cellStyle name="Total 4 4 4 2 2 2" xfId="55973"/>
    <cellStyle name="Total 4 4 4 2 3" xfId="42738"/>
    <cellStyle name="Total 4 4 4 3" xfId="22366"/>
    <cellStyle name="Total 4 4 4 3 2" xfId="51545"/>
    <cellStyle name="Total 4 4 4 4" xfId="33526"/>
    <cellStyle name="Total 4 4 5" xfId="7341"/>
    <cellStyle name="Total 4 4 5 2" xfId="15868"/>
    <cellStyle name="Total 4 4 5 2 2" xfId="28295"/>
    <cellStyle name="Total 4 4 5 2 2 2" xfId="57474"/>
    <cellStyle name="Total 4 4 5 2 3" xfId="45049"/>
    <cellStyle name="Total 4 4 5 3" xfId="23867"/>
    <cellStyle name="Total 4 4 5 3 2" xfId="53046"/>
    <cellStyle name="Total 4 4 5 4" xfId="36524"/>
    <cellStyle name="Total 4 4 6" xfId="11009"/>
    <cellStyle name="Total 4 4 6 2" xfId="25330"/>
    <cellStyle name="Total 4 4 6 2 2" xfId="54509"/>
    <cellStyle name="Total 4 4 6 3" xfId="40190"/>
    <cellStyle name="Total 4 4 7" xfId="20902"/>
    <cellStyle name="Total 4 4 7 2" xfId="50081"/>
    <cellStyle name="Total 4 4 8" xfId="29965"/>
    <cellStyle name="Total 4 5" xfId="960"/>
    <cellStyle name="Total 4 5 2" xfId="1870"/>
    <cellStyle name="Total 4 5 2 2" xfId="3670"/>
    <cellStyle name="Total 4 5 2 2 2" xfId="6631"/>
    <cellStyle name="Total 4 5 2 2 2 2" xfId="15343"/>
    <cellStyle name="Total 4 5 2 2 2 2 2" xfId="27948"/>
    <cellStyle name="Total 4 5 2 2 2 2 2 2" xfId="57127"/>
    <cellStyle name="Total 4 5 2 2 2 2 3" xfId="44524"/>
    <cellStyle name="Total 4 5 2 2 2 3" xfId="23520"/>
    <cellStyle name="Total 4 5 2 2 2 3 2" xfId="52699"/>
    <cellStyle name="Total 4 5 2 2 2 4" xfId="35814"/>
    <cellStyle name="Total 4 5 2 2 3" xfId="10498"/>
    <cellStyle name="Total 4 5 2 2 3 2" xfId="18105"/>
    <cellStyle name="Total 4 5 2 2 3 2 2" xfId="29541"/>
    <cellStyle name="Total 4 5 2 2 3 2 2 2" xfId="58720"/>
    <cellStyle name="Total 4 5 2 2 3 2 3" xfId="47286"/>
    <cellStyle name="Total 4 5 2 2 3 3" xfId="25113"/>
    <cellStyle name="Total 4 5 2 2 3 3 2" xfId="54292"/>
    <cellStyle name="Total 4 5 2 2 3 4" xfId="39681"/>
    <cellStyle name="Total 4 5 2 2 4" xfId="13064"/>
    <cellStyle name="Total 4 5 2 2 4 2" xfId="26508"/>
    <cellStyle name="Total 4 5 2 2 4 2 2" xfId="55687"/>
    <cellStyle name="Total 4 5 2 2 4 3" xfId="42245"/>
    <cellStyle name="Total 4 5 2 2 5" xfId="22080"/>
    <cellStyle name="Total 4 5 2 2 5 2" xfId="51259"/>
    <cellStyle name="Total 4 5 2 2 6" xfId="32853"/>
    <cellStyle name="Total 4 5 2 3" xfId="5191"/>
    <cellStyle name="Total 4 5 2 3 2" xfId="14221"/>
    <cellStyle name="Total 4 5 2 3 2 2" xfId="27228"/>
    <cellStyle name="Total 4 5 2 3 2 2 2" xfId="56407"/>
    <cellStyle name="Total 4 5 2 3 2 3" xfId="43402"/>
    <cellStyle name="Total 4 5 2 3 3" xfId="22800"/>
    <cellStyle name="Total 4 5 2 3 3 2" xfId="51979"/>
    <cellStyle name="Total 4 5 2 3 4" xfId="34374"/>
    <cellStyle name="Total 4 5 2 4" xfId="10101"/>
    <cellStyle name="Total 4 5 2 4 2" xfId="17828"/>
    <cellStyle name="Total 4 5 2 4 2 2" xfId="29388"/>
    <cellStyle name="Total 4 5 2 4 2 2 2" xfId="58567"/>
    <cellStyle name="Total 4 5 2 4 2 3" xfId="47009"/>
    <cellStyle name="Total 4 5 2 4 3" xfId="24960"/>
    <cellStyle name="Total 4 5 2 4 3 2" xfId="54139"/>
    <cellStyle name="Total 4 5 2 4 4" xfId="39284"/>
    <cellStyle name="Total 4 5 2 5" xfId="11789"/>
    <cellStyle name="Total 4 5 2 5 2" xfId="25788"/>
    <cellStyle name="Total 4 5 2 5 2 2" xfId="54967"/>
    <cellStyle name="Total 4 5 2 5 3" xfId="40970"/>
    <cellStyle name="Total 4 5 2 6" xfId="21360"/>
    <cellStyle name="Total 4 5 2 6 2" xfId="50539"/>
    <cellStyle name="Total 4 5 2 7" xfId="31053"/>
    <cellStyle name="Total 4 5 3" xfId="2770"/>
    <cellStyle name="Total 4 5 3 2" xfId="5911"/>
    <cellStyle name="Total 4 5 3 2 2" xfId="14786"/>
    <cellStyle name="Total 4 5 3 2 2 2" xfId="27588"/>
    <cellStyle name="Total 4 5 3 2 2 2 2" xfId="56767"/>
    <cellStyle name="Total 4 5 3 2 2 3" xfId="43967"/>
    <cellStyle name="Total 4 5 3 2 3" xfId="23160"/>
    <cellStyle name="Total 4 5 3 2 3 2" xfId="52339"/>
    <cellStyle name="Total 4 5 3 2 4" xfId="35094"/>
    <cellStyle name="Total 4 5 3 3" xfId="9326"/>
    <cellStyle name="Total 4 5 3 3 2" xfId="17284"/>
    <cellStyle name="Total 4 5 3 3 2 2" xfId="29079"/>
    <cellStyle name="Total 4 5 3 3 2 2 2" xfId="58258"/>
    <cellStyle name="Total 4 5 3 3 2 3" xfId="46465"/>
    <cellStyle name="Total 4 5 3 3 3" xfId="24651"/>
    <cellStyle name="Total 4 5 3 3 3 2" xfId="53830"/>
    <cellStyle name="Total 4 5 3 3 4" xfId="38509"/>
    <cellStyle name="Total 4 5 3 4" xfId="12429"/>
    <cellStyle name="Total 4 5 3 4 2" xfId="26148"/>
    <cellStyle name="Total 4 5 3 4 2 2" xfId="55327"/>
    <cellStyle name="Total 4 5 3 4 3" xfId="41610"/>
    <cellStyle name="Total 4 5 3 5" xfId="21720"/>
    <cellStyle name="Total 4 5 3 5 2" xfId="50899"/>
    <cellStyle name="Total 4 5 3 6" xfId="31953"/>
    <cellStyle name="Total 4 5 4" xfId="4471"/>
    <cellStyle name="Total 4 5 4 2" xfId="13664"/>
    <cellStyle name="Total 4 5 4 2 2" xfId="26868"/>
    <cellStyle name="Total 4 5 4 2 2 2" xfId="56047"/>
    <cellStyle name="Total 4 5 4 2 3" xfId="42845"/>
    <cellStyle name="Total 4 5 4 3" xfId="22440"/>
    <cellStyle name="Total 4 5 4 3 2" xfId="51619"/>
    <cellStyle name="Total 4 5 4 4" xfId="33654"/>
    <cellStyle name="Total 4 5 5" xfId="8482"/>
    <cellStyle name="Total 4 5 5 2" xfId="16667"/>
    <cellStyle name="Total 4 5 5 2 2" xfId="28739"/>
    <cellStyle name="Total 4 5 5 2 2 2" xfId="57918"/>
    <cellStyle name="Total 4 5 5 2 3" xfId="45848"/>
    <cellStyle name="Total 4 5 5 3" xfId="24311"/>
    <cellStyle name="Total 4 5 5 3 2" xfId="53490"/>
    <cellStyle name="Total 4 5 5 4" xfId="37665"/>
    <cellStyle name="Total 4 5 6" xfId="11154"/>
    <cellStyle name="Total 4 5 6 2" xfId="25425"/>
    <cellStyle name="Total 4 5 6 2 2" xfId="54604"/>
    <cellStyle name="Total 4 5 6 3" xfId="40335"/>
    <cellStyle name="Total 4 5 7" xfId="20997"/>
    <cellStyle name="Total 4 5 7 2" xfId="50176"/>
    <cellStyle name="Total 4 5 8" xfId="30150"/>
    <cellStyle name="Total 4 6" xfId="1110"/>
    <cellStyle name="Total 4 6 2" xfId="2014"/>
    <cellStyle name="Total 4 6 2 2" xfId="3814"/>
    <cellStyle name="Total 4 6 2 2 2" xfId="6748"/>
    <cellStyle name="Total 4 6 2 2 2 2" xfId="15434"/>
    <cellStyle name="Total 4 6 2 2 2 2 2" xfId="28011"/>
    <cellStyle name="Total 4 6 2 2 2 2 2 2" xfId="57190"/>
    <cellStyle name="Total 4 6 2 2 2 2 3" xfId="44615"/>
    <cellStyle name="Total 4 6 2 2 2 3" xfId="23583"/>
    <cellStyle name="Total 4 6 2 2 2 3 2" xfId="52762"/>
    <cellStyle name="Total 4 6 2 2 2 4" xfId="35931"/>
    <cellStyle name="Total 4 6 2 2 3" xfId="9531"/>
    <cellStyle name="Total 4 6 2 2 3 2" xfId="17426"/>
    <cellStyle name="Total 4 6 2 2 3 2 2" xfId="29166"/>
    <cellStyle name="Total 4 6 2 2 3 2 2 2" xfId="58345"/>
    <cellStyle name="Total 4 6 2 2 3 2 3" xfId="46607"/>
    <cellStyle name="Total 4 6 2 2 3 3" xfId="24738"/>
    <cellStyle name="Total 4 6 2 2 3 3 2" xfId="53917"/>
    <cellStyle name="Total 4 6 2 2 3 4" xfId="38714"/>
    <cellStyle name="Total 4 6 2 2 4" xfId="13171"/>
    <cellStyle name="Total 4 6 2 2 4 2" xfId="26571"/>
    <cellStyle name="Total 4 6 2 2 4 2 2" xfId="55750"/>
    <cellStyle name="Total 4 6 2 2 4 3" xfId="42352"/>
    <cellStyle name="Total 4 6 2 2 5" xfId="22143"/>
    <cellStyle name="Total 4 6 2 2 5 2" xfId="51322"/>
    <cellStyle name="Total 4 6 2 2 6" xfId="32997"/>
    <cellStyle name="Total 4 6 2 3" xfId="5308"/>
    <cellStyle name="Total 4 6 2 3 2" xfId="14313"/>
    <cellStyle name="Total 4 6 2 3 2 2" xfId="27291"/>
    <cellStyle name="Total 4 6 2 3 2 2 2" xfId="56470"/>
    <cellStyle name="Total 4 6 2 3 2 3" xfId="43494"/>
    <cellStyle name="Total 4 6 2 3 3" xfId="22863"/>
    <cellStyle name="Total 4 6 2 3 3 2" xfId="52042"/>
    <cellStyle name="Total 4 6 2 3 4" xfId="34491"/>
    <cellStyle name="Total 4 6 2 4" xfId="9094"/>
    <cellStyle name="Total 4 6 2 4 2" xfId="17116"/>
    <cellStyle name="Total 4 6 2 4 2 2" xfId="28990"/>
    <cellStyle name="Total 4 6 2 4 2 2 2" xfId="58169"/>
    <cellStyle name="Total 4 6 2 4 2 3" xfId="46297"/>
    <cellStyle name="Total 4 6 2 4 3" xfId="24562"/>
    <cellStyle name="Total 4 6 2 4 3 2" xfId="53741"/>
    <cellStyle name="Total 4 6 2 4 4" xfId="38277"/>
    <cellStyle name="Total 4 6 2 5" xfId="11895"/>
    <cellStyle name="Total 4 6 2 5 2" xfId="25851"/>
    <cellStyle name="Total 4 6 2 5 2 2" xfId="55030"/>
    <cellStyle name="Total 4 6 2 5 3" xfId="41076"/>
    <cellStyle name="Total 4 6 2 6" xfId="21423"/>
    <cellStyle name="Total 4 6 2 6 2" xfId="50602"/>
    <cellStyle name="Total 4 6 2 7" xfId="31197"/>
    <cellStyle name="Total 4 6 3" xfId="2914"/>
    <cellStyle name="Total 4 6 3 2" xfId="6028"/>
    <cellStyle name="Total 4 6 3 2 2" xfId="14874"/>
    <cellStyle name="Total 4 6 3 2 2 2" xfId="27651"/>
    <cellStyle name="Total 4 6 3 2 2 2 2" xfId="56830"/>
    <cellStyle name="Total 4 6 3 2 2 3" xfId="44055"/>
    <cellStyle name="Total 4 6 3 2 3" xfId="23223"/>
    <cellStyle name="Total 4 6 3 2 3 2" xfId="52402"/>
    <cellStyle name="Total 4 6 3 2 4" xfId="35211"/>
    <cellStyle name="Total 4 6 3 3" xfId="7588"/>
    <cellStyle name="Total 4 6 3 3 2" xfId="16039"/>
    <cellStyle name="Total 4 6 3 3 2 2" xfId="28396"/>
    <cellStyle name="Total 4 6 3 3 2 2 2" xfId="57575"/>
    <cellStyle name="Total 4 6 3 3 2 3" xfId="45220"/>
    <cellStyle name="Total 4 6 3 3 3" xfId="23968"/>
    <cellStyle name="Total 4 6 3 3 3 2" xfId="53147"/>
    <cellStyle name="Total 4 6 3 3 4" xfId="36771"/>
    <cellStyle name="Total 4 6 3 4" xfId="12531"/>
    <cellStyle name="Total 4 6 3 4 2" xfId="26211"/>
    <cellStyle name="Total 4 6 3 4 2 2" xfId="55390"/>
    <cellStyle name="Total 4 6 3 4 3" xfId="41712"/>
    <cellStyle name="Total 4 6 3 5" xfId="21783"/>
    <cellStyle name="Total 4 6 3 5 2" xfId="50962"/>
    <cellStyle name="Total 4 6 3 6" xfId="32097"/>
    <cellStyle name="Total 4 6 4" xfId="4588"/>
    <cellStyle name="Total 4 6 4 2" xfId="13754"/>
    <cellStyle name="Total 4 6 4 2 2" xfId="26931"/>
    <cellStyle name="Total 4 6 4 2 2 2" xfId="56110"/>
    <cellStyle name="Total 4 6 4 2 3" xfId="42935"/>
    <cellStyle name="Total 4 6 4 3" xfId="22503"/>
    <cellStyle name="Total 4 6 4 3 2" xfId="51682"/>
    <cellStyle name="Total 4 6 4 4" xfId="33771"/>
    <cellStyle name="Total 4 6 5" xfId="9268"/>
    <cellStyle name="Total 4 6 5 2" xfId="17244"/>
    <cellStyle name="Total 4 6 5 2 2" xfId="29058"/>
    <cellStyle name="Total 4 6 5 2 2 2" xfId="58237"/>
    <cellStyle name="Total 4 6 5 2 3" xfId="46425"/>
    <cellStyle name="Total 4 6 5 3" xfId="24630"/>
    <cellStyle name="Total 4 6 5 3 2" xfId="53809"/>
    <cellStyle name="Total 4 6 5 4" xfId="38451"/>
    <cellStyle name="Total 4 6 6" xfId="11263"/>
    <cellStyle name="Total 4 6 6 2" xfId="25491"/>
    <cellStyle name="Total 4 6 6 2 2" xfId="54670"/>
    <cellStyle name="Total 4 6 6 3" xfId="40444"/>
    <cellStyle name="Total 4 6 7" xfId="21063"/>
    <cellStyle name="Total 4 6 7 2" xfId="50242"/>
    <cellStyle name="Total 4 6 8" xfId="30297"/>
    <cellStyle name="Total 4 7" xfId="1256"/>
    <cellStyle name="Total 4 7 2" xfId="2158"/>
    <cellStyle name="Total 4 7 2 2" xfId="3958"/>
    <cellStyle name="Total 4 7 2 2 2" xfId="6865"/>
    <cellStyle name="Total 4 7 2 2 2 2" xfId="15524"/>
    <cellStyle name="Total 4 7 2 2 2 2 2" xfId="28074"/>
    <cellStyle name="Total 4 7 2 2 2 2 2 2" xfId="57253"/>
    <cellStyle name="Total 4 7 2 2 2 2 3" xfId="44705"/>
    <cellStyle name="Total 4 7 2 2 2 3" xfId="23646"/>
    <cellStyle name="Total 4 7 2 2 2 3 2" xfId="52825"/>
    <cellStyle name="Total 4 7 2 2 2 4" xfId="36048"/>
    <cellStyle name="Total 4 7 2 2 3" xfId="7122"/>
    <cellStyle name="Total 4 7 2 2 3 2" xfId="15712"/>
    <cellStyle name="Total 4 7 2 2 3 2 2" xfId="28194"/>
    <cellStyle name="Total 4 7 2 2 3 2 2 2" xfId="57373"/>
    <cellStyle name="Total 4 7 2 2 3 2 3" xfId="44893"/>
    <cellStyle name="Total 4 7 2 2 3 3" xfId="23766"/>
    <cellStyle name="Total 4 7 2 2 3 3 2" xfId="52945"/>
    <cellStyle name="Total 4 7 2 2 3 4" xfId="36305"/>
    <cellStyle name="Total 4 7 2 2 4" xfId="13269"/>
    <cellStyle name="Total 4 7 2 2 4 2" xfId="26634"/>
    <cellStyle name="Total 4 7 2 2 4 2 2" xfId="55813"/>
    <cellStyle name="Total 4 7 2 2 4 3" xfId="42450"/>
    <cellStyle name="Total 4 7 2 2 5" xfId="22206"/>
    <cellStyle name="Total 4 7 2 2 5 2" xfId="51385"/>
    <cellStyle name="Total 4 7 2 2 6" xfId="33141"/>
    <cellStyle name="Total 4 7 2 3" xfId="5425"/>
    <cellStyle name="Total 4 7 2 3 2" xfId="14402"/>
    <cellStyle name="Total 4 7 2 3 2 2" xfId="27354"/>
    <cellStyle name="Total 4 7 2 3 2 2 2" xfId="56533"/>
    <cellStyle name="Total 4 7 2 3 2 3" xfId="43583"/>
    <cellStyle name="Total 4 7 2 3 3" xfId="22926"/>
    <cellStyle name="Total 4 7 2 3 3 2" xfId="52105"/>
    <cellStyle name="Total 4 7 2 3 4" xfId="34608"/>
    <cellStyle name="Total 4 7 2 4" xfId="9393"/>
    <cellStyle name="Total 4 7 2 4 2" xfId="17330"/>
    <cellStyle name="Total 4 7 2 4 2 2" xfId="29106"/>
    <cellStyle name="Total 4 7 2 4 2 2 2" xfId="58285"/>
    <cellStyle name="Total 4 7 2 4 2 3" xfId="46511"/>
    <cellStyle name="Total 4 7 2 4 3" xfId="24678"/>
    <cellStyle name="Total 4 7 2 4 3 2" xfId="53857"/>
    <cellStyle name="Total 4 7 2 4 4" xfId="38576"/>
    <cellStyle name="Total 4 7 2 5" xfId="11994"/>
    <cellStyle name="Total 4 7 2 5 2" xfId="25914"/>
    <cellStyle name="Total 4 7 2 5 2 2" xfId="55093"/>
    <cellStyle name="Total 4 7 2 5 3" xfId="41175"/>
    <cellStyle name="Total 4 7 2 6" xfId="21486"/>
    <cellStyle name="Total 4 7 2 6 2" xfId="50665"/>
    <cellStyle name="Total 4 7 2 7" xfId="31341"/>
    <cellStyle name="Total 4 7 3" xfId="3058"/>
    <cellStyle name="Total 4 7 3 2" xfId="6145"/>
    <cellStyle name="Total 4 7 3 2 2" xfId="14963"/>
    <cellStyle name="Total 4 7 3 2 2 2" xfId="27714"/>
    <cellStyle name="Total 4 7 3 2 2 2 2" xfId="56893"/>
    <cellStyle name="Total 4 7 3 2 2 3" xfId="44144"/>
    <cellStyle name="Total 4 7 3 2 3" xfId="23286"/>
    <cellStyle name="Total 4 7 3 2 3 2" xfId="52465"/>
    <cellStyle name="Total 4 7 3 2 4" xfId="35328"/>
    <cellStyle name="Total 4 7 3 3" xfId="8235"/>
    <cellStyle name="Total 4 7 3 3 2" xfId="16494"/>
    <cellStyle name="Total 4 7 3 3 2 2" xfId="28648"/>
    <cellStyle name="Total 4 7 3 3 2 2 2" xfId="57827"/>
    <cellStyle name="Total 4 7 3 3 2 3" xfId="45675"/>
    <cellStyle name="Total 4 7 3 3 3" xfId="24220"/>
    <cellStyle name="Total 4 7 3 3 3 2" xfId="53399"/>
    <cellStyle name="Total 4 7 3 3 4" xfId="37418"/>
    <cellStyle name="Total 4 7 3 4" xfId="12630"/>
    <cellStyle name="Total 4 7 3 4 2" xfId="26274"/>
    <cellStyle name="Total 4 7 3 4 2 2" xfId="55453"/>
    <cellStyle name="Total 4 7 3 4 3" xfId="41811"/>
    <cellStyle name="Total 4 7 3 5" xfId="21846"/>
    <cellStyle name="Total 4 7 3 5 2" xfId="51025"/>
    <cellStyle name="Total 4 7 3 6" xfId="32241"/>
    <cellStyle name="Total 4 7 4" xfId="4705"/>
    <cellStyle name="Total 4 7 4 2" xfId="13843"/>
    <cellStyle name="Total 4 7 4 2 2" xfId="26994"/>
    <cellStyle name="Total 4 7 4 2 2 2" xfId="56173"/>
    <cellStyle name="Total 4 7 4 2 3" xfId="43024"/>
    <cellStyle name="Total 4 7 4 3" xfId="22566"/>
    <cellStyle name="Total 4 7 4 3 2" xfId="51745"/>
    <cellStyle name="Total 4 7 4 4" xfId="33888"/>
    <cellStyle name="Total 4 7 5" xfId="9382"/>
    <cellStyle name="Total 4 7 5 2" xfId="17321"/>
    <cellStyle name="Total 4 7 5 2 2" xfId="29102"/>
    <cellStyle name="Total 4 7 5 2 2 2" xfId="58281"/>
    <cellStyle name="Total 4 7 5 2 3" xfId="46502"/>
    <cellStyle name="Total 4 7 5 3" xfId="24674"/>
    <cellStyle name="Total 4 7 5 3 2" xfId="53853"/>
    <cellStyle name="Total 4 7 5 4" xfId="38565"/>
    <cellStyle name="Total 4 7 6" xfId="11365"/>
    <cellStyle name="Total 4 7 6 2" xfId="25554"/>
    <cellStyle name="Total 4 7 6 2 2" xfId="54733"/>
    <cellStyle name="Total 4 7 6 3" xfId="40546"/>
    <cellStyle name="Total 4 7 7" xfId="21126"/>
    <cellStyle name="Total 4 7 7 2" xfId="50305"/>
    <cellStyle name="Total 4 7 8" xfId="30441"/>
    <cellStyle name="Total 4 8" xfId="1438"/>
    <cellStyle name="Total 4 8 2" xfId="3238"/>
    <cellStyle name="Total 4 8 2 2" xfId="6289"/>
    <cellStyle name="Total 4 8 2 2 2" xfId="15072"/>
    <cellStyle name="Total 4 8 2 2 2 2" xfId="27786"/>
    <cellStyle name="Total 4 8 2 2 2 2 2" xfId="56965"/>
    <cellStyle name="Total 4 8 2 2 2 3" xfId="44253"/>
    <cellStyle name="Total 4 8 2 2 3" xfId="23358"/>
    <cellStyle name="Total 4 8 2 2 3 2" xfId="52537"/>
    <cellStyle name="Total 4 8 2 2 4" xfId="35472"/>
    <cellStyle name="Total 4 8 2 3" xfId="9460"/>
    <cellStyle name="Total 4 8 2 3 2" xfId="17373"/>
    <cellStyle name="Total 4 8 2 3 2 2" xfId="29136"/>
    <cellStyle name="Total 4 8 2 3 2 2 2" xfId="58315"/>
    <cellStyle name="Total 4 8 2 3 2 3" xfId="46554"/>
    <cellStyle name="Total 4 8 2 3 3" xfId="24708"/>
    <cellStyle name="Total 4 8 2 3 3 2" xfId="53887"/>
    <cellStyle name="Total 4 8 2 3 4" xfId="38643"/>
    <cellStyle name="Total 4 8 2 4" xfId="12757"/>
    <cellStyle name="Total 4 8 2 4 2" xfId="26346"/>
    <cellStyle name="Total 4 8 2 4 2 2" xfId="55525"/>
    <cellStyle name="Total 4 8 2 4 3" xfId="41938"/>
    <cellStyle name="Total 4 8 2 5" xfId="21918"/>
    <cellStyle name="Total 4 8 2 5 2" xfId="51097"/>
    <cellStyle name="Total 4 8 2 6" xfId="32421"/>
    <cellStyle name="Total 4 8 3" xfId="4849"/>
    <cellStyle name="Total 4 8 3 2" xfId="13948"/>
    <cellStyle name="Total 4 8 3 2 2" xfId="27066"/>
    <cellStyle name="Total 4 8 3 2 2 2" xfId="56245"/>
    <cellStyle name="Total 4 8 3 2 3" xfId="43129"/>
    <cellStyle name="Total 4 8 3 3" xfId="22638"/>
    <cellStyle name="Total 4 8 3 3 2" xfId="51817"/>
    <cellStyle name="Total 4 8 3 4" xfId="34032"/>
    <cellStyle name="Total 4 8 4" xfId="9246"/>
    <cellStyle name="Total 4 8 4 2" xfId="17224"/>
    <cellStyle name="Total 4 8 4 2 2" xfId="29046"/>
    <cellStyle name="Total 4 8 4 2 2 2" xfId="58225"/>
    <cellStyle name="Total 4 8 4 2 3" xfId="46405"/>
    <cellStyle name="Total 4 8 4 3" xfId="24618"/>
    <cellStyle name="Total 4 8 4 3 2" xfId="53797"/>
    <cellStyle name="Total 4 8 4 4" xfId="38429"/>
    <cellStyle name="Total 4 8 5" xfId="11486"/>
    <cellStyle name="Total 4 8 5 2" xfId="25626"/>
    <cellStyle name="Total 4 8 5 2 2" xfId="54805"/>
    <cellStyle name="Total 4 8 5 3" xfId="40667"/>
    <cellStyle name="Total 4 8 6" xfId="21198"/>
    <cellStyle name="Total 4 8 6 2" xfId="50377"/>
    <cellStyle name="Total 4 8 7" xfId="30621"/>
    <cellStyle name="Total 4 9" xfId="2338"/>
    <cellStyle name="Total 4 9 2" xfId="5569"/>
    <cellStyle name="Total 4 9 2 2" xfId="14514"/>
    <cellStyle name="Total 4 9 2 2 2" xfId="27426"/>
    <cellStyle name="Total 4 9 2 2 2 2" xfId="56605"/>
    <cellStyle name="Total 4 9 2 2 3" xfId="43695"/>
    <cellStyle name="Total 4 9 2 3" xfId="22998"/>
    <cellStyle name="Total 4 9 2 3 2" xfId="52177"/>
    <cellStyle name="Total 4 9 2 4" xfId="34752"/>
    <cellStyle name="Total 4 9 3" xfId="7823"/>
    <cellStyle name="Total 4 9 3 2" xfId="16198"/>
    <cellStyle name="Total 4 9 3 2 2" xfId="28484"/>
    <cellStyle name="Total 4 9 3 2 2 2" xfId="57663"/>
    <cellStyle name="Total 4 9 3 2 3" xfId="45379"/>
    <cellStyle name="Total 4 9 3 3" xfId="24056"/>
    <cellStyle name="Total 4 9 3 3 2" xfId="53235"/>
    <cellStyle name="Total 4 9 3 4" xfId="37006"/>
    <cellStyle name="Total 4 9 4" xfId="12118"/>
    <cellStyle name="Total 4 9 4 2" xfId="25986"/>
    <cellStyle name="Total 4 9 4 2 2" xfId="55165"/>
    <cellStyle name="Total 4 9 4 3" xfId="41299"/>
    <cellStyle name="Total 4 9 5" xfId="21558"/>
    <cellStyle name="Total 4 9 5 2" xfId="50737"/>
    <cellStyle name="Total 4 9 6" xfId="31521"/>
    <cellStyle name="Total 5" xfId="416"/>
    <cellStyle name="Total 5 10" xfId="4130"/>
    <cellStyle name="Total 5 10 2" xfId="13394"/>
    <cellStyle name="Total 5 10 2 2" xfId="26707"/>
    <cellStyle name="Total 5 10 2 2 2" xfId="55886"/>
    <cellStyle name="Total 5 10 2 3" xfId="42575"/>
    <cellStyle name="Total 5 10 3" xfId="22279"/>
    <cellStyle name="Total 5 10 3 2" xfId="51458"/>
    <cellStyle name="Total 5 10 4" xfId="33313"/>
    <cellStyle name="Total 5 11" xfId="10741"/>
    <cellStyle name="Total 5 11 2" xfId="25167"/>
    <cellStyle name="Total 5 11 2 2" xfId="54346"/>
    <cellStyle name="Total 5 11 3" xfId="39922"/>
    <cellStyle name="Total 5 12" xfId="20739"/>
    <cellStyle name="Total 5 12 2" xfId="49918"/>
    <cellStyle name="Total 5 13" xfId="58759"/>
    <cellStyle name="Total 5 14" xfId="29622"/>
    <cellStyle name="Total 5 2" xfId="461"/>
    <cellStyle name="Total 5 2 10" xfId="9764"/>
    <cellStyle name="Total 5 2 10 2" xfId="17594"/>
    <cellStyle name="Total 5 2 10 2 2" xfId="29255"/>
    <cellStyle name="Total 5 2 10 2 2 2" xfId="58434"/>
    <cellStyle name="Total 5 2 10 2 3" xfId="46775"/>
    <cellStyle name="Total 5 2 10 3" xfId="24827"/>
    <cellStyle name="Total 5 2 10 3 2" xfId="54006"/>
    <cellStyle name="Total 5 2 10 4" xfId="38947"/>
    <cellStyle name="Total 5 2 11" xfId="10775"/>
    <cellStyle name="Total 5 2 11 2" xfId="25185"/>
    <cellStyle name="Total 5 2 11 2 2" xfId="54364"/>
    <cellStyle name="Total 5 2 11 3" xfId="39956"/>
    <cellStyle name="Total 5 2 12" xfId="20757"/>
    <cellStyle name="Total 5 2 12 2" xfId="49936"/>
    <cellStyle name="Total 5 2 13" xfId="58804"/>
    <cellStyle name="Total 5 2 14" xfId="29667"/>
    <cellStyle name="Total 5 2 2" xfId="551"/>
    <cellStyle name="Total 5 2 2 10" xfId="10838"/>
    <cellStyle name="Total 5 2 2 10 2" xfId="25221"/>
    <cellStyle name="Total 5 2 2 10 2 2" xfId="54400"/>
    <cellStyle name="Total 5 2 2 10 3" xfId="40019"/>
    <cellStyle name="Total 5 2 2 11" xfId="20793"/>
    <cellStyle name="Total 5 2 2 11 2" xfId="49972"/>
    <cellStyle name="Total 5 2 2 12" xfId="29757"/>
    <cellStyle name="Total 5 2 2 2" xfId="904"/>
    <cellStyle name="Total 5 2 2 2 2" xfId="1842"/>
    <cellStyle name="Total 5 2 2 2 2 2" xfId="3642"/>
    <cellStyle name="Total 5 2 2 2 2 2 2" xfId="6612"/>
    <cellStyle name="Total 5 2 2 2 2 2 2 2" xfId="15324"/>
    <cellStyle name="Total 5 2 2 2 2 2 2 2 2" xfId="27929"/>
    <cellStyle name="Total 5 2 2 2 2 2 2 2 2 2" xfId="57108"/>
    <cellStyle name="Total 5 2 2 2 2 2 2 2 3" xfId="44505"/>
    <cellStyle name="Total 5 2 2 2 2 2 2 3" xfId="23501"/>
    <cellStyle name="Total 5 2 2 2 2 2 2 3 2" xfId="52680"/>
    <cellStyle name="Total 5 2 2 2 2 2 2 4" xfId="35795"/>
    <cellStyle name="Total 5 2 2 2 2 2 3" xfId="9316"/>
    <cellStyle name="Total 5 2 2 2 2 2 3 2" xfId="17277"/>
    <cellStyle name="Total 5 2 2 2 2 2 3 2 2" xfId="29074"/>
    <cellStyle name="Total 5 2 2 2 2 2 3 2 2 2" xfId="58253"/>
    <cellStyle name="Total 5 2 2 2 2 2 3 2 3" xfId="46458"/>
    <cellStyle name="Total 5 2 2 2 2 2 3 3" xfId="24646"/>
    <cellStyle name="Total 5 2 2 2 2 2 3 3 2" xfId="53825"/>
    <cellStyle name="Total 5 2 2 2 2 2 3 4" xfId="38499"/>
    <cellStyle name="Total 5 2 2 2 2 2 4" xfId="13043"/>
    <cellStyle name="Total 5 2 2 2 2 2 4 2" xfId="26489"/>
    <cellStyle name="Total 5 2 2 2 2 2 4 2 2" xfId="55668"/>
    <cellStyle name="Total 5 2 2 2 2 2 4 3" xfId="42224"/>
    <cellStyle name="Total 5 2 2 2 2 2 5" xfId="22061"/>
    <cellStyle name="Total 5 2 2 2 2 2 5 2" xfId="51240"/>
    <cellStyle name="Total 5 2 2 2 2 2 6" xfId="32825"/>
    <cellStyle name="Total 5 2 2 2 2 3" xfId="5172"/>
    <cellStyle name="Total 5 2 2 2 2 3 2" xfId="14202"/>
    <cellStyle name="Total 5 2 2 2 2 3 2 2" xfId="27209"/>
    <cellStyle name="Total 5 2 2 2 2 3 2 2 2" xfId="56388"/>
    <cellStyle name="Total 5 2 2 2 2 3 2 3" xfId="43383"/>
    <cellStyle name="Total 5 2 2 2 2 3 3" xfId="22781"/>
    <cellStyle name="Total 5 2 2 2 2 3 3 2" xfId="51960"/>
    <cellStyle name="Total 5 2 2 2 2 3 4" xfId="34355"/>
    <cellStyle name="Total 5 2 2 2 2 4" xfId="9259"/>
    <cellStyle name="Total 5 2 2 2 2 4 2" xfId="17235"/>
    <cellStyle name="Total 5 2 2 2 2 4 2 2" xfId="29052"/>
    <cellStyle name="Total 5 2 2 2 2 4 2 2 2" xfId="58231"/>
    <cellStyle name="Total 5 2 2 2 2 4 2 3" xfId="46416"/>
    <cellStyle name="Total 5 2 2 2 2 4 3" xfId="24624"/>
    <cellStyle name="Total 5 2 2 2 2 4 3 2" xfId="53803"/>
    <cellStyle name="Total 5 2 2 2 2 4 4" xfId="38442"/>
    <cellStyle name="Total 5 2 2 2 2 5" xfId="11767"/>
    <cellStyle name="Total 5 2 2 2 2 5 2" xfId="25769"/>
    <cellStyle name="Total 5 2 2 2 2 5 2 2" xfId="54948"/>
    <cellStyle name="Total 5 2 2 2 2 5 3" xfId="40948"/>
    <cellStyle name="Total 5 2 2 2 2 6" xfId="21341"/>
    <cellStyle name="Total 5 2 2 2 2 6 2" xfId="50520"/>
    <cellStyle name="Total 5 2 2 2 2 7" xfId="31025"/>
    <cellStyle name="Total 5 2 2 2 3" xfId="2742"/>
    <cellStyle name="Total 5 2 2 2 3 2" xfId="5892"/>
    <cellStyle name="Total 5 2 2 2 3 2 2" xfId="14767"/>
    <cellStyle name="Total 5 2 2 2 3 2 2 2" xfId="27569"/>
    <cellStyle name="Total 5 2 2 2 3 2 2 2 2" xfId="56748"/>
    <cellStyle name="Total 5 2 2 2 3 2 2 3" xfId="43948"/>
    <cellStyle name="Total 5 2 2 2 3 2 3" xfId="23141"/>
    <cellStyle name="Total 5 2 2 2 3 2 3 2" xfId="52320"/>
    <cellStyle name="Total 5 2 2 2 3 2 4" xfId="35075"/>
    <cellStyle name="Total 5 2 2 2 3 3" xfId="7536"/>
    <cellStyle name="Total 5 2 2 2 3 3 2" xfId="16002"/>
    <cellStyle name="Total 5 2 2 2 3 3 2 2" xfId="28380"/>
    <cellStyle name="Total 5 2 2 2 3 3 2 2 2" xfId="57559"/>
    <cellStyle name="Total 5 2 2 2 3 3 2 3" xfId="45183"/>
    <cellStyle name="Total 5 2 2 2 3 3 3" xfId="23952"/>
    <cellStyle name="Total 5 2 2 2 3 3 3 2" xfId="53131"/>
    <cellStyle name="Total 5 2 2 2 3 3 4" xfId="36719"/>
    <cellStyle name="Total 5 2 2 2 3 4" xfId="12408"/>
    <cellStyle name="Total 5 2 2 2 3 4 2" xfId="26129"/>
    <cellStyle name="Total 5 2 2 2 3 4 2 2" xfId="55308"/>
    <cellStyle name="Total 5 2 2 2 3 4 3" xfId="41589"/>
    <cellStyle name="Total 5 2 2 2 3 5" xfId="21701"/>
    <cellStyle name="Total 5 2 2 2 3 5 2" xfId="50880"/>
    <cellStyle name="Total 5 2 2 2 3 6" xfId="31925"/>
    <cellStyle name="Total 5 2 2 2 4" xfId="4452"/>
    <cellStyle name="Total 5 2 2 2 4 2" xfId="13645"/>
    <cellStyle name="Total 5 2 2 2 4 2 2" xfId="26849"/>
    <cellStyle name="Total 5 2 2 2 4 2 2 2" xfId="56028"/>
    <cellStyle name="Total 5 2 2 2 4 2 3" xfId="42826"/>
    <cellStyle name="Total 5 2 2 2 4 3" xfId="22421"/>
    <cellStyle name="Total 5 2 2 2 4 3 2" xfId="51600"/>
    <cellStyle name="Total 5 2 2 2 4 4" xfId="33635"/>
    <cellStyle name="Total 5 2 2 2 5" xfId="8298"/>
    <cellStyle name="Total 5 2 2 2 5 2" xfId="16538"/>
    <cellStyle name="Total 5 2 2 2 5 2 2" xfId="28674"/>
    <cellStyle name="Total 5 2 2 2 5 2 2 2" xfId="57853"/>
    <cellStyle name="Total 5 2 2 2 5 2 3" xfId="45719"/>
    <cellStyle name="Total 5 2 2 2 5 3" xfId="24246"/>
    <cellStyle name="Total 5 2 2 2 5 3 2" xfId="53425"/>
    <cellStyle name="Total 5 2 2 2 5 4" xfId="37481"/>
    <cellStyle name="Total 5 2 2 2 6" xfId="11108"/>
    <cellStyle name="Total 5 2 2 2 6 2" xfId="25385"/>
    <cellStyle name="Total 5 2 2 2 6 2 2" xfId="54564"/>
    <cellStyle name="Total 5 2 2 2 6 3" xfId="40289"/>
    <cellStyle name="Total 5 2 2 2 7" xfId="20957"/>
    <cellStyle name="Total 5 2 2 2 7 2" xfId="50136"/>
    <cellStyle name="Total 5 2 2 2 8" xfId="30101"/>
    <cellStyle name="Total 5 2 2 3" xfId="1096"/>
    <cellStyle name="Total 5 2 2 3 2" xfId="2006"/>
    <cellStyle name="Total 5 2 2 3 2 2" xfId="3806"/>
    <cellStyle name="Total 5 2 2 3 2 2 2" xfId="6740"/>
    <cellStyle name="Total 5 2 2 3 2 2 2 2" xfId="15426"/>
    <cellStyle name="Total 5 2 2 3 2 2 2 2 2" xfId="28003"/>
    <cellStyle name="Total 5 2 2 3 2 2 2 2 2 2" xfId="57182"/>
    <cellStyle name="Total 5 2 2 3 2 2 2 2 3" xfId="44607"/>
    <cellStyle name="Total 5 2 2 3 2 2 2 3" xfId="23575"/>
    <cellStyle name="Total 5 2 2 3 2 2 2 3 2" xfId="52754"/>
    <cellStyle name="Total 5 2 2 3 2 2 2 4" xfId="35923"/>
    <cellStyle name="Total 5 2 2 3 2 2 3" xfId="7409"/>
    <cellStyle name="Total 5 2 2 3 2 2 3 2" xfId="15916"/>
    <cellStyle name="Total 5 2 2 3 2 2 3 2 2" xfId="28329"/>
    <cellStyle name="Total 5 2 2 3 2 2 3 2 2 2" xfId="57508"/>
    <cellStyle name="Total 5 2 2 3 2 2 3 2 3" xfId="45097"/>
    <cellStyle name="Total 5 2 2 3 2 2 3 3" xfId="23901"/>
    <cellStyle name="Total 5 2 2 3 2 2 3 3 2" xfId="53080"/>
    <cellStyle name="Total 5 2 2 3 2 2 3 4" xfId="36592"/>
    <cellStyle name="Total 5 2 2 3 2 2 4" xfId="13163"/>
    <cellStyle name="Total 5 2 2 3 2 2 4 2" xfId="26563"/>
    <cellStyle name="Total 5 2 2 3 2 2 4 2 2" xfId="55742"/>
    <cellStyle name="Total 5 2 2 3 2 2 4 3" xfId="42344"/>
    <cellStyle name="Total 5 2 2 3 2 2 5" xfId="22135"/>
    <cellStyle name="Total 5 2 2 3 2 2 5 2" xfId="51314"/>
    <cellStyle name="Total 5 2 2 3 2 2 6" xfId="32989"/>
    <cellStyle name="Total 5 2 2 3 2 3" xfId="5300"/>
    <cellStyle name="Total 5 2 2 3 2 3 2" xfId="14305"/>
    <cellStyle name="Total 5 2 2 3 2 3 2 2" xfId="27283"/>
    <cellStyle name="Total 5 2 2 3 2 3 2 2 2" xfId="56462"/>
    <cellStyle name="Total 5 2 2 3 2 3 2 3" xfId="43486"/>
    <cellStyle name="Total 5 2 2 3 2 3 3" xfId="22855"/>
    <cellStyle name="Total 5 2 2 3 2 3 3 2" xfId="52034"/>
    <cellStyle name="Total 5 2 2 3 2 3 4" xfId="34483"/>
    <cellStyle name="Total 5 2 2 3 2 4" xfId="9162"/>
    <cellStyle name="Total 5 2 2 3 2 4 2" xfId="17164"/>
    <cellStyle name="Total 5 2 2 3 2 4 2 2" xfId="29016"/>
    <cellStyle name="Total 5 2 2 3 2 4 2 2 2" xfId="58195"/>
    <cellStyle name="Total 5 2 2 3 2 4 2 3" xfId="46345"/>
    <cellStyle name="Total 5 2 2 3 2 4 3" xfId="24588"/>
    <cellStyle name="Total 5 2 2 3 2 4 3 2" xfId="53767"/>
    <cellStyle name="Total 5 2 2 3 2 4 4" xfId="38345"/>
    <cellStyle name="Total 5 2 2 3 2 5" xfId="11887"/>
    <cellStyle name="Total 5 2 2 3 2 5 2" xfId="25843"/>
    <cellStyle name="Total 5 2 2 3 2 5 2 2" xfId="55022"/>
    <cellStyle name="Total 5 2 2 3 2 5 3" xfId="41068"/>
    <cellStyle name="Total 5 2 2 3 2 6" xfId="21415"/>
    <cellStyle name="Total 5 2 2 3 2 6 2" xfId="50594"/>
    <cellStyle name="Total 5 2 2 3 2 7" xfId="31189"/>
    <cellStyle name="Total 5 2 2 3 3" xfId="2906"/>
    <cellStyle name="Total 5 2 2 3 3 2" xfId="6020"/>
    <cellStyle name="Total 5 2 2 3 3 2 2" xfId="14866"/>
    <cellStyle name="Total 5 2 2 3 3 2 2 2" xfId="27643"/>
    <cellStyle name="Total 5 2 2 3 3 2 2 2 2" xfId="56822"/>
    <cellStyle name="Total 5 2 2 3 3 2 2 3" xfId="44047"/>
    <cellStyle name="Total 5 2 2 3 3 2 3" xfId="23215"/>
    <cellStyle name="Total 5 2 2 3 3 2 3 2" xfId="52394"/>
    <cellStyle name="Total 5 2 2 3 3 2 4" xfId="35203"/>
    <cellStyle name="Total 5 2 2 3 3 3" xfId="7597"/>
    <cellStyle name="Total 5 2 2 3 3 3 2" xfId="16044"/>
    <cellStyle name="Total 5 2 2 3 3 3 2 2" xfId="28398"/>
    <cellStyle name="Total 5 2 2 3 3 3 2 2 2" xfId="57577"/>
    <cellStyle name="Total 5 2 2 3 3 3 2 3" xfId="45225"/>
    <cellStyle name="Total 5 2 2 3 3 3 3" xfId="23970"/>
    <cellStyle name="Total 5 2 2 3 3 3 3 2" xfId="53149"/>
    <cellStyle name="Total 5 2 2 3 3 3 4" xfId="36780"/>
    <cellStyle name="Total 5 2 2 3 3 4" xfId="12523"/>
    <cellStyle name="Total 5 2 2 3 3 4 2" xfId="26203"/>
    <cellStyle name="Total 5 2 2 3 3 4 2 2" xfId="55382"/>
    <cellStyle name="Total 5 2 2 3 3 4 3" xfId="41704"/>
    <cellStyle name="Total 5 2 2 3 3 5" xfId="21775"/>
    <cellStyle name="Total 5 2 2 3 3 5 2" xfId="50954"/>
    <cellStyle name="Total 5 2 2 3 3 6" xfId="32089"/>
    <cellStyle name="Total 5 2 2 3 4" xfId="4580"/>
    <cellStyle name="Total 5 2 2 3 4 2" xfId="13746"/>
    <cellStyle name="Total 5 2 2 3 4 2 2" xfId="26923"/>
    <cellStyle name="Total 5 2 2 3 4 2 2 2" xfId="56102"/>
    <cellStyle name="Total 5 2 2 3 4 2 3" xfId="42927"/>
    <cellStyle name="Total 5 2 2 3 4 3" xfId="22495"/>
    <cellStyle name="Total 5 2 2 3 4 3 2" xfId="51674"/>
    <cellStyle name="Total 5 2 2 3 4 4" xfId="33763"/>
    <cellStyle name="Total 5 2 2 3 5" xfId="9384"/>
    <cellStyle name="Total 5 2 2 3 5 2" xfId="17323"/>
    <cellStyle name="Total 5 2 2 3 5 2 2" xfId="29103"/>
    <cellStyle name="Total 5 2 2 3 5 2 2 2" xfId="58282"/>
    <cellStyle name="Total 5 2 2 3 5 2 3" xfId="46504"/>
    <cellStyle name="Total 5 2 2 3 5 3" xfId="24675"/>
    <cellStyle name="Total 5 2 2 3 5 3 2" xfId="53854"/>
    <cellStyle name="Total 5 2 2 3 5 4" xfId="38567"/>
    <cellStyle name="Total 5 2 2 3 6" xfId="11251"/>
    <cellStyle name="Total 5 2 2 3 6 2" xfId="25480"/>
    <cellStyle name="Total 5 2 2 3 6 2 2" xfId="54659"/>
    <cellStyle name="Total 5 2 2 3 6 3" xfId="40432"/>
    <cellStyle name="Total 5 2 2 3 7" xfId="21052"/>
    <cellStyle name="Total 5 2 2 3 7 2" xfId="50231"/>
    <cellStyle name="Total 5 2 2 3 8" xfId="30286"/>
    <cellStyle name="Total 5 2 2 4" xfId="1246"/>
    <cellStyle name="Total 5 2 2 4 2" xfId="2150"/>
    <cellStyle name="Total 5 2 2 4 2 2" xfId="3950"/>
    <cellStyle name="Total 5 2 2 4 2 2 2" xfId="6857"/>
    <cellStyle name="Total 5 2 2 4 2 2 2 2" xfId="15516"/>
    <cellStyle name="Total 5 2 2 4 2 2 2 2 2" xfId="28066"/>
    <cellStyle name="Total 5 2 2 4 2 2 2 2 2 2" xfId="57245"/>
    <cellStyle name="Total 5 2 2 4 2 2 2 2 3" xfId="44697"/>
    <cellStyle name="Total 5 2 2 4 2 2 2 3" xfId="23638"/>
    <cellStyle name="Total 5 2 2 4 2 2 2 3 2" xfId="52817"/>
    <cellStyle name="Total 5 2 2 4 2 2 2 4" xfId="36040"/>
    <cellStyle name="Total 5 2 2 4 2 2 3" xfId="7130"/>
    <cellStyle name="Total 5 2 2 4 2 2 3 2" xfId="15720"/>
    <cellStyle name="Total 5 2 2 4 2 2 3 2 2" xfId="28202"/>
    <cellStyle name="Total 5 2 2 4 2 2 3 2 2 2" xfId="57381"/>
    <cellStyle name="Total 5 2 2 4 2 2 3 2 3" xfId="44901"/>
    <cellStyle name="Total 5 2 2 4 2 2 3 3" xfId="23774"/>
    <cellStyle name="Total 5 2 2 4 2 2 3 3 2" xfId="52953"/>
    <cellStyle name="Total 5 2 2 4 2 2 3 4" xfId="36313"/>
    <cellStyle name="Total 5 2 2 4 2 2 4" xfId="13261"/>
    <cellStyle name="Total 5 2 2 4 2 2 4 2" xfId="26626"/>
    <cellStyle name="Total 5 2 2 4 2 2 4 2 2" xfId="55805"/>
    <cellStyle name="Total 5 2 2 4 2 2 4 3" xfId="42442"/>
    <cellStyle name="Total 5 2 2 4 2 2 5" xfId="22198"/>
    <cellStyle name="Total 5 2 2 4 2 2 5 2" xfId="51377"/>
    <cellStyle name="Total 5 2 2 4 2 2 6" xfId="33133"/>
    <cellStyle name="Total 5 2 2 4 2 3" xfId="5417"/>
    <cellStyle name="Total 5 2 2 4 2 3 2" xfId="14394"/>
    <cellStyle name="Total 5 2 2 4 2 3 2 2" xfId="27346"/>
    <cellStyle name="Total 5 2 2 4 2 3 2 2 2" xfId="56525"/>
    <cellStyle name="Total 5 2 2 4 2 3 2 3" xfId="43575"/>
    <cellStyle name="Total 5 2 2 4 2 3 3" xfId="22918"/>
    <cellStyle name="Total 5 2 2 4 2 3 3 2" xfId="52097"/>
    <cellStyle name="Total 5 2 2 4 2 3 4" xfId="34600"/>
    <cellStyle name="Total 5 2 2 4 2 4" xfId="8601"/>
    <cellStyle name="Total 5 2 2 4 2 4 2" xfId="16750"/>
    <cellStyle name="Total 5 2 2 4 2 4 2 2" xfId="28785"/>
    <cellStyle name="Total 5 2 2 4 2 4 2 2 2" xfId="57964"/>
    <cellStyle name="Total 5 2 2 4 2 4 2 3" xfId="45931"/>
    <cellStyle name="Total 5 2 2 4 2 4 3" xfId="24357"/>
    <cellStyle name="Total 5 2 2 4 2 4 3 2" xfId="53536"/>
    <cellStyle name="Total 5 2 2 4 2 4 4" xfId="37784"/>
    <cellStyle name="Total 5 2 2 4 2 5" xfId="11986"/>
    <cellStyle name="Total 5 2 2 4 2 5 2" xfId="25906"/>
    <cellStyle name="Total 5 2 2 4 2 5 2 2" xfId="55085"/>
    <cellStyle name="Total 5 2 2 4 2 5 3" xfId="41167"/>
    <cellStyle name="Total 5 2 2 4 2 6" xfId="21478"/>
    <cellStyle name="Total 5 2 2 4 2 6 2" xfId="50657"/>
    <cellStyle name="Total 5 2 2 4 2 7" xfId="31333"/>
    <cellStyle name="Total 5 2 2 4 3" xfId="3050"/>
    <cellStyle name="Total 5 2 2 4 3 2" xfId="6137"/>
    <cellStyle name="Total 5 2 2 4 3 2 2" xfId="14955"/>
    <cellStyle name="Total 5 2 2 4 3 2 2 2" xfId="27706"/>
    <cellStyle name="Total 5 2 2 4 3 2 2 2 2" xfId="56885"/>
    <cellStyle name="Total 5 2 2 4 3 2 2 3" xfId="44136"/>
    <cellStyle name="Total 5 2 2 4 3 2 3" xfId="23278"/>
    <cellStyle name="Total 5 2 2 4 3 2 3 2" xfId="52457"/>
    <cellStyle name="Total 5 2 2 4 3 2 4" xfId="35320"/>
    <cellStyle name="Total 5 2 2 4 3 3" xfId="10127"/>
    <cellStyle name="Total 5 2 2 4 3 3 2" xfId="17844"/>
    <cellStyle name="Total 5 2 2 4 3 3 2 2" xfId="29397"/>
    <cellStyle name="Total 5 2 2 4 3 3 2 2 2" xfId="58576"/>
    <cellStyle name="Total 5 2 2 4 3 3 2 3" xfId="47025"/>
    <cellStyle name="Total 5 2 2 4 3 3 3" xfId="24969"/>
    <cellStyle name="Total 5 2 2 4 3 3 3 2" xfId="54148"/>
    <cellStyle name="Total 5 2 2 4 3 3 4" xfId="39310"/>
    <cellStyle name="Total 5 2 2 4 3 4" xfId="12622"/>
    <cellStyle name="Total 5 2 2 4 3 4 2" xfId="26266"/>
    <cellStyle name="Total 5 2 2 4 3 4 2 2" xfId="55445"/>
    <cellStyle name="Total 5 2 2 4 3 4 3" xfId="41803"/>
    <cellStyle name="Total 5 2 2 4 3 5" xfId="21838"/>
    <cellStyle name="Total 5 2 2 4 3 5 2" xfId="51017"/>
    <cellStyle name="Total 5 2 2 4 3 6" xfId="32233"/>
    <cellStyle name="Total 5 2 2 4 4" xfId="4697"/>
    <cellStyle name="Total 5 2 2 4 4 2" xfId="13835"/>
    <cellStyle name="Total 5 2 2 4 4 2 2" xfId="26986"/>
    <cellStyle name="Total 5 2 2 4 4 2 2 2" xfId="56165"/>
    <cellStyle name="Total 5 2 2 4 4 2 3" xfId="43016"/>
    <cellStyle name="Total 5 2 2 4 4 3" xfId="22558"/>
    <cellStyle name="Total 5 2 2 4 4 3 2" xfId="51737"/>
    <cellStyle name="Total 5 2 2 4 4 4" xfId="33880"/>
    <cellStyle name="Total 5 2 2 4 5" xfId="8989"/>
    <cellStyle name="Total 5 2 2 4 5 2" xfId="17044"/>
    <cellStyle name="Total 5 2 2 4 5 2 2" xfId="28945"/>
    <cellStyle name="Total 5 2 2 4 5 2 2 2" xfId="58124"/>
    <cellStyle name="Total 5 2 2 4 5 2 3" xfId="46225"/>
    <cellStyle name="Total 5 2 2 4 5 3" xfId="24517"/>
    <cellStyle name="Total 5 2 2 4 5 3 2" xfId="53696"/>
    <cellStyle name="Total 5 2 2 4 5 4" xfId="38172"/>
    <cellStyle name="Total 5 2 2 4 6" xfId="11356"/>
    <cellStyle name="Total 5 2 2 4 6 2" xfId="25546"/>
    <cellStyle name="Total 5 2 2 4 6 2 2" xfId="54725"/>
    <cellStyle name="Total 5 2 2 4 6 3" xfId="40537"/>
    <cellStyle name="Total 5 2 2 4 7" xfId="21118"/>
    <cellStyle name="Total 5 2 2 4 7 2" xfId="50297"/>
    <cellStyle name="Total 5 2 2 4 8" xfId="30433"/>
    <cellStyle name="Total 5 2 2 5" xfId="1392"/>
    <cellStyle name="Total 5 2 2 5 2" xfId="2294"/>
    <cellStyle name="Total 5 2 2 5 2 2" xfId="4094"/>
    <cellStyle name="Total 5 2 2 5 2 2 2" xfId="6974"/>
    <cellStyle name="Total 5 2 2 5 2 2 2 2" xfId="15606"/>
    <cellStyle name="Total 5 2 2 5 2 2 2 2 2" xfId="28129"/>
    <cellStyle name="Total 5 2 2 5 2 2 2 2 2 2" xfId="57308"/>
    <cellStyle name="Total 5 2 2 5 2 2 2 2 3" xfId="44787"/>
    <cellStyle name="Total 5 2 2 5 2 2 2 3" xfId="23701"/>
    <cellStyle name="Total 5 2 2 5 2 2 2 3 2" xfId="52880"/>
    <cellStyle name="Total 5 2 2 5 2 2 2 4" xfId="36157"/>
    <cellStyle name="Total 5 2 2 5 2 2 3" xfId="6986"/>
    <cellStyle name="Total 5 2 2 5 2 2 3 2" xfId="15616"/>
    <cellStyle name="Total 5 2 2 5 2 2 3 2 2" xfId="28139"/>
    <cellStyle name="Total 5 2 2 5 2 2 3 2 2 2" xfId="57318"/>
    <cellStyle name="Total 5 2 2 5 2 2 3 2 3" xfId="44797"/>
    <cellStyle name="Total 5 2 2 5 2 2 3 3" xfId="23711"/>
    <cellStyle name="Total 5 2 2 5 2 2 3 3 2" xfId="52890"/>
    <cellStyle name="Total 5 2 2 5 2 2 3 4" xfId="36169"/>
    <cellStyle name="Total 5 2 2 5 2 2 4" xfId="13366"/>
    <cellStyle name="Total 5 2 2 5 2 2 4 2" xfId="26689"/>
    <cellStyle name="Total 5 2 2 5 2 2 4 2 2" xfId="55868"/>
    <cellStyle name="Total 5 2 2 5 2 2 4 3" xfId="42547"/>
    <cellStyle name="Total 5 2 2 5 2 2 5" xfId="22261"/>
    <cellStyle name="Total 5 2 2 5 2 2 5 2" xfId="51440"/>
    <cellStyle name="Total 5 2 2 5 2 2 6" xfId="33277"/>
    <cellStyle name="Total 5 2 2 5 2 3" xfId="5534"/>
    <cellStyle name="Total 5 2 2 5 2 3 2" xfId="14487"/>
    <cellStyle name="Total 5 2 2 5 2 3 2 2" xfId="27409"/>
    <cellStyle name="Total 5 2 2 5 2 3 2 2 2" xfId="56588"/>
    <cellStyle name="Total 5 2 2 5 2 3 2 3" xfId="43668"/>
    <cellStyle name="Total 5 2 2 5 2 3 3" xfId="22981"/>
    <cellStyle name="Total 5 2 2 5 2 3 3 2" xfId="52160"/>
    <cellStyle name="Total 5 2 2 5 2 3 4" xfId="34717"/>
    <cellStyle name="Total 5 2 2 5 2 4" xfId="7286"/>
    <cellStyle name="Total 5 2 2 5 2 4 2" xfId="15829"/>
    <cellStyle name="Total 5 2 2 5 2 4 2 2" xfId="28271"/>
    <cellStyle name="Total 5 2 2 5 2 4 2 2 2" xfId="57450"/>
    <cellStyle name="Total 5 2 2 5 2 4 2 3" xfId="45010"/>
    <cellStyle name="Total 5 2 2 5 2 4 3" xfId="23843"/>
    <cellStyle name="Total 5 2 2 5 2 4 3 2" xfId="53022"/>
    <cellStyle name="Total 5 2 2 5 2 4 4" xfId="36469"/>
    <cellStyle name="Total 5 2 2 5 2 5" xfId="12087"/>
    <cellStyle name="Total 5 2 2 5 2 5 2" xfId="25969"/>
    <cellStyle name="Total 5 2 2 5 2 5 2 2" xfId="55148"/>
    <cellStyle name="Total 5 2 2 5 2 5 3" xfId="41268"/>
    <cellStyle name="Total 5 2 2 5 2 6" xfId="21541"/>
    <cellStyle name="Total 5 2 2 5 2 6 2" xfId="50720"/>
    <cellStyle name="Total 5 2 2 5 2 7" xfId="31477"/>
    <cellStyle name="Total 5 2 2 5 3" xfId="3194"/>
    <cellStyle name="Total 5 2 2 5 3 2" xfId="6254"/>
    <cellStyle name="Total 5 2 2 5 3 2 2" xfId="15047"/>
    <cellStyle name="Total 5 2 2 5 3 2 2 2" xfId="27769"/>
    <cellStyle name="Total 5 2 2 5 3 2 2 2 2" xfId="56948"/>
    <cellStyle name="Total 5 2 2 5 3 2 2 3" xfId="44228"/>
    <cellStyle name="Total 5 2 2 5 3 2 3" xfId="23341"/>
    <cellStyle name="Total 5 2 2 5 3 2 3 2" xfId="52520"/>
    <cellStyle name="Total 5 2 2 5 3 2 4" xfId="35437"/>
    <cellStyle name="Total 5 2 2 5 3 3" xfId="7175"/>
    <cellStyle name="Total 5 2 2 5 3 3 2" xfId="15751"/>
    <cellStyle name="Total 5 2 2 5 3 3 2 2" xfId="28223"/>
    <cellStyle name="Total 5 2 2 5 3 3 2 2 2" xfId="57402"/>
    <cellStyle name="Total 5 2 2 5 3 3 2 3" xfId="44932"/>
    <cellStyle name="Total 5 2 2 5 3 3 3" xfId="23795"/>
    <cellStyle name="Total 5 2 2 5 3 3 3 2" xfId="52974"/>
    <cellStyle name="Total 5 2 2 5 3 3 4" xfId="36358"/>
    <cellStyle name="Total 5 2 2 5 3 4" xfId="12728"/>
    <cellStyle name="Total 5 2 2 5 3 4 2" xfId="26329"/>
    <cellStyle name="Total 5 2 2 5 3 4 2 2" xfId="55508"/>
    <cellStyle name="Total 5 2 2 5 3 4 3" xfId="41909"/>
    <cellStyle name="Total 5 2 2 5 3 5" xfId="21901"/>
    <cellStyle name="Total 5 2 2 5 3 5 2" xfId="51080"/>
    <cellStyle name="Total 5 2 2 5 3 6" xfId="32377"/>
    <cellStyle name="Total 5 2 2 5 4" xfId="4814"/>
    <cellStyle name="Total 5 2 2 5 4 2" xfId="13923"/>
    <cellStyle name="Total 5 2 2 5 4 2 2" xfId="27049"/>
    <cellStyle name="Total 5 2 2 5 4 2 2 2" xfId="56228"/>
    <cellStyle name="Total 5 2 2 5 4 2 3" xfId="43104"/>
    <cellStyle name="Total 5 2 2 5 4 3" xfId="22621"/>
    <cellStyle name="Total 5 2 2 5 4 3 2" xfId="51800"/>
    <cellStyle name="Total 5 2 2 5 4 4" xfId="33997"/>
    <cellStyle name="Total 5 2 2 5 5" xfId="8016"/>
    <cellStyle name="Total 5 2 2 5 5 2" xfId="16338"/>
    <cellStyle name="Total 5 2 2 5 5 2 2" xfId="28562"/>
    <cellStyle name="Total 5 2 2 5 5 2 2 2" xfId="57741"/>
    <cellStyle name="Total 5 2 2 5 5 2 3" xfId="45519"/>
    <cellStyle name="Total 5 2 2 5 5 3" xfId="24134"/>
    <cellStyle name="Total 5 2 2 5 5 3 2" xfId="53313"/>
    <cellStyle name="Total 5 2 2 5 5 4" xfId="37199"/>
    <cellStyle name="Total 5 2 2 5 6" xfId="11456"/>
    <cellStyle name="Total 5 2 2 5 6 2" xfId="25609"/>
    <cellStyle name="Total 5 2 2 5 6 2 2" xfId="54788"/>
    <cellStyle name="Total 5 2 2 5 6 3" xfId="40637"/>
    <cellStyle name="Total 5 2 2 5 7" xfId="21181"/>
    <cellStyle name="Total 5 2 2 5 7 2" xfId="50360"/>
    <cellStyle name="Total 5 2 2 5 8" xfId="30577"/>
    <cellStyle name="Total 5 2 2 6" xfId="1574"/>
    <cellStyle name="Total 5 2 2 6 2" xfId="3374"/>
    <cellStyle name="Total 5 2 2 6 2 2" xfId="6398"/>
    <cellStyle name="Total 5 2 2 6 2 2 2" xfId="15153"/>
    <cellStyle name="Total 5 2 2 6 2 2 2 2" xfId="27841"/>
    <cellStyle name="Total 5 2 2 6 2 2 2 2 2" xfId="57020"/>
    <cellStyle name="Total 5 2 2 6 2 2 2 3" xfId="44334"/>
    <cellStyle name="Total 5 2 2 6 2 2 3" xfId="23413"/>
    <cellStyle name="Total 5 2 2 6 2 2 3 2" xfId="52592"/>
    <cellStyle name="Total 5 2 2 6 2 2 4" xfId="35581"/>
    <cellStyle name="Total 5 2 2 6 2 3" xfId="7552"/>
    <cellStyle name="Total 5 2 2 6 2 3 2" xfId="16015"/>
    <cellStyle name="Total 5 2 2 6 2 3 2 2" xfId="28385"/>
    <cellStyle name="Total 5 2 2 6 2 3 2 2 2" xfId="57564"/>
    <cellStyle name="Total 5 2 2 6 2 3 2 3" xfId="45196"/>
    <cellStyle name="Total 5 2 2 6 2 3 3" xfId="23957"/>
    <cellStyle name="Total 5 2 2 6 2 3 3 2" xfId="53136"/>
    <cellStyle name="Total 5 2 2 6 2 3 4" xfId="36735"/>
    <cellStyle name="Total 5 2 2 6 2 4" xfId="12850"/>
    <cellStyle name="Total 5 2 2 6 2 4 2" xfId="26401"/>
    <cellStyle name="Total 5 2 2 6 2 4 2 2" xfId="55580"/>
    <cellStyle name="Total 5 2 2 6 2 4 3" xfId="42031"/>
    <cellStyle name="Total 5 2 2 6 2 5" xfId="21973"/>
    <cellStyle name="Total 5 2 2 6 2 5 2" xfId="51152"/>
    <cellStyle name="Total 5 2 2 6 2 6" xfId="32557"/>
    <cellStyle name="Total 5 2 2 6 3" xfId="4958"/>
    <cellStyle name="Total 5 2 2 6 3 2" xfId="14032"/>
    <cellStyle name="Total 5 2 2 6 3 2 2" xfId="27121"/>
    <cellStyle name="Total 5 2 2 6 3 2 2 2" xfId="56300"/>
    <cellStyle name="Total 5 2 2 6 3 2 3" xfId="43213"/>
    <cellStyle name="Total 5 2 2 6 3 3" xfId="22693"/>
    <cellStyle name="Total 5 2 2 6 3 3 2" xfId="51872"/>
    <cellStyle name="Total 5 2 2 6 3 4" xfId="34141"/>
    <cellStyle name="Total 5 2 2 6 4" xfId="9904"/>
    <cellStyle name="Total 5 2 2 6 4 2" xfId="17693"/>
    <cellStyle name="Total 5 2 2 6 4 2 2" xfId="29309"/>
    <cellStyle name="Total 5 2 2 6 4 2 2 2" xfId="58488"/>
    <cellStyle name="Total 5 2 2 6 4 2 3" xfId="46874"/>
    <cellStyle name="Total 5 2 2 6 4 3" xfId="24881"/>
    <cellStyle name="Total 5 2 2 6 4 3 2" xfId="54060"/>
    <cellStyle name="Total 5 2 2 6 4 4" xfId="39087"/>
    <cellStyle name="Total 5 2 2 6 5" xfId="11579"/>
    <cellStyle name="Total 5 2 2 6 5 2" xfId="25681"/>
    <cellStyle name="Total 5 2 2 6 5 2 2" xfId="54860"/>
    <cellStyle name="Total 5 2 2 6 5 3" xfId="40760"/>
    <cellStyle name="Total 5 2 2 6 6" xfId="21253"/>
    <cellStyle name="Total 5 2 2 6 6 2" xfId="50432"/>
    <cellStyle name="Total 5 2 2 6 7" xfId="30757"/>
    <cellStyle name="Total 5 2 2 7" xfId="2474"/>
    <cellStyle name="Total 5 2 2 7 2" xfId="5678"/>
    <cellStyle name="Total 5 2 2 7 2 2" xfId="14600"/>
    <cellStyle name="Total 5 2 2 7 2 2 2" xfId="27481"/>
    <cellStyle name="Total 5 2 2 7 2 2 2 2" xfId="56660"/>
    <cellStyle name="Total 5 2 2 7 2 2 3" xfId="43781"/>
    <cellStyle name="Total 5 2 2 7 2 3" xfId="23053"/>
    <cellStyle name="Total 5 2 2 7 2 3 2" xfId="52232"/>
    <cellStyle name="Total 5 2 2 7 2 4" xfId="34861"/>
    <cellStyle name="Total 5 2 2 7 3" xfId="9129"/>
    <cellStyle name="Total 5 2 2 7 3 2" xfId="17139"/>
    <cellStyle name="Total 5 2 2 7 3 2 2" xfId="29003"/>
    <cellStyle name="Total 5 2 2 7 3 2 2 2" xfId="58182"/>
    <cellStyle name="Total 5 2 2 7 3 2 3" xfId="46320"/>
    <cellStyle name="Total 5 2 2 7 3 3" xfId="24575"/>
    <cellStyle name="Total 5 2 2 7 3 3 2" xfId="53754"/>
    <cellStyle name="Total 5 2 2 7 3 4" xfId="38312"/>
    <cellStyle name="Total 5 2 2 7 4" xfId="12216"/>
    <cellStyle name="Total 5 2 2 7 4 2" xfId="26041"/>
    <cellStyle name="Total 5 2 2 7 4 2 2" xfId="55220"/>
    <cellStyle name="Total 5 2 2 7 4 3" xfId="41397"/>
    <cellStyle name="Total 5 2 2 7 5" xfId="21613"/>
    <cellStyle name="Total 5 2 2 7 5 2" xfId="50792"/>
    <cellStyle name="Total 5 2 2 7 6" xfId="31657"/>
    <cellStyle name="Total 5 2 2 8" xfId="4238"/>
    <cellStyle name="Total 5 2 2 8 2" xfId="13481"/>
    <cellStyle name="Total 5 2 2 8 2 2" xfId="26761"/>
    <cellStyle name="Total 5 2 2 8 2 2 2" xfId="55940"/>
    <cellStyle name="Total 5 2 2 8 2 3" xfId="42662"/>
    <cellStyle name="Total 5 2 2 8 3" xfId="22333"/>
    <cellStyle name="Total 5 2 2 8 3 2" xfId="51512"/>
    <cellStyle name="Total 5 2 2 8 4" xfId="33421"/>
    <cellStyle name="Total 5 2 2 9" xfId="8758"/>
    <cellStyle name="Total 5 2 2 9 2" xfId="16868"/>
    <cellStyle name="Total 5 2 2 9 2 2" xfId="28854"/>
    <cellStyle name="Total 5 2 2 9 2 2 2" xfId="58033"/>
    <cellStyle name="Total 5 2 2 9 2 3" xfId="46049"/>
    <cellStyle name="Total 5 2 2 9 3" xfId="24426"/>
    <cellStyle name="Total 5 2 2 9 3 2" xfId="53605"/>
    <cellStyle name="Total 5 2 2 9 4" xfId="37941"/>
    <cellStyle name="Total 5 2 3" xfId="814"/>
    <cellStyle name="Total 5 2 3 2" xfId="1752"/>
    <cellStyle name="Total 5 2 3 2 2" xfId="3552"/>
    <cellStyle name="Total 5 2 3 2 2 2" xfId="6540"/>
    <cellStyle name="Total 5 2 3 2 2 2 2" xfId="15269"/>
    <cellStyle name="Total 5 2 3 2 2 2 2 2" xfId="27893"/>
    <cellStyle name="Total 5 2 3 2 2 2 2 2 2" xfId="57072"/>
    <cellStyle name="Total 5 2 3 2 2 2 2 3" xfId="44450"/>
    <cellStyle name="Total 5 2 3 2 2 2 3" xfId="23465"/>
    <cellStyle name="Total 5 2 3 2 2 2 3 2" xfId="52644"/>
    <cellStyle name="Total 5 2 3 2 2 2 4" xfId="35723"/>
    <cellStyle name="Total 5 2 3 2 2 3" xfId="8924"/>
    <cellStyle name="Total 5 2 3 2 2 3 2" xfId="16994"/>
    <cellStyle name="Total 5 2 3 2 2 3 2 2" xfId="28920"/>
    <cellStyle name="Total 5 2 3 2 2 3 2 2 2" xfId="58099"/>
    <cellStyle name="Total 5 2 3 2 2 3 2 3" xfId="46175"/>
    <cellStyle name="Total 5 2 3 2 2 3 3" xfId="24492"/>
    <cellStyle name="Total 5 2 3 2 2 3 3 2" xfId="53671"/>
    <cellStyle name="Total 5 2 3 2 2 3 4" xfId="38107"/>
    <cellStyle name="Total 5 2 3 2 2 4" xfId="12980"/>
    <cellStyle name="Total 5 2 3 2 2 4 2" xfId="26453"/>
    <cellStyle name="Total 5 2 3 2 2 4 2 2" xfId="55632"/>
    <cellStyle name="Total 5 2 3 2 2 4 3" xfId="42161"/>
    <cellStyle name="Total 5 2 3 2 2 5" xfId="22025"/>
    <cellStyle name="Total 5 2 3 2 2 5 2" xfId="51204"/>
    <cellStyle name="Total 5 2 3 2 2 6" xfId="32735"/>
    <cellStyle name="Total 5 2 3 2 3" xfId="5100"/>
    <cellStyle name="Total 5 2 3 2 3 2" xfId="14145"/>
    <cellStyle name="Total 5 2 3 2 3 2 2" xfId="27173"/>
    <cellStyle name="Total 5 2 3 2 3 2 2 2" xfId="56352"/>
    <cellStyle name="Total 5 2 3 2 3 2 3" xfId="43326"/>
    <cellStyle name="Total 5 2 3 2 3 3" xfId="22745"/>
    <cellStyle name="Total 5 2 3 2 3 3 2" xfId="51924"/>
    <cellStyle name="Total 5 2 3 2 3 4" xfId="34283"/>
    <cellStyle name="Total 5 2 3 2 4" xfId="7470"/>
    <cellStyle name="Total 5 2 3 2 4 2" xfId="15956"/>
    <cellStyle name="Total 5 2 3 2 4 2 2" xfId="28354"/>
    <cellStyle name="Total 5 2 3 2 4 2 2 2" xfId="57533"/>
    <cellStyle name="Total 5 2 3 2 4 2 3" xfId="45137"/>
    <cellStyle name="Total 5 2 3 2 4 3" xfId="23926"/>
    <cellStyle name="Total 5 2 3 2 4 3 2" xfId="53105"/>
    <cellStyle name="Total 5 2 3 2 4 4" xfId="36653"/>
    <cellStyle name="Total 5 2 3 2 5" xfId="11706"/>
    <cellStyle name="Total 5 2 3 2 5 2" xfId="25733"/>
    <cellStyle name="Total 5 2 3 2 5 2 2" xfId="54912"/>
    <cellStyle name="Total 5 2 3 2 5 3" xfId="40887"/>
    <cellStyle name="Total 5 2 3 2 6" xfId="21305"/>
    <cellStyle name="Total 5 2 3 2 6 2" xfId="50484"/>
    <cellStyle name="Total 5 2 3 2 7" xfId="30935"/>
    <cellStyle name="Total 5 2 3 3" xfId="2652"/>
    <cellStyle name="Total 5 2 3 3 2" xfId="5820"/>
    <cellStyle name="Total 5 2 3 3 2 2" xfId="14710"/>
    <cellStyle name="Total 5 2 3 3 2 2 2" xfId="27533"/>
    <cellStyle name="Total 5 2 3 3 2 2 2 2" xfId="56712"/>
    <cellStyle name="Total 5 2 3 3 2 2 3" xfId="43891"/>
    <cellStyle name="Total 5 2 3 3 2 3" xfId="23105"/>
    <cellStyle name="Total 5 2 3 3 2 3 2" xfId="52284"/>
    <cellStyle name="Total 5 2 3 3 2 4" xfId="35003"/>
    <cellStyle name="Total 5 2 3 3 3" xfId="7788"/>
    <cellStyle name="Total 5 2 3 3 3 2" xfId="16176"/>
    <cellStyle name="Total 5 2 3 3 3 2 2" xfId="28473"/>
    <cellStyle name="Total 5 2 3 3 3 2 2 2" xfId="57652"/>
    <cellStyle name="Total 5 2 3 3 3 2 3" xfId="45357"/>
    <cellStyle name="Total 5 2 3 3 3 3" xfId="24045"/>
    <cellStyle name="Total 5 2 3 3 3 3 2" xfId="53224"/>
    <cellStyle name="Total 5 2 3 3 3 4" xfId="36971"/>
    <cellStyle name="Total 5 2 3 3 4" xfId="12342"/>
    <cellStyle name="Total 5 2 3 3 4 2" xfId="26093"/>
    <cellStyle name="Total 5 2 3 3 4 2 2" xfId="55272"/>
    <cellStyle name="Total 5 2 3 3 4 3" xfId="41523"/>
    <cellStyle name="Total 5 2 3 3 5" xfId="21665"/>
    <cellStyle name="Total 5 2 3 3 5 2" xfId="50844"/>
    <cellStyle name="Total 5 2 3 3 6" xfId="31835"/>
    <cellStyle name="Total 5 2 3 4" xfId="4380"/>
    <cellStyle name="Total 5 2 3 4 2" xfId="13586"/>
    <cellStyle name="Total 5 2 3 4 2 2" xfId="26813"/>
    <cellStyle name="Total 5 2 3 4 2 2 2" xfId="55992"/>
    <cellStyle name="Total 5 2 3 4 2 3" xfId="42767"/>
    <cellStyle name="Total 5 2 3 4 3" xfId="22385"/>
    <cellStyle name="Total 5 2 3 4 3 2" xfId="51564"/>
    <cellStyle name="Total 5 2 3 4 4" xfId="33563"/>
    <cellStyle name="Total 5 2 3 5" xfId="10254"/>
    <cellStyle name="Total 5 2 3 5 2" xfId="17940"/>
    <cellStyle name="Total 5 2 3 5 2 2" xfId="29454"/>
    <cellStyle name="Total 5 2 3 5 2 2 2" xfId="58633"/>
    <cellStyle name="Total 5 2 3 5 2 3" xfId="47121"/>
    <cellStyle name="Total 5 2 3 5 3" xfId="25026"/>
    <cellStyle name="Total 5 2 3 5 3 2" xfId="54205"/>
    <cellStyle name="Total 5 2 3 5 4" xfId="39437"/>
    <cellStyle name="Total 5 2 3 6" xfId="11045"/>
    <cellStyle name="Total 5 2 3 6 2" xfId="25349"/>
    <cellStyle name="Total 5 2 3 6 2 2" xfId="54528"/>
    <cellStyle name="Total 5 2 3 6 3" xfId="40226"/>
    <cellStyle name="Total 5 2 3 7" xfId="20921"/>
    <cellStyle name="Total 5 2 3 7 2" xfId="50100"/>
    <cellStyle name="Total 5 2 3 8" xfId="30011"/>
    <cellStyle name="Total 5 2 4" xfId="1006"/>
    <cellStyle name="Total 5 2 4 2" xfId="1916"/>
    <cellStyle name="Total 5 2 4 2 2" xfId="3716"/>
    <cellStyle name="Total 5 2 4 2 2 2" xfId="6668"/>
    <cellStyle name="Total 5 2 4 2 2 2 2" xfId="15369"/>
    <cellStyle name="Total 5 2 4 2 2 2 2 2" xfId="27967"/>
    <cellStyle name="Total 5 2 4 2 2 2 2 2 2" xfId="57146"/>
    <cellStyle name="Total 5 2 4 2 2 2 2 3" xfId="44550"/>
    <cellStyle name="Total 5 2 4 2 2 2 3" xfId="23539"/>
    <cellStyle name="Total 5 2 4 2 2 2 3 2" xfId="52718"/>
    <cellStyle name="Total 5 2 4 2 2 2 4" xfId="35851"/>
    <cellStyle name="Total 5 2 4 2 2 3" xfId="8802"/>
    <cellStyle name="Total 5 2 4 2 2 3 2" xfId="16900"/>
    <cellStyle name="Total 5 2 4 2 2 3 2 2" xfId="28869"/>
    <cellStyle name="Total 5 2 4 2 2 3 2 2 2" xfId="58048"/>
    <cellStyle name="Total 5 2 4 2 2 3 2 3" xfId="46081"/>
    <cellStyle name="Total 5 2 4 2 2 3 3" xfId="24441"/>
    <cellStyle name="Total 5 2 4 2 2 3 3 2" xfId="53620"/>
    <cellStyle name="Total 5 2 4 2 2 3 4" xfId="37985"/>
    <cellStyle name="Total 5 2 4 2 2 4" xfId="13100"/>
    <cellStyle name="Total 5 2 4 2 2 4 2" xfId="26527"/>
    <cellStyle name="Total 5 2 4 2 2 4 2 2" xfId="55706"/>
    <cellStyle name="Total 5 2 4 2 2 4 3" xfId="42281"/>
    <cellStyle name="Total 5 2 4 2 2 5" xfId="22099"/>
    <cellStyle name="Total 5 2 4 2 2 5 2" xfId="51278"/>
    <cellStyle name="Total 5 2 4 2 2 6" xfId="32899"/>
    <cellStyle name="Total 5 2 4 2 3" xfId="5228"/>
    <cellStyle name="Total 5 2 4 2 3 2" xfId="14247"/>
    <cellStyle name="Total 5 2 4 2 3 2 2" xfId="27247"/>
    <cellStyle name="Total 5 2 4 2 3 2 2 2" xfId="56426"/>
    <cellStyle name="Total 5 2 4 2 3 2 3" xfId="43428"/>
    <cellStyle name="Total 5 2 4 2 3 3" xfId="22819"/>
    <cellStyle name="Total 5 2 4 2 3 3 2" xfId="51998"/>
    <cellStyle name="Total 5 2 4 2 3 4" xfId="34411"/>
    <cellStyle name="Total 5 2 4 2 4" xfId="9786"/>
    <cellStyle name="Total 5 2 4 2 4 2" xfId="17613"/>
    <cellStyle name="Total 5 2 4 2 4 2 2" xfId="29266"/>
    <cellStyle name="Total 5 2 4 2 4 2 2 2" xfId="58445"/>
    <cellStyle name="Total 5 2 4 2 4 2 3" xfId="46794"/>
    <cellStyle name="Total 5 2 4 2 4 3" xfId="24838"/>
    <cellStyle name="Total 5 2 4 2 4 3 2" xfId="54017"/>
    <cellStyle name="Total 5 2 4 2 4 4" xfId="38969"/>
    <cellStyle name="Total 5 2 4 2 5" xfId="11824"/>
    <cellStyle name="Total 5 2 4 2 5 2" xfId="25807"/>
    <cellStyle name="Total 5 2 4 2 5 2 2" xfId="54986"/>
    <cellStyle name="Total 5 2 4 2 5 3" xfId="41005"/>
    <cellStyle name="Total 5 2 4 2 6" xfId="21379"/>
    <cellStyle name="Total 5 2 4 2 6 2" xfId="50558"/>
    <cellStyle name="Total 5 2 4 2 7" xfId="31099"/>
    <cellStyle name="Total 5 2 4 3" xfId="2816"/>
    <cellStyle name="Total 5 2 4 3 2" xfId="5948"/>
    <cellStyle name="Total 5 2 4 3 2 2" xfId="14811"/>
    <cellStyle name="Total 5 2 4 3 2 2 2" xfId="27607"/>
    <cellStyle name="Total 5 2 4 3 2 2 2 2" xfId="56786"/>
    <cellStyle name="Total 5 2 4 3 2 2 3" xfId="43992"/>
    <cellStyle name="Total 5 2 4 3 2 3" xfId="23179"/>
    <cellStyle name="Total 5 2 4 3 2 3 2" xfId="52358"/>
    <cellStyle name="Total 5 2 4 3 2 4" xfId="35131"/>
    <cellStyle name="Total 5 2 4 3 3" xfId="9010"/>
    <cellStyle name="Total 5 2 4 3 3 2" xfId="17061"/>
    <cellStyle name="Total 5 2 4 3 3 2 2" xfId="28956"/>
    <cellStyle name="Total 5 2 4 3 3 2 2 2" xfId="58135"/>
    <cellStyle name="Total 5 2 4 3 3 2 3" xfId="46242"/>
    <cellStyle name="Total 5 2 4 3 3 3" xfId="24528"/>
    <cellStyle name="Total 5 2 4 3 3 3 2" xfId="53707"/>
    <cellStyle name="Total 5 2 4 3 3 4" xfId="38193"/>
    <cellStyle name="Total 5 2 4 3 4" xfId="12461"/>
    <cellStyle name="Total 5 2 4 3 4 2" xfId="26167"/>
    <cellStyle name="Total 5 2 4 3 4 2 2" xfId="55346"/>
    <cellStyle name="Total 5 2 4 3 4 3" xfId="41642"/>
    <cellStyle name="Total 5 2 4 3 5" xfId="21739"/>
    <cellStyle name="Total 5 2 4 3 5 2" xfId="50918"/>
    <cellStyle name="Total 5 2 4 3 6" xfId="31999"/>
    <cellStyle name="Total 5 2 4 4" xfId="4508"/>
    <cellStyle name="Total 5 2 4 4 2" xfId="13690"/>
    <cellStyle name="Total 5 2 4 4 2 2" xfId="26887"/>
    <cellStyle name="Total 5 2 4 4 2 2 2" xfId="56066"/>
    <cellStyle name="Total 5 2 4 4 2 3" xfId="42871"/>
    <cellStyle name="Total 5 2 4 4 3" xfId="22459"/>
    <cellStyle name="Total 5 2 4 4 3 2" xfId="51638"/>
    <cellStyle name="Total 5 2 4 4 4" xfId="33691"/>
    <cellStyle name="Total 5 2 4 5" xfId="8992"/>
    <cellStyle name="Total 5 2 4 5 2" xfId="17046"/>
    <cellStyle name="Total 5 2 4 5 2 2" xfId="28947"/>
    <cellStyle name="Total 5 2 4 5 2 2 2" xfId="58126"/>
    <cellStyle name="Total 5 2 4 5 2 3" xfId="46227"/>
    <cellStyle name="Total 5 2 4 5 3" xfId="24519"/>
    <cellStyle name="Total 5 2 4 5 3 2" xfId="53698"/>
    <cellStyle name="Total 5 2 4 5 4" xfId="38175"/>
    <cellStyle name="Total 5 2 4 6" xfId="11187"/>
    <cellStyle name="Total 5 2 4 6 2" xfId="25444"/>
    <cellStyle name="Total 5 2 4 6 2 2" xfId="54623"/>
    <cellStyle name="Total 5 2 4 6 3" xfId="40368"/>
    <cellStyle name="Total 5 2 4 7" xfId="21016"/>
    <cellStyle name="Total 5 2 4 7 2" xfId="50195"/>
    <cellStyle name="Total 5 2 4 8" xfId="30196"/>
    <cellStyle name="Total 5 2 5" xfId="1156"/>
    <cellStyle name="Total 5 2 5 2" xfId="2060"/>
    <cellStyle name="Total 5 2 5 2 2" xfId="3860"/>
    <cellStyle name="Total 5 2 5 2 2 2" xfId="6785"/>
    <cellStyle name="Total 5 2 5 2 2 2 2" xfId="15461"/>
    <cellStyle name="Total 5 2 5 2 2 2 2 2" xfId="28030"/>
    <cellStyle name="Total 5 2 5 2 2 2 2 2 2" xfId="57209"/>
    <cellStyle name="Total 5 2 5 2 2 2 2 3" xfId="44642"/>
    <cellStyle name="Total 5 2 5 2 2 2 3" xfId="23602"/>
    <cellStyle name="Total 5 2 5 2 2 2 3 2" xfId="52781"/>
    <cellStyle name="Total 5 2 5 2 2 2 4" xfId="35968"/>
    <cellStyle name="Total 5 2 5 2 2 3" xfId="9975"/>
    <cellStyle name="Total 5 2 5 2 2 3 2" xfId="17746"/>
    <cellStyle name="Total 5 2 5 2 2 3 2 2" xfId="29338"/>
    <cellStyle name="Total 5 2 5 2 2 3 2 2 2" xfId="58517"/>
    <cellStyle name="Total 5 2 5 2 2 3 2 3" xfId="46927"/>
    <cellStyle name="Total 5 2 5 2 2 3 3" xfId="24910"/>
    <cellStyle name="Total 5 2 5 2 2 3 3 2" xfId="54089"/>
    <cellStyle name="Total 5 2 5 2 2 3 4" xfId="39158"/>
    <cellStyle name="Total 5 2 5 2 2 4" xfId="13200"/>
    <cellStyle name="Total 5 2 5 2 2 4 2" xfId="26590"/>
    <cellStyle name="Total 5 2 5 2 2 4 2 2" xfId="55769"/>
    <cellStyle name="Total 5 2 5 2 2 4 3" xfId="42381"/>
    <cellStyle name="Total 5 2 5 2 2 5" xfId="22162"/>
    <cellStyle name="Total 5 2 5 2 2 5 2" xfId="51341"/>
    <cellStyle name="Total 5 2 5 2 2 6" xfId="33043"/>
    <cellStyle name="Total 5 2 5 2 3" xfId="5345"/>
    <cellStyle name="Total 5 2 5 2 3 2" xfId="14340"/>
    <cellStyle name="Total 5 2 5 2 3 2 2" xfId="27310"/>
    <cellStyle name="Total 5 2 5 2 3 2 2 2" xfId="56489"/>
    <cellStyle name="Total 5 2 5 2 3 2 3" xfId="43521"/>
    <cellStyle name="Total 5 2 5 2 3 3" xfId="22882"/>
    <cellStyle name="Total 5 2 5 2 3 3 2" xfId="52061"/>
    <cellStyle name="Total 5 2 5 2 3 4" xfId="34528"/>
    <cellStyle name="Total 5 2 5 2 4" xfId="9627"/>
    <cellStyle name="Total 5 2 5 2 4 2" xfId="17488"/>
    <cellStyle name="Total 5 2 5 2 4 2 2" xfId="29201"/>
    <cellStyle name="Total 5 2 5 2 4 2 2 2" xfId="58380"/>
    <cellStyle name="Total 5 2 5 2 4 2 3" xfId="46669"/>
    <cellStyle name="Total 5 2 5 2 4 3" xfId="24773"/>
    <cellStyle name="Total 5 2 5 2 4 3 2" xfId="53952"/>
    <cellStyle name="Total 5 2 5 2 4 4" xfId="38810"/>
    <cellStyle name="Total 5 2 5 2 5" xfId="11925"/>
    <cellStyle name="Total 5 2 5 2 5 2" xfId="25870"/>
    <cellStyle name="Total 5 2 5 2 5 2 2" xfId="55049"/>
    <cellStyle name="Total 5 2 5 2 5 3" xfId="41106"/>
    <cellStyle name="Total 5 2 5 2 6" xfId="21442"/>
    <cellStyle name="Total 5 2 5 2 6 2" xfId="50621"/>
    <cellStyle name="Total 5 2 5 2 7" xfId="31243"/>
    <cellStyle name="Total 5 2 5 3" xfId="2960"/>
    <cellStyle name="Total 5 2 5 3 2" xfId="6065"/>
    <cellStyle name="Total 5 2 5 3 2 2" xfId="14902"/>
    <cellStyle name="Total 5 2 5 3 2 2 2" xfId="27670"/>
    <cellStyle name="Total 5 2 5 3 2 2 2 2" xfId="56849"/>
    <cellStyle name="Total 5 2 5 3 2 2 3" xfId="44083"/>
    <cellStyle name="Total 5 2 5 3 2 3" xfId="23242"/>
    <cellStyle name="Total 5 2 5 3 2 3 2" xfId="52421"/>
    <cellStyle name="Total 5 2 5 3 2 4" xfId="35248"/>
    <cellStyle name="Total 5 2 5 3 3" xfId="8196"/>
    <cellStyle name="Total 5 2 5 3 3 2" xfId="16463"/>
    <cellStyle name="Total 5 2 5 3 3 2 2" xfId="28632"/>
    <cellStyle name="Total 5 2 5 3 3 2 2 2" xfId="57811"/>
    <cellStyle name="Total 5 2 5 3 3 2 3" xfId="45644"/>
    <cellStyle name="Total 5 2 5 3 3 3" xfId="24204"/>
    <cellStyle name="Total 5 2 5 3 3 3 2" xfId="53383"/>
    <cellStyle name="Total 5 2 5 3 3 4" xfId="37379"/>
    <cellStyle name="Total 5 2 5 3 4" xfId="12564"/>
    <cellStyle name="Total 5 2 5 3 4 2" xfId="26230"/>
    <cellStyle name="Total 5 2 5 3 4 2 2" xfId="55409"/>
    <cellStyle name="Total 5 2 5 3 4 3" xfId="41745"/>
    <cellStyle name="Total 5 2 5 3 5" xfId="21802"/>
    <cellStyle name="Total 5 2 5 3 5 2" xfId="50981"/>
    <cellStyle name="Total 5 2 5 3 6" xfId="32143"/>
    <cellStyle name="Total 5 2 5 4" xfId="4625"/>
    <cellStyle name="Total 5 2 5 4 2" xfId="13783"/>
    <cellStyle name="Total 5 2 5 4 2 2" xfId="26950"/>
    <cellStyle name="Total 5 2 5 4 2 2 2" xfId="56129"/>
    <cellStyle name="Total 5 2 5 4 2 3" xfId="42964"/>
    <cellStyle name="Total 5 2 5 4 3" xfId="22522"/>
    <cellStyle name="Total 5 2 5 4 3 2" xfId="51701"/>
    <cellStyle name="Total 5 2 5 4 4" xfId="33808"/>
    <cellStyle name="Total 5 2 5 5" xfId="7894"/>
    <cellStyle name="Total 5 2 5 5 2" xfId="16246"/>
    <cellStyle name="Total 5 2 5 5 2 2" xfId="28514"/>
    <cellStyle name="Total 5 2 5 5 2 2 2" xfId="57693"/>
    <cellStyle name="Total 5 2 5 5 2 3" xfId="45427"/>
    <cellStyle name="Total 5 2 5 5 3" xfId="24086"/>
    <cellStyle name="Total 5 2 5 5 3 2" xfId="53265"/>
    <cellStyle name="Total 5 2 5 5 4" xfId="37077"/>
    <cellStyle name="Total 5 2 5 6" xfId="11293"/>
    <cellStyle name="Total 5 2 5 6 2" xfId="25510"/>
    <cellStyle name="Total 5 2 5 6 2 2" xfId="54689"/>
    <cellStyle name="Total 5 2 5 6 3" xfId="40474"/>
    <cellStyle name="Total 5 2 5 7" xfId="21082"/>
    <cellStyle name="Total 5 2 5 7 2" xfId="50261"/>
    <cellStyle name="Total 5 2 5 8" xfId="30343"/>
    <cellStyle name="Total 5 2 6" xfId="1302"/>
    <cellStyle name="Total 5 2 6 2" xfId="2204"/>
    <cellStyle name="Total 5 2 6 2 2" xfId="4004"/>
    <cellStyle name="Total 5 2 6 2 2 2" xfId="6902"/>
    <cellStyle name="Total 5 2 6 2 2 2 2" xfId="15556"/>
    <cellStyle name="Total 5 2 6 2 2 2 2 2" xfId="28093"/>
    <cellStyle name="Total 5 2 6 2 2 2 2 2 2" xfId="57272"/>
    <cellStyle name="Total 5 2 6 2 2 2 2 3" xfId="44737"/>
    <cellStyle name="Total 5 2 6 2 2 2 3" xfId="23665"/>
    <cellStyle name="Total 5 2 6 2 2 2 3 2" xfId="52844"/>
    <cellStyle name="Total 5 2 6 2 2 2 4" xfId="36085"/>
    <cellStyle name="Total 5 2 6 2 2 3" xfId="7076"/>
    <cellStyle name="Total 5 2 6 2 2 3 2" xfId="15676"/>
    <cellStyle name="Total 5 2 6 2 2 3 2 2" xfId="28175"/>
    <cellStyle name="Total 5 2 6 2 2 3 2 2 2" xfId="57354"/>
    <cellStyle name="Total 5 2 6 2 2 3 2 3" xfId="44857"/>
    <cellStyle name="Total 5 2 6 2 2 3 3" xfId="23747"/>
    <cellStyle name="Total 5 2 6 2 2 3 3 2" xfId="52926"/>
    <cellStyle name="Total 5 2 6 2 2 3 4" xfId="36259"/>
    <cellStyle name="Total 5 2 6 2 2 4" xfId="13305"/>
    <cellStyle name="Total 5 2 6 2 2 4 2" xfId="26653"/>
    <cellStyle name="Total 5 2 6 2 2 4 2 2" xfId="55832"/>
    <cellStyle name="Total 5 2 6 2 2 4 3" xfId="42486"/>
    <cellStyle name="Total 5 2 6 2 2 5" xfId="22225"/>
    <cellStyle name="Total 5 2 6 2 2 5 2" xfId="51404"/>
    <cellStyle name="Total 5 2 6 2 2 6" xfId="33187"/>
    <cellStyle name="Total 5 2 6 2 3" xfId="5462"/>
    <cellStyle name="Total 5 2 6 2 3 2" xfId="14436"/>
    <cellStyle name="Total 5 2 6 2 3 2 2" xfId="27373"/>
    <cellStyle name="Total 5 2 6 2 3 2 2 2" xfId="56552"/>
    <cellStyle name="Total 5 2 6 2 3 2 3" xfId="43617"/>
    <cellStyle name="Total 5 2 6 2 3 3" xfId="22945"/>
    <cellStyle name="Total 5 2 6 2 3 3 2" xfId="52124"/>
    <cellStyle name="Total 5 2 6 2 3 4" xfId="34645"/>
    <cellStyle name="Total 5 2 6 2 4" xfId="8006"/>
    <cellStyle name="Total 5 2 6 2 4 2" xfId="16330"/>
    <cellStyle name="Total 5 2 6 2 4 2 2" xfId="28558"/>
    <cellStyle name="Total 5 2 6 2 4 2 2 2" xfId="57737"/>
    <cellStyle name="Total 5 2 6 2 4 2 3" xfId="45511"/>
    <cellStyle name="Total 5 2 6 2 4 3" xfId="24130"/>
    <cellStyle name="Total 5 2 6 2 4 3 2" xfId="53309"/>
    <cellStyle name="Total 5 2 6 2 4 4" xfId="37189"/>
    <cellStyle name="Total 5 2 6 2 5" xfId="12029"/>
    <cellStyle name="Total 5 2 6 2 5 2" xfId="25933"/>
    <cellStyle name="Total 5 2 6 2 5 2 2" xfId="55112"/>
    <cellStyle name="Total 5 2 6 2 5 3" xfId="41210"/>
    <cellStyle name="Total 5 2 6 2 6" xfId="21505"/>
    <cellStyle name="Total 5 2 6 2 6 2" xfId="50684"/>
    <cellStyle name="Total 5 2 6 2 7" xfId="31387"/>
    <cellStyle name="Total 5 2 6 3" xfId="3104"/>
    <cellStyle name="Total 5 2 6 3 2" xfId="6182"/>
    <cellStyle name="Total 5 2 6 3 2 2" xfId="14997"/>
    <cellStyle name="Total 5 2 6 3 2 2 2" xfId="27733"/>
    <cellStyle name="Total 5 2 6 3 2 2 2 2" xfId="56912"/>
    <cellStyle name="Total 5 2 6 3 2 2 3" xfId="44178"/>
    <cellStyle name="Total 5 2 6 3 2 3" xfId="23305"/>
    <cellStyle name="Total 5 2 6 3 2 3 2" xfId="52484"/>
    <cellStyle name="Total 5 2 6 3 2 4" xfId="35365"/>
    <cellStyle name="Total 5 2 6 3 3" xfId="8771"/>
    <cellStyle name="Total 5 2 6 3 3 2" xfId="16877"/>
    <cellStyle name="Total 5 2 6 3 3 2 2" xfId="28858"/>
    <cellStyle name="Total 5 2 6 3 3 2 2 2" xfId="58037"/>
    <cellStyle name="Total 5 2 6 3 3 2 3" xfId="46058"/>
    <cellStyle name="Total 5 2 6 3 3 3" xfId="24430"/>
    <cellStyle name="Total 5 2 6 3 3 3 2" xfId="53609"/>
    <cellStyle name="Total 5 2 6 3 3 4" xfId="37954"/>
    <cellStyle name="Total 5 2 6 3 4" xfId="12667"/>
    <cellStyle name="Total 5 2 6 3 4 2" xfId="26293"/>
    <cellStyle name="Total 5 2 6 3 4 2 2" xfId="55472"/>
    <cellStyle name="Total 5 2 6 3 4 3" xfId="41848"/>
    <cellStyle name="Total 5 2 6 3 5" xfId="21865"/>
    <cellStyle name="Total 5 2 6 3 5 2" xfId="51044"/>
    <cellStyle name="Total 5 2 6 3 6" xfId="32287"/>
    <cellStyle name="Total 5 2 6 4" xfId="4742"/>
    <cellStyle name="Total 5 2 6 4 2" xfId="13874"/>
    <cellStyle name="Total 5 2 6 4 2 2" xfId="27013"/>
    <cellStyle name="Total 5 2 6 4 2 2 2" xfId="56192"/>
    <cellStyle name="Total 5 2 6 4 2 3" xfId="43055"/>
    <cellStyle name="Total 5 2 6 4 3" xfId="22585"/>
    <cellStyle name="Total 5 2 6 4 3 2" xfId="51764"/>
    <cellStyle name="Total 5 2 6 4 4" xfId="33925"/>
    <cellStyle name="Total 5 2 6 5" xfId="9065"/>
    <cellStyle name="Total 5 2 6 5 2" xfId="17101"/>
    <cellStyle name="Total 5 2 6 5 2 2" xfId="28981"/>
    <cellStyle name="Total 5 2 6 5 2 2 2" xfId="58160"/>
    <cellStyle name="Total 5 2 6 5 2 3" xfId="46282"/>
    <cellStyle name="Total 5 2 6 5 3" xfId="24553"/>
    <cellStyle name="Total 5 2 6 5 3 2" xfId="53732"/>
    <cellStyle name="Total 5 2 6 5 4" xfId="38248"/>
    <cellStyle name="Total 5 2 6 6" xfId="11399"/>
    <cellStyle name="Total 5 2 6 6 2" xfId="25573"/>
    <cellStyle name="Total 5 2 6 6 2 2" xfId="54752"/>
    <cellStyle name="Total 5 2 6 6 3" xfId="40580"/>
    <cellStyle name="Total 5 2 6 7" xfId="21145"/>
    <cellStyle name="Total 5 2 6 7 2" xfId="50324"/>
    <cellStyle name="Total 5 2 6 8" xfId="30487"/>
    <cellStyle name="Total 5 2 7" xfId="1484"/>
    <cellStyle name="Total 5 2 7 2" xfId="3284"/>
    <cellStyle name="Total 5 2 7 2 2" xfId="6326"/>
    <cellStyle name="Total 5 2 7 2 2 2" xfId="15100"/>
    <cellStyle name="Total 5 2 7 2 2 2 2" xfId="27805"/>
    <cellStyle name="Total 5 2 7 2 2 2 2 2" xfId="56984"/>
    <cellStyle name="Total 5 2 7 2 2 2 3" xfId="44281"/>
    <cellStyle name="Total 5 2 7 2 2 3" xfId="23377"/>
    <cellStyle name="Total 5 2 7 2 2 3 2" xfId="52556"/>
    <cellStyle name="Total 5 2 7 2 2 4" xfId="35509"/>
    <cellStyle name="Total 5 2 7 2 3" xfId="7781"/>
    <cellStyle name="Total 5 2 7 2 3 2" xfId="16171"/>
    <cellStyle name="Total 5 2 7 2 3 2 2" xfId="28469"/>
    <cellStyle name="Total 5 2 7 2 3 2 2 2" xfId="57648"/>
    <cellStyle name="Total 5 2 7 2 3 2 3" xfId="45352"/>
    <cellStyle name="Total 5 2 7 2 3 3" xfId="24041"/>
    <cellStyle name="Total 5 2 7 2 3 3 2" xfId="53220"/>
    <cellStyle name="Total 5 2 7 2 3 4" xfId="36964"/>
    <cellStyle name="Total 5 2 7 2 4" xfId="12791"/>
    <cellStyle name="Total 5 2 7 2 4 2" xfId="26365"/>
    <cellStyle name="Total 5 2 7 2 4 2 2" xfId="55544"/>
    <cellStyle name="Total 5 2 7 2 4 3" xfId="41972"/>
    <cellStyle name="Total 5 2 7 2 5" xfId="21937"/>
    <cellStyle name="Total 5 2 7 2 5 2" xfId="51116"/>
    <cellStyle name="Total 5 2 7 2 6" xfId="32467"/>
    <cellStyle name="Total 5 2 7 3" xfId="4886"/>
    <cellStyle name="Total 5 2 7 3 2" xfId="13976"/>
    <cellStyle name="Total 5 2 7 3 2 2" xfId="27085"/>
    <cellStyle name="Total 5 2 7 3 2 2 2" xfId="56264"/>
    <cellStyle name="Total 5 2 7 3 2 3" xfId="43157"/>
    <cellStyle name="Total 5 2 7 3 3" xfId="22657"/>
    <cellStyle name="Total 5 2 7 3 3 2" xfId="51836"/>
    <cellStyle name="Total 5 2 7 3 4" xfId="34069"/>
    <cellStyle name="Total 5 2 7 4" xfId="9753"/>
    <cellStyle name="Total 5 2 7 4 2" xfId="17586"/>
    <cellStyle name="Total 5 2 7 4 2 2" xfId="29250"/>
    <cellStyle name="Total 5 2 7 4 2 2 2" xfId="58429"/>
    <cellStyle name="Total 5 2 7 4 2 3" xfId="46767"/>
    <cellStyle name="Total 5 2 7 4 3" xfId="24822"/>
    <cellStyle name="Total 5 2 7 4 3 2" xfId="54001"/>
    <cellStyle name="Total 5 2 7 4 4" xfId="38936"/>
    <cellStyle name="Total 5 2 7 5" xfId="11521"/>
    <cellStyle name="Total 5 2 7 5 2" xfId="25645"/>
    <cellStyle name="Total 5 2 7 5 2 2" xfId="54824"/>
    <cellStyle name="Total 5 2 7 5 3" xfId="40702"/>
    <cellStyle name="Total 5 2 7 6" xfId="21217"/>
    <cellStyle name="Total 5 2 7 6 2" xfId="50396"/>
    <cellStyle name="Total 5 2 7 7" xfId="30667"/>
    <cellStyle name="Total 5 2 8" xfId="2384"/>
    <cellStyle name="Total 5 2 8 2" xfId="5606"/>
    <cellStyle name="Total 5 2 8 2 2" xfId="14541"/>
    <cellStyle name="Total 5 2 8 2 2 2" xfId="27445"/>
    <cellStyle name="Total 5 2 8 2 2 2 2" xfId="56624"/>
    <cellStyle name="Total 5 2 8 2 2 3" xfId="43722"/>
    <cellStyle name="Total 5 2 8 2 3" xfId="23017"/>
    <cellStyle name="Total 5 2 8 2 3 2" xfId="52196"/>
    <cellStyle name="Total 5 2 8 2 4" xfId="34789"/>
    <cellStyle name="Total 5 2 8 3" xfId="7531"/>
    <cellStyle name="Total 5 2 8 3 2" xfId="15997"/>
    <cellStyle name="Total 5 2 8 3 2 2" xfId="28377"/>
    <cellStyle name="Total 5 2 8 3 2 2 2" xfId="57556"/>
    <cellStyle name="Total 5 2 8 3 2 3" xfId="45178"/>
    <cellStyle name="Total 5 2 8 3 3" xfId="23949"/>
    <cellStyle name="Total 5 2 8 3 3 2" xfId="53128"/>
    <cellStyle name="Total 5 2 8 3 4" xfId="36714"/>
    <cellStyle name="Total 5 2 8 4" xfId="12150"/>
    <cellStyle name="Total 5 2 8 4 2" xfId="26005"/>
    <cellStyle name="Total 5 2 8 4 2 2" xfId="55184"/>
    <cellStyle name="Total 5 2 8 4 3" xfId="41331"/>
    <cellStyle name="Total 5 2 8 5" xfId="21577"/>
    <cellStyle name="Total 5 2 8 5 2" xfId="50756"/>
    <cellStyle name="Total 5 2 8 6" xfId="31567"/>
    <cellStyle name="Total 5 2 9" xfId="4166"/>
    <cellStyle name="Total 5 2 9 2" xfId="13419"/>
    <cellStyle name="Total 5 2 9 2 2" xfId="26725"/>
    <cellStyle name="Total 5 2 9 2 2 2" xfId="55904"/>
    <cellStyle name="Total 5 2 9 2 3" xfId="42600"/>
    <cellStyle name="Total 5 2 9 3" xfId="22297"/>
    <cellStyle name="Total 5 2 9 3 2" xfId="51476"/>
    <cellStyle name="Total 5 2 9 4" xfId="33349"/>
    <cellStyle name="Total 5 3" xfId="506"/>
    <cellStyle name="Total 5 3 10" xfId="10804"/>
    <cellStyle name="Total 5 3 10 2" xfId="25203"/>
    <cellStyle name="Total 5 3 10 2 2" xfId="54382"/>
    <cellStyle name="Total 5 3 10 3" xfId="39985"/>
    <cellStyle name="Total 5 3 11" xfId="20775"/>
    <cellStyle name="Total 5 3 11 2" xfId="49954"/>
    <cellStyle name="Total 5 3 12" xfId="29712"/>
    <cellStyle name="Total 5 3 2" xfId="859"/>
    <cellStyle name="Total 5 3 2 2" xfId="1797"/>
    <cellStyle name="Total 5 3 2 2 2" xfId="3597"/>
    <cellStyle name="Total 5 3 2 2 2 2" xfId="6576"/>
    <cellStyle name="Total 5 3 2 2 2 2 2" xfId="15293"/>
    <cellStyle name="Total 5 3 2 2 2 2 2 2" xfId="27911"/>
    <cellStyle name="Total 5 3 2 2 2 2 2 2 2" xfId="57090"/>
    <cellStyle name="Total 5 3 2 2 2 2 2 3" xfId="44474"/>
    <cellStyle name="Total 5 3 2 2 2 2 3" xfId="23483"/>
    <cellStyle name="Total 5 3 2 2 2 2 3 2" xfId="52662"/>
    <cellStyle name="Total 5 3 2 2 2 2 4" xfId="35759"/>
    <cellStyle name="Total 5 3 2 2 2 3" xfId="9495"/>
    <cellStyle name="Total 5 3 2 2 2 3 2" xfId="17398"/>
    <cellStyle name="Total 5 3 2 2 2 3 2 2" xfId="29151"/>
    <cellStyle name="Total 5 3 2 2 2 3 2 2 2" xfId="58330"/>
    <cellStyle name="Total 5 3 2 2 2 3 2 3" xfId="46579"/>
    <cellStyle name="Total 5 3 2 2 2 3 3" xfId="24723"/>
    <cellStyle name="Total 5 3 2 2 2 3 3 2" xfId="53902"/>
    <cellStyle name="Total 5 3 2 2 2 3 4" xfId="38678"/>
    <cellStyle name="Total 5 3 2 2 2 4" xfId="13009"/>
    <cellStyle name="Total 5 3 2 2 2 4 2" xfId="26471"/>
    <cellStyle name="Total 5 3 2 2 2 4 2 2" xfId="55650"/>
    <cellStyle name="Total 5 3 2 2 2 4 3" xfId="42190"/>
    <cellStyle name="Total 5 3 2 2 2 5" xfId="22043"/>
    <cellStyle name="Total 5 3 2 2 2 5 2" xfId="51222"/>
    <cellStyle name="Total 5 3 2 2 2 6" xfId="32780"/>
    <cellStyle name="Total 5 3 2 2 3" xfId="5136"/>
    <cellStyle name="Total 5 3 2 2 3 2" xfId="14170"/>
    <cellStyle name="Total 5 3 2 2 3 2 2" xfId="27191"/>
    <cellStyle name="Total 5 3 2 2 3 2 2 2" xfId="56370"/>
    <cellStyle name="Total 5 3 2 2 3 2 3" xfId="43351"/>
    <cellStyle name="Total 5 3 2 2 3 3" xfId="22763"/>
    <cellStyle name="Total 5 3 2 2 3 3 2" xfId="51942"/>
    <cellStyle name="Total 5 3 2 2 3 4" xfId="34319"/>
    <cellStyle name="Total 5 3 2 2 4" xfId="9672"/>
    <cellStyle name="Total 5 3 2 2 4 2" xfId="17522"/>
    <cellStyle name="Total 5 3 2 2 4 2 2" xfId="29219"/>
    <cellStyle name="Total 5 3 2 2 4 2 2 2" xfId="58398"/>
    <cellStyle name="Total 5 3 2 2 4 2 3" xfId="46703"/>
    <cellStyle name="Total 5 3 2 2 4 3" xfId="24791"/>
    <cellStyle name="Total 5 3 2 2 4 3 2" xfId="53970"/>
    <cellStyle name="Total 5 3 2 2 4 4" xfId="38855"/>
    <cellStyle name="Total 5 3 2 2 5" xfId="11735"/>
    <cellStyle name="Total 5 3 2 2 5 2" xfId="25751"/>
    <cellStyle name="Total 5 3 2 2 5 2 2" xfId="54930"/>
    <cellStyle name="Total 5 3 2 2 5 3" xfId="40916"/>
    <cellStyle name="Total 5 3 2 2 6" xfId="21323"/>
    <cellStyle name="Total 5 3 2 2 6 2" xfId="50502"/>
    <cellStyle name="Total 5 3 2 2 7" xfId="30980"/>
    <cellStyle name="Total 5 3 2 3" xfId="2697"/>
    <cellStyle name="Total 5 3 2 3 2" xfId="5856"/>
    <cellStyle name="Total 5 3 2 3 2 2" xfId="14737"/>
    <cellStyle name="Total 5 3 2 3 2 2 2" xfId="27551"/>
    <cellStyle name="Total 5 3 2 3 2 2 2 2" xfId="56730"/>
    <cellStyle name="Total 5 3 2 3 2 2 3" xfId="43918"/>
    <cellStyle name="Total 5 3 2 3 2 3" xfId="23123"/>
    <cellStyle name="Total 5 3 2 3 2 3 2" xfId="52302"/>
    <cellStyle name="Total 5 3 2 3 2 4" xfId="35039"/>
    <cellStyle name="Total 5 3 2 3 3" xfId="8278"/>
    <cellStyle name="Total 5 3 2 3 3 2" xfId="16525"/>
    <cellStyle name="Total 5 3 2 3 3 2 2" xfId="28667"/>
    <cellStyle name="Total 5 3 2 3 3 2 2 2" xfId="57846"/>
    <cellStyle name="Total 5 3 2 3 3 2 3" xfId="45706"/>
    <cellStyle name="Total 5 3 2 3 3 3" xfId="24239"/>
    <cellStyle name="Total 5 3 2 3 3 3 2" xfId="53418"/>
    <cellStyle name="Total 5 3 2 3 3 4" xfId="37461"/>
    <cellStyle name="Total 5 3 2 3 4" xfId="12372"/>
    <cellStyle name="Total 5 3 2 3 4 2" xfId="26111"/>
    <cellStyle name="Total 5 3 2 3 4 2 2" xfId="55290"/>
    <cellStyle name="Total 5 3 2 3 4 3" xfId="41553"/>
    <cellStyle name="Total 5 3 2 3 5" xfId="21683"/>
    <cellStyle name="Total 5 3 2 3 5 2" xfId="50862"/>
    <cellStyle name="Total 5 3 2 3 6" xfId="31880"/>
    <cellStyle name="Total 5 3 2 4" xfId="4416"/>
    <cellStyle name="Total 5 3 2 4 2" xfId="13614"/>
    <cellStyle name="Total 5 3 2 4 2 2" xfId="26831"/>
    <cellStyle name="Total 5 3 2 4 2 2 2" xfId="56010"/>
    <cellStyle name="Total 5 3 2 4 2 3" xfId="42795"/>
    <cellStyle name="Total 5 3 2 4 3" xfId="22403"/>
    <cellStyle name="Total 5 3 2 4 3 2" xfId="51582"/>
    <cellStyle name="Total 5 3 2 4 4" xfId="33599"/>
    <cellStyle name="Total 5 3 2 5" xfId="7808"/>
    <cellStyle name="Total 5 3 2 5 2" xfId="16189"/>
    <cellStyle name="Total 5 3 2 5 2 2" xfId="28481"/>
    <cellStyle name="Total 5 3 2 5 2 2 2" xfId="57660"/>
    <cellStyle name="Total 5 3 2 5 2 3" xfId="45370"/>
    <cellStyle name="Total 5 3 2 5 3" xfId="24053"/>
    <cellStyle name="Total 5 3 2 5 3 2" xfId="53232"/>
    <cellStyle name="Total 5 3 2 5 4" xfId="36991"/>
    <cellStyle name="Total 5 3 2 6" xfId="11074"/>
    <cellStyle name="Total 5 3 2 6 2" xfId="25367"/>
    <cellStyle name="Total 5 3 2 6 2 2" xfId="54546"/>
    <cellStyle name="Total 5 3 2 6 3" xfId="40255"/>
    <cellStyle name="Total 5 3 2 7" xfId="20939"/>
    <cellStyle name="Total 5 3 2 7 2" xfId="50118"/>
    <cellStyle name="Total 5 3 2 8" xfId="30056"/>
    <cellStyle name="Total 5 3 3" xfId="1051"/>
    <cellStyle name="Total 5 3 3 2" xfId="1961"/>
    <cellStyle name="Total 5 3 3 2 2" xfId="3761"/>
    <cellStyle name="Total 5 3 3 2 2 2" xfId="6704"/>
    <cellStyle name="Total 5 3 3 2 2 2 2" xfId="15398"/>
    <cellStyle name="Total 5 3 3 2 2 2 2 2" xfId="27985"/>
    <cellStyle name="Total 5 3 3 2 2 2 2 2 2" xfId="57164"/>
    <cellStyle name="Total 5 3 3 2 2 2 2 3" xfId="44579"/>
    <cellStyle name="Total 5 3 3 2 2 2 3" xfId="23557"/>
    <cellStyle name="Total 5 3 3 2 2 2 3 2" xfId="52736"/>
    <cellStyle name="Total 5 3 3 2 2 2 4" xfId="35887"/>
    <cellStyle name="Total 5 3 3 2 2 3" xfId="9354"/>
    <cellStyle name="Total 5 3 3 2 2 3 2" xfId="17304"/>
    <cellStyle name="Total 5 3 3 2 2 3 2 2" xfId="29090"/>
    <cellStyle name="Total 5 3 3 2 2 3 2 2 2" xfId="58269"/>
    <cellStyle name="Total 5 3 3 2 2 3 2 3" xfId="46485"/>
    <cellStyle name="Total 5 3 3 2 2 3 3" xfId="24662"/>
    <cellStyle name="Total 5 3 3 2 2 3 3 2" xfId="53841"/>
    <cellStyle name="Total 5 3 3 2 2 3 4" xfId="38537"/>
    <cellStyle name="Total 5 3 3 2 2 4" xfId="13131"/>
    <cellStyle name="Total 5 3 3 2 2 4 2" xfId="26545"/>
    <cellStyle name="Total 5 3 3 2 2 4 2 2" xfId="55724"/>
    <cellStyle name="Total 5 3 3 2 2 4 3" xfId="42312"/>
    <cellStyle name="Total 5 3 3 2 2 5" xfId="22117"/>
    <cellStyle name="Total 5 3 3 2 2 5 2" xfId="51296"/>
    <cellStyle name="Total 5 3 3 2 2 6" xfId="32944"/>
    <cellStyle name="Total 5 3 3 2 3" xfId="5264"/>
    <cellStyle name="Total 5 3 3 2 3 2" xfId="14277"/>
    <cellStyle name="Total 5 3 3 2 3 2 2" xfId="27265"/>
    <cellStyle name="Total 5 3 3 2 3 2 2 2" xfId="56444"/>
    <cellStyle name="Total 5 3 3 2 3 2 3" xfId="43458"/>
    <cellStyle name="Total 5 3 3 2 3 3" xfId="22837"/>
    <cellStyle name="Total 5 3 3 2 3 3 2" xfId="52016"/>
    <cellStyle name="Total 5 3 3 2 3 4" xfId="34447"/>
    <cellStyle name="Total 5 3 3 2 4" xfId="9551"/>
    <cellStyle name="Total 5 3 3 2 4 2" xfId="17439"/>
    <cellStyle name="Total 5 3 3 2 4 2 2" xfId="29172"/>
    <cellStyle name="Total 5 3 3 2 4 2 2 2" xfId="58351"/>
    <cellStyle name="Total 5 3 3 2 4 2 3" xfId="46620"/>
    <cellStyle name="Total 5 3 3 2 4 3" xfId="24744"/>
    <cellStyle name="Total 5 3 3 2 4 3 2" xfId="53923"/>
    <cellStyle name="Total 5 3 3 2 4 4" xfId="38734"/>
    <cellStyle name="Total 5 3 3 2 5" xfId="11855"/>
    <cellStyle name="Total 5 3 3 2 5 2" xfId="25825"/>
    <cellStyle name="Total 5 3 3 2 5 2 2" xfId="55004"/>
    <cellStyle name="Total 5 3 3 2 5 3" xfId="41036"/>
    <cellStyle name="Total 5 3 3 2 6" xfId="21397"/>
    <cellStyle name="Total 5 3 3 2 6 2" xfId="50576"/>
    <cellStyle name="Total 5 3 3 2 7" xfId="31144"/>
    <cellStyle name="Total 5 3 3 3" xfId="2861"/>
    <cellStyle name="Total 5 3 3 3 2" xfId="5984"/>
    <cellStyle name="Total 5 3 3 3 2 2" xfId="14841"/>
    <cellStyle name="Total 5 3 3 3 2 2 2" xfId="27625"/>
    <cellStyle name="Total 5 3 3 3 2 2 2 2" xfId="56804"/>
    <cellStyle name="Total 5 3 3 3 2 2 3" xfId="44022"/>
    <cellStyle name="Total 5 3 3 3 2 3" xfId="23197"/>
    <cellStyle name="Total 5 3 3 3 2 3 2" xfId="52376"/>
    <cellStyle name="Total 5 3 3 3 2 4" xfId="35167"/>
    <cellStyle name="Total 5 3 3 3 3" xfId="8119"/>
    <cellStyle name="Total 5 3 3 3 3 2" xfId="16407"/>
    <cellStyle name="Total 5 3 3 3 3 2 2" xfId="28604"/>
    <cellStyle name="Total 5 3 3 3 3 2 2 2" xfId="57783"/>
    <cellStyle name="Total 5 3 3 3 3 2 3" xfId="45588"/>
    <cellStyle name="Total 5 3 3 3 3 3" xfId="24176"/>
    <cellStyle name="Total 5 3 3 3 3 3 2" xfId="53355"/>
    <cellStyle name="Total 5 3 3 3 3 4" xfId="37302"/>
    <cellStyle name="Total 5 3 3 3 4" xfId="12494"/>
    <cellStyle name="Total 5 3 3 3 4 2" xfId="26185"/>
    <cellStyle name="Total 5 3 3 3 4 2 2" xfId="55364"/>
    <cellStyle name="Total 5 3 3 3 4 3" xfId="41675"/>
    <cellStyle name="Total 5 3 3 3 5" xfId="21757"/>
    <cellStyle name="Total 5 3 3 3 5 2" xfId="50936"/>
    <cellStyle name="Total 5 3 3 3 6" xfId="32044"/>
    <cellStyle name="Total 5 3 3 4" xfId="4544"/>
    <cellStyle name="Total 5 3 3 4 2" xfId="13720"/>
    <cellStyle name="Total 5 3 3 4 2 2" xfId="26905"/>
    <cellStyle name="Total 5 3 3 4 2 2 2" xfId="56084"/>
    <cellStyle name="Total 5 3 3 4 2 3" xfId="42901"/>
    <cellStyle name="Total 5 3 3 4 3" xfId="22477"/>
    <cellStyle name="Total 5 3 3 4 3 2" xfId="51656"/>
    <cellStyle name="Total 5 3 3 4 4" xfId="33727"/>
    <cellStyle name="Total 5 3 3 5" xfId="8832"/>
    <cellStyle name="Total 5 3 3 5 2" xfId="16924"/>
    <cellStyle name="Total 5 3 3 5 2 2" xfId="28883"/>
    <cellStyle name="Total 5 3 3 5 2 2 2" xfId="58062"/>
    <cellStyle name="Total 5 3 3 5 2 3" xfId="46105"/>
    <cellStyle name="Total 5 3 3 5 3" xfId="24455"/>
    <cellStyle name="Total 5 3 3 5 3 2" xfId="53634"/>
    <cellStyle name="Total 5 3 3 5 4" xfId="38015"/>
    <cellStyle name="Total 5 3 3 6" xfId="11218"/>
    <cellStyle name="Total 5 3 3 6 2" xfId="25462"/>
    <cellStyle name="Total 5 3 3 6 2 2" xfId="54641"/>
    <cellStyle name="Total 5 3 3 6 3" xfId="40399"/>
    <cellStyle name="Total 5 3 3 7" xfId="21034"/>
    <cellStyle name="Total 5 3 3 7 2" xfId="50213"/>
    <cellStyle name="Total 5 3 3 8" xfId="30241"/>
    <cellStyle name="Total 5 3 4" xfId="1201"/>
    <cellStyle name="Total 5 3 4 2" xfId="2105"/>
    <cellStyle name="Total 5 3 4 2 2" xfId="3905"/>
    <cellStyle name="Total 5 3 4 2 2 2" xfId="6821"/>
    <cellStyle name="Total 5 3 4 2 2 2 2" xfId="15491"/>
    <cellStyle name="Total 5 3 4 2 2 2 2 2" xfId="28048"/>
    <cellStyle name="Total 5 3 4 2 2 2 2 2 2" xfId="57227"/>
    <cellStyle name="Total 5 3 4 2 2 2 2 3" xfId="44672"/>
    <cellStyle name="Total 5 3 4 2 2 2 3" xfId="23620"/>
    <cellStyle name="Total 5 3 4 2 2 2 3 2" xfId="52799"/>
    <cellStyle name="Total 5 3 4 2 2 2 4" xfId="36004"/>
    <cellStyle name="Total 5 3 4 2 2 3" xfId="7697"/>
    <cellStyle name="Total 5 3 4 2 2 3 2" xfId="16115"/>
    <cellStyle name="Total 5 3 4 2 2 3 2 2" xfId="28440"/>
    <cellStyle name="Total 5 3 4 2 2 3 2 2 2" xfId="57619"/>
    <cellStyle name="Total 5 3 4 2 2 3 2 3" xfId="45296"/>
    <cellStyle name="Total 5 3 4 2 2 3 3" xfId="24012"/>
    <cellStyle name="Total 5 3 4 2 2 3 3 2" xfId="53191"/>
    <cellStyle name="Total 5 3 4 2 2 3 4" xfId="36880"/>
    <cellStyle name="Total 5 3 4 2 2 4" xfId="13233"/>
    <cellStyle name="Total 5 3 4 2 2 4 2" xfId="26608"/>
    <cellStyle name="Total 5 3 4 2 2 4 2 2" xfId="55787"/>
    <cellStyle name="Total 5 3 4 2 2 4 3" xfId="42414"/>
    <cellStyle name="Total 5 3 4 2 2 5" xfId="22180"/>
    <cellStyle name="Total 5 3 4 2 2 5 2" xfId="51359"/>
    <cellStyle name="Total 5 3 4 2 2 6" xfId="33088"/>
    <cellStyle name="Total 5 3 4 2 3" xfId="5381"/>
    <cellStyle name="Total 5 3 4 2 3 2" xfId="14369"/>
    <cellStyle name="Total 5 3 4 2 3 2 2" xfId="27328"/>
    <cellStyle name="Total 5 3 4 2 3 2 2 2" xfId="56507"/>
    <cellStyle name="Total 5 3 4 2 3 2 3" xfId="43550"/>
    <cellStyle name="Total 5 3 4 2 3 3" xfId="22900"/>
    <cellStyle name="Total 5 3 4 2 3 3 2" xfId="52079"/>
    <cellStyle name="Total 5 3 4 2 3 4" xfId="34564"/>
    <cellStyle name="Total 5 3 4 2 4" xfId="9471"/>
    <cellStyle name="Total 5 3 4 2 4 2" xfId="17381"/>
    <cellStyle name="Total 5 3 4 2 4 2 2" xfId="29141"/>
    <cellStyle name="Total 5 3 4 2 4 2 2 2" xfId="58320"/>
    <cellStyle name="Total 5 3 4 2 4 2 3" xfId="46562"/>
    <cellStyle name="Total 5 3 4 2 4 3" xfId="24713"/>
    <cellStyle name="Total 5 3 4 2 4 3 2" xfId="53892"/>
    <cellStyle name="Total 5 3 4 2 4 4" xfId="38654"/>
    <cellStyle name="Total 5 3 4 2 5" xfId="11959"/>
    <cellStyle name="Total 5 3 4 2 5 2" xfId="25888"/>
    <cellStyle name="Total 5 3 4 2 5 2 2" xfId="55067"/>
    <cellStyle name="Total 5 3 4 2 5 3" xfId="41140"/>
    <cellStyle name="Total 5 3 4 2 6" xfId="21460"/>
    <cellStyle name="Total 5 3 4 2 6 2" xfId="50639"/>
    <cellStyle name="Total 5 3 4 2 7" xfId="31288"/>
    <cellStyle name="Total 5 3 4 3" xfId="3005"/>
    <cellStyle name="Total 5 3 4 3 2" xfId="6101"/>
    <cellStyle name="Total 5 3 4 3 2 2" xfId="14930"/>
    <cellStyle name="Total 5 3 4 3 2 2 2" xfId="27688"/>
    <cellStyle name="Total 5 3 4 3 2 2 2 2" xfId="56867"/>
    <cellStyle name="Total 5 3 4 3 2 2 3" xfId="44111"/>
    <cellStyle name="Total 5 3 4 3 2 3" xfId="23260"/>
    <cellStyle name="Total 5 3 4 3 2 3 2" xfId="52439"/>
    <cellStyle name="Total 5 3 4 3 2 4" xfId="35284"/>
    <cellStyle name="Total 5 3 4 3 3" xfId="8036"/>
    <cellStyle name="Total 5 3 4 3 3 2" xfId="16351"/>
    <cellStyle name="Total 5 3 4 3 3 2 2" xfId="28571"/>
    <cellStyle name="Total 5 3 4 3 3 2 2 2" xfId="57750"/>
    <cellStyle name="Total 5 3 4 3 3 2 3" xfId="45532"/>
    <cellStyle name="Total 5 3 4 3 3 3" xfId="24143"/>
    <cellStyle name="Total 5 3 4 3 3 3 2" xfId="53322"/>
    <cellStyle name="Total 5 3 4 3 3 4" xfId="37219"/>
    <cellStyle name="Total 5 3 4 3 4" xfId="12594"/>
    <cellStyle name="Total 5 3 4 3 4 2" xfId="26248"/>
    <cellStyle name="Total 5 3 4 3 4 2 2" xfId="55427"/>
    <cellStyle name="Total 5 3 4 3 4 3" xfId="41775"/>
    <cellStyle name="Total 5 3 4 3 5" xfId="21820"/>
    <cellStyle name="Total 5 3 4 3 5 2" xfId="50999"/>
    <cellStyle name="Total 5 3 4 3 6" xfId="32188"/>
    <cellStyle name="Total 5 3 4 4" xfId="4661"/>
    <cellStyle name="Total 5 3 4 4 2" xfId="13810"/>
    <cellStyle name="Total 5 3 4 4 2 2" xfId="26968"/>
    <cellStyle name="Total 5 3 4 4 2 2 2" xfId="56147"/>
    <cellStyle name="Total 5 3 4 4 2 3" xfId="42991"/>
    <cellStyle name="Total 5 3 4 4 3" xfId="22540"/>
    <cellStyle name="Total 5 3 4 4 3 2" xfId="51719"/>
    <cellStyle name="Total 5 3 4 4 4" xfId="33844"/>
    <cellStyle name="Total 5 3 4 5" xfId="7646"/>
    <cellStyle name="Total 5 3 4 5 2" xfId="16078"/>
    <cellStyle name="Total 5 3 4 5 2 2" xfId="28419"/>
    <cellStyle name="Total 5 3 4 5 2 2 2" xfId="57598"/>
    <cellStyle name="Total 5 3 4 5 2 3" xfId="45259"/>
    <cellStyle name="Total 5 3 4 5 3" xfId="23991"/>
    <cellStyle name="Total 5 3 4 5 3 2" xfId="53170"/>
    <cellStyle name="Total 5 3 4 5 4" xfId="36829"/>
    <cellStyle name="Total 5 3 4 6" xfId="11328"/>
    <cellStyle name="Total 5 3 4 6 2" xfId="25528"/>
    <cellStyle name="Total 5 3 4 6 2 2" xfId="54707"/>
    <cellStyle name="Total 5 3 4 6 3" xfId="40509"/>
    <cellStyle name="Total 5 3 4 7" xfId="21100"/>
    <cellStyle name="Total 5 3 4 7 2" xfId="50279"/>
    <cellStyle name="Total 5 3 4 8" xfId="30388"/>
    <cellStyle name="Total 5 3 5" xfId="1347"/>
    <cellStyle name="Total 5 3 5 2" xfId="2249"/>
    <cellStyle name="Total 5 3 5 2 2" xfId="4049"/>
    <cellStyle name="Total 5 3 5 2 2 2" xfId="6938"/>
    <cellStyle name="Total 5 3 5 2 2 2 2" xfId="15581"/>
    <cellStyle name="Total 5 3 5 2 2 2 2 2" xfId="28111"/>
    <cellStyle name="Total 5 3 5 2 2 2 2 2 2" xfId="57290"/>
    <cellStyle name="Total 5 3 5 2 2 2 2 3" xfId="44762"/>
    <cellStyle name="Total 5 3 5 2 2 2 3" xfId="23683"/>
    <cellStyle name="Total 5 3 5 2 2 2 3 2" xfId="52862"/>
    <cellStyle name="Total 5 3 5 2 2 2 4" xfId="36121"/>
    <cellStyle name="Total 5 3 5 2 2 3" xfId="7031"/>
    <cellStyle name="Total 5 3 5 2 2 3 2" xfId="15648"/>
    <cellStyle name="Total 5 3 5 2 2 3 2 2" xfId="28157"/>
    <cellStyle name="Total 5 3 5 2 2 3 2 2 2" xfId="57336"/>
    <cellStyle name="Total 5 3 5 2 2 3 2 3" xfId="44829"/>
    <cellStyle name="Total 5 3 5 2 2 3 3" xfId="23729"/>
    <cellStyle name="Total 5 3 5 2 2 3 3 2" xfId="52908"/>
    <cellStyle name="Total 5 3 5 2 2 3 4" xfId="36214"/>
    <cellStyle name="Total 5 3 5 2 2 4" xfId="13335"/>
    <cellStyle name="Total 5 3 5 2 2 4 2" xfId="26671"/>
    <cellStyle name="Total 5 3 5 2 2 4 2 2" xfId="55850"/>
    <cellStyle name="Total 5 3 5 2 2 4 3" xfId="42516"/>
    <cellStyle name="Total 5 3 5 2 2 5" xfId="22243"/>
    <cellStyle name="Total 5 3 5 2 2 5 2" xfId="51422"/>
    <cellStyle name="Total 5 3 5 2 2 6" xfId="33232"/>
    <cellStyle name="Total 5 3 5 2 3" xfId="5498"/>
    <cellStyle name="Total 5 3 5 2 3 2" xfId="14461"/>
    <cellStyle name="Total 5 3 5 2 3 2 2" xfId="27391"/>
    <cellStyle name="Total 5 3 5 2 3 2 2 2" xfId="56570"/>
    <cellStyle name="Total 5 3 5 2 3 2 3" xfId="43642"/>
    <cellStyle name="Total 5 3 5 2 3 3" xfId="22963"/>
    <cellStyle name="Total 5 3 5 2 3 3 2" xfId="52142"/>
    <cellStyle name="Total 5 3 5 2 3 4" xfId="34681"/>
    <cellStyle name="Total 5 3 5 2 4" xfId="7982"/>
    <cellStyle name="Total 5 3 5 2 4 2" xfId="16314"/>
    <cellStyle name="Total 5 3 5 2 4 2 2" xfId="28550"/>
    <cellStyle name="Total 5 3 5 2 4 2 2 2" xfId="57729"/>
    <cellStyle name="Total 5 3 5 2 4 2 3" xfId="45495"/>
    <cellStyle name="Total 5 3 5 2 4 3" xfId="24122"/>
    <cellStyle name="Total 5 3 5 2 4 3 2" xfId="53301"/>
    <cellStyle name="Total 5 3 5 2 4 4" xfId="37165"/>
    <cellStyle name="Total 5 3 5 2 5" xfId="12058"/>
    <cellStyle name="Total 5 3 5 2 5 2" xfId="25951"/>
    <cellStyle name="Total 5 3 5 2 5 2 2" xfId="55130"/>
    <cellStyle name="Total 5 3 5 2 5 3" xfId="41239"/>
    <cellStyle name="Total 5 3 5 2 6" xfId="21523"/>
    <cellStyle name="Total 5 3 5 2 6 2" xfId="50702"/>
    <cellStyle name="Total 5 3 5 2 7" xfId="31432"/>
    <cellStyle name="Total 5 3 5 3" xfId="3149"/>
    <cellStyle name="Total 5 3 5 3 2" xfId="6218"/>
    <cellStyle name="Total 5 3 5 3 2 2" xfId="15021"/>
    <cellStyle name="Total 5 3 5 3 2 2 2" xfId="27751"/>
    <cellStyle name="Total 5 3 5 3 2 2 2 2" xfId="56930"/>
    <cellStyle name="Total 5 3 5 3 2 2 3" xfId="44202"/>
    <cellStyle name="Total 5 3 5 3 2 3" xfId="23323"/>
    <cellStyle name="Total 5 3 5 3 2 3 2" xfId="52502"/>
    <cellStyle name="Total 5 3 5 3 2 4" xfId="35401"/>
    <cellStyle name="Total 5 3 5 3 3" xfId="7220"/>
    <cellStyle name="Total 5 3 5 3 3 2" xfId="15782"/>
    <cellStyle name="Total 5 3 5 3 3 2 2" xfId="28241"/>
    <cellStyle name="Total 5 3 5 3 3 2 2 2" xfId="57420"/>
    <cellStyle name="Total 5 3 5 3 3 2 3" xfId="44963"/>
    <cellStyle name="Total 5 3 5 3 3 3" xfId="23813"/>
    <cellStyle name="Total 5 3 5 3 3 3 2" xfId="52992"/>
    <cellStyle name="Total 5 3 5 3 3 4" xfId="36403"/>
    <cellStyle name="Total 5 3 5 3 4" xfId="12696"/>
    <cellStyle name="Total 5 3 5 3 4 2" xfId="26311"/>
    <cellStyle name="Total 5 3 5 3 4 2 2" xfId="55490"/>
    <cellStyle name="Total 5 3 5 3 4 3" xfId="41877"/>
    <cellStyle name="Total 5 3 5 3 5" xfId="21883"/>
    <cellStyle name="Total 5 3 5 3 5 2" xfId="51062"/>
    <cellStyle name="Total 5 3 5 3 6" xfId="32332"/>
    <cellStyle name="Total 5 3 5 4" xfId="4778"/>
    <cellStyle name="Total 5 3 5 4 2" xfId="13898"/>
    <cellStyle name="Total 5 3 5 4 2 2" xfId="27031"/>
    <cellStyle name="Total 5 3 5 4 2 2 2" xfId="56210"/>
    <cellStyle name="Total 5 3 5 4 2 3" xfId="43079"/>
    <cellStyle name="Total 5 3 5 4 3" xfId="22603"/>
    <cellStyle name="Total 5 3 5 4 3 2" xfId="51782"/>
    <cellStyle name="Total 5 3 5 4 4" xfId="33961"/>
    <cellStyle name="Total 5 3 5 5" xfId="10169"/>
    <cellStyle name="Total 5 3 5 5 2" xfId="17879"/>
    <cellStyle name="Total 5 3 5 5 2 2" xfId="29418"/>
    <cellStyle name="Total 5 3 5 5 2 2 2" xfId="58597"/>
    <cellStyle name="Total 5 3 5 5 2 3" xfId="47060"/>
    <cellStyle name="Total 5 3 5 5 3" xfId="24990"/>
    <cellStyle name="Total 5 3 5 5 3 2" xfId="54169"/>
    <cellStyle name="Total 5 3 5 5 4" xfId="39352"/>
    <cellStyle name="Total 5 3 5 6" xfId="11427"/>
    <cellStyle name="Total 5 3 5 6 2" xfId="25591"/>
    <cellStyle name="Total 5 3 5 6 2 2" xfId="54770"/>
    <cellStyle name="Total 5 3 5 6 3" xfId="40608"/>
    <cellStyle name="Total 5 3 5 7" xfId="21163"/>
    <cellStyle name="Total 5 3 5 7 2" xfId="50342"/>
    <cellStyle name="Total 5 3 5 8" xfId="30532"/>
    <cellStyle name="Total 5 3 6" xfId="1529"/>
    <cellStyle name="Total 5 3 6 2" xfId="3329"/>
    <cellStyle name="Total 5 3 6 2 2" xfId="6362"/>
    <cellStyle name="Total 5 3 6 2 2 2" xfId="15124"/>
    <cellStyle name="Total 5 3 6 2 2 2 2" xfId="27823"/>
    <cellStyle name="Total 5 3 6 2 2 2 2 2" xfId="57002"/>
    <cellStyle name="Total 5 3 6 2 2 2 3" xfId="44305"/>
    <cellStyle name="Total 5 3 6 2 2 3" xfId="23395"/>
    <cellStyle name="Total 5 3 6 2 2 3 2" xfId="52574"/>
    <cellStyle name="Total 5 3 6 2 2 4" xfId="35545"/>
    <cellStyle name="Total 5 3 6 2 3" xfId="8271"/>
    <cellStyle name="Total 5 3 6 2 3 2" xfId="16521"/>
    <cellStyle name="Total 5 3 6 2 3 2 2" xfId="28664"/>
    <cellStyle name="Total 5 3 6 2 3 2 2 2" xfId="57843"/>
    <cellStyle name="Total 5 3 6 2 3 2 3" xfId="45702"/>
    <cellStyle name="Total 5 3 6 2 3 3" xfId="24236"/>
    <cellStyle name="Total 5 3 6 2 3 3 2" xfId="53415"/>
    <cellStyle name="Total 5 3 6 2 3 4" xfId="37454"/>
    <cellStyle name="Total 5 3 6 2 4" xfId="12820"/>
    <cellStyle name="Total 5 3 6 2 4 2" xfId="26383"/>
    <cellStyle name="Total 5 3 6 2 4 2 2" xfId="55562"/>
    <cellStyle name="Total 5 3 6 2 4 3" xfId="42001"/>
    <cellStyle name="Total 5 3 6 2 5" xfId="21955"/>
    <cellStyle name="Total 5 3 6 2 5 2" xfId="51134"/>
    <cellStyle name="Total 5 3 6 2 6" xfId="32512"/>
    <cellStyle name="Total 5 3 6 3" xfId="4922"/>
    <cellStyle name="Total 5 3 6 3 2" xfId="14003"/>
    <cellStyle name="Total 5 3 6 3 2 2" xfId="27103"/>
    <cellStyle name="Total 5 3 6 3 2 2 2" xfId="56282"/>
    <cellStyle name="Total 5 3 6 3 2 3" xfId="43184"/>
    <cellStyle name="Total 5 3 6 3 3" xfId="22675"/>
    <cellStyle name="Total 5 3 6 3 3 2" xfId="51854"/>
    <cellStyle name="Total 5 3 6 3 4" xfId="34105"/>
    <cellStyle name="Total 5 3 6 4" xfId="7499"/>
    <cellStyle name="Total 5 3 6 4 2" xfId="15976"/>
    <cellStyle name="Total 5 3 6 4 2 2" xfId="28366"/>
    <cellStyle name="Total 5 3 6 4 2 2 2" xfId="57545"/>
    <cellStyle name="Total 5 3 6 4 2 3" xfId="45157"/>
    <cellStyle name="Total 5 3 6 4 3" xfId="23938"/>
    <cellStyle name="Total 5 3 6 4 3 2" xfId="53117"/>
    <cellStyle name="Total 5 3 6 4 4" xfId="36682"/>
    <cellStyle name="Total 5 3 6 5" xfId="11548"/>
    <cellStyle name="Total 5 3 6 5 2" xfId="25663"/>
    <cellStyle name="Total 5 3 6 5 2 2" xfId="54842"/>
    <cellStyle name="Total 5 3 6 5 3" xfId="40729"/>
    <cellStyle name="Total 5 3 6 6" xfId="21235"/>
    <cellStyle name="Total 5 3 6 6 2" xfId="50414"/>
    <cellStyle name="Total 5 3 6 7" xfId="30712"/>
    <cellStyle name="Total 5 3 7" xfId="2429"/>
    <cellStyle name="Total 5 3 7 2" xfId="5642"/>
    <cellStyle name="Total 5 3 7 2 2" xfId="14570"/>
    <cellStyle name="Total 5 3 7 2 2 2" xfId="27463"/>
    <cellStyle name="Total 5 3 7 2 2 2 2" xfId="56642"/>
    <cellStyle name="Total 5 3 7 2 2 3" xfId="43751"/>
    <cellStyle name="Total 5 3 7 2 3" xfId="23035"/>
    <cellStyle name="Total 5 3 7 2 3 2" xfId="52214"/>
    <cellStyle name="Total 5 3 7 2 4" xfId="34825"/>
    <cellStyle name="Total 5 3 7 3" xfId="8404"/>
    <cellStyle name="Total 5 3 7 3 2" xfId="16616"/>
    <cellStyle name="Total 5 3 7 3 2 2" xfId="28715"/>
    <cellStyle name="Total 5 3 7 3 2 2 2" xfId="57894"/>
    <cellStyle name="Total 5 3 7 3 2 3" xfId="45797"/>
    <cellStyle name="Total 5 3 7 3 3" xfId="24287"/>
    <cellStyle name="Total 5 3 7 3 3 2" xfId="53466"/>
    <cellStyle name="Total 5 3 7 3 4" xfId="37587"/>
    <cellStyle name="Total 5 3 7 4" xfId="12182"/>
    <cellStyle name="Total 5 3 7 4 2" xfId="26023"/>
    <cellStyle name="Total 5 3 7 4 2 2" xfId="55202"/>
    <cellStyle name="Total 5 3 7 4 3" xfId="41363"/>
    <cellStyle name="Total 5 3 7 5" xfId="21595"/>
    <cellStyle name="Total 5 3 7 5 2" xfId="50774"/>
    <cellStyle name="Total 5 3 7 6" xfId="31612"/>
    <cellStyle name="Total 5 3 8" xfId="4202"/>
    <cellStyle name="Total 5 3 8 2" xfId="13451"/>
    <cellStyle name="Total 5 3 8 2 2" xfId="26743"/>
    <cellStyle name="Total 5 3 8 2 2 2" xfId="55922"/>
    <cellStyle name="Total 5 3 8 2 3" xfId="42632"/>
    <cellStyle name="Total 5 3 8 3" xfId="22315"/>
    <cellStyle name="Total 5 3 8 3 2" xfId="51494"/>
    <cellStyle name="Total 5 3 8 4" xfId="33385"/>
    <cellStyle name="Total 5 3 9" xfId="9605"/>
    <cellStyle name="Total 5 3 9 2" xfId="17470"/>
    <cellStyle name="Total 5 3 9 2 2" xfId="29191"/>
    <cellStyle name="Total 5 3 9 2 2 2" xfId="58370"/>
    <cellStyle name="Total 5 3 9 2 3" xfId="46651"/>
    <cellStyle name="Total 5 3 9 3" xfId="24763"/>
    <cellStyle name="Total 5 3 9 3 2" xfId="53942"/>
    <cellStyle name="Total 5 3 9 4" xfId="38788"/>
    <cellStyle name="Total 5 4" xfId="769"/>
    <cellStyle name="Total 5 4 2" xfId="1707"/>
    <cellStyle name="Total 5 4 2 2" xfId="3507"/>
    <cellStyle name="Total 5 4 2 2 2" xfId="6504"/>
    <cellStyle name="Total 5 4 2 2 2 2" xfId="15238"/>
    <cellStyle name="Total 5 4 2 2 2 2 2" xfId="27875"/>
    <cellStyle name="Total 5 4 2 2 2 2 2 2" xfId="57054"/>
    <cellStyle name="Total 5 4 2 2 2 2 3" xfId="44419"/>
    <cellStyle name="Total 5 4 2 2 2 3" xfId="23447"/>
    <cellStyle name="Total 5 4 2 2 2 3 2" xfId="52626"/>
    <cellStyle name="Total 5 4 2 2 2 4" xfId="35687"/>
    <cellStyle name="Total 5 4 2 2 3" xfId="9883"/>
    <cellStyle name="Total 5 4 2 2 3 2" xfId="17680"/>
    <cellStyle name="Total 5 4 2 2 3 2 2" xfId="29305"/>
    <cellStyle name="Total 5 4 2 2 3 2 2 2" xfId="58484"/>
    <cellStyle name="Total 5 4 2 2 3 2 3" xfId="46861"/>
    <cellStyle name="Total 5 4 2 2 3 3" xfId="24877"/>
    <cellStyle name="Total 5 4 2 2 3 3 2" xfId="54056"/>
    <cellStyle name="Total 5 4 2 2 3 4" xfId="39066"/>
    <cellStyle name="Total 5 4 2 2 4" xfId="12944"/>
    <cellStyle name="Total 5 4 2 2 4 2" xfId="26435"/>
    <cellStyle name="Total 5 4 2 2 4 2 2" xfId="55614"/>
    <cellStyle name="Total 5 4 2 2 4 3" xfId="42125"/>
    <cellStyle name="Total 5 4 2 2 5" xfId="22007"/>
    <cellStyle name="Total 5 4 2 2 5 2" xfId="51186"/>
    <cellStyle name="Total 5 4 2 2 6" xfId="32690"/>
    <cellStyle name="Total 5 4 2 3" xfId="5064"/>
    <cellStyle name="Total 5 4 2 3 2" xfId="14114"/>
    <cellStyle name="Total 5 4 2 3 2 2" xfId="27155"/>
    <cellStyle name="Total 5 4 2 3 2 2 2" xfId="56334"/>
    <cellStyle name="Total 5 4 2 3 2 3" xfId="43295"/>
    <cellStyle name="Total 5 4 2 3 3" xfId="22727"/>
    <cellStyle name="Total 5 4 2 3 3 2" xfId="51906"/>
    <cellStyle name="Total 5 4 2 3 4" xfId="34247"/>
    <cellStyle name="Total 5 4 2 4" xfId="8707"/>
    <cellStyle name="Total 5 4 2 4 2" xfId="16832"/>
    <cellStyle name="Total 5 4 2 4 2 2" xfId="28836"/>
    <cellStyle name="Total 5 4 2 4 2 2 2" xfId="58015"/>
    <cellStyle name="Total 5 4 2 4 2 3" xfId="46013"/>
    <cellStyle name="Total 5 4 2 4 3" xfId="24408"/>
    <cellStyle name="Total 5 4 2 4 3 2" xfId="53587"/>
    <cellStyle name="Total 5 4 2 4 4" xfId="37890"/>
    <cellStyle name="Total 5 4 2 5" xfId="11671"/>
    <cellStyle name="Total 5 4 2 5 2" xfId="25715"/>
    <cellStyle name="Total 5 4 2 5 2 2" xfId="54894"/>
    <cellStyle name="Total 5 4 2 5 3" xfId="40852"/>
    <cellStyle name="Total 5 4 2 6" xfId="21287"/>
    <cellStyle name="Total 5 4 2 6 2" xfId="50466"/>
    <cellStyle name="Total 5 4 2 7" xfId="30890"/>
    <cellStyle name="Total 5 4 3" xfId="2607"/>
    <cellStyle name="Total 5 4 3 2" xfId="5784"/>
    <cellStyle name="Total 5 4 3 2 2" xfId="14679"/>
    <cellStyle name="Total 5 4 3 2 2 2" xfId="27515"/>
    <cellStyle name="Total 5 4 3 2 2 2 2" xfId="56694"/>
    <cellStyle name="Total 5 4 3 2 2 3" xfId="43860"/>
    <cellStyle name="Total 5 4 3 2 3" xfId="23087"/>
    <cellStyle name="Total 5 4 3 2 3 2" xfId="52266"/>
    <cellStyle name="Total 5 4 3 2 4" xfId="34967"/>
    <cellStyle name="Total 5 4 3 3" xfId="10234"/>
    <cellStyle name="Total 5 4 3 3 2" xfId="17925"/>
    <cellStyle name="Total 5 4 3 3 2 2" xfId="29446"/>
    <cellStyle name="Total 5 4 3 3 2 2 2" xfId="58625"/>
    <cellStyle name="Total 5 4 3 3 2 3" xfId="47106"/>
    <cellStyle name="Total 5 4 3 3 3" xfId="25018"/>
    <cellStyle name="Total 5 4 3 3 3 2" xfId="54197"/>
    <cellStyle name="Total 5 4 3 3 4" xfId="39417"/>
    <cellStyle name="Total 5 4 3 4" xfId="12306"/>
    <cellStyle name="Total 5 4 3 4 2" xfId="26075"/>
    <cellStyle name="Total 5 4 3 4 2 2" xfId="55254"/>
    <cellStyle name="Total 5 4 3 4 3" xfId="41487"/>
    <cellStyle name="Total 5 4 3 5" xfId="21647"/>
    <cellStyle name="Total 5 4 3 5 2" xfId="50826"/>
    <cellStyle name="Total 5 4 3 6" xfId="31790"/>
    <cellStyle name="Total 5 4 4" xfId="4344"/>
    <cellStyle name="Total 5 4 4 2" xfId="13558"/>
    <cellStyle name="Total 5 4 4 2 2" xfId="26795"/>
    <cellStyle name="Total 5 4 4 2 2 2" xfId="55974"/>
    <cellStyle name="Total 5 4 4 2 3" xfId="42739"/>
    <cellStyle name="Total 5 4 4 3" xfId="22367"/>
    <cellStyle name="Total 5 4 4 3 2" xfId="51546"/>
    <cellStyle name="Total 5 4 4 4" xfId="33527"/>
    <cellStyle name="Total 5 4 5" xfId="7340"/>
    <cellStyle name="Total 5 4 5 2" xfId="15867"/>
    <cellStyle name="Total 5 4 5 2 2" xfId="28294"/>
    <cellStyle name="Total 5 4 5 2 2 2" xfId="57473"/>
    <cellStyle name="Total 5 4 5 2 3" xfId="45048"/>
    <cellStyle name="Total 5 4 5 3" xfId="23866"/>
    <cellStyle name="Total 5 4 5 3 2" xfId="53045"/>
    <cellStyle name="Total 5 4 5 4" xfId="36523"/>
    <cellStyle name="Total 5 4 6" xfId="11010"/>
    <cellStyle name="Total 5 4 6 2" xfId="25331"/>
    <cellStyle name="Total 5 4 6 2 2" xfId="54510"/>
    <cellStyle name="Total 5 4 6 3" xfId="40191"/>
    <cellStyle name="Total 5 4 7" xfId="20903"/>
    <cellStyle name="Total 5 4 7 2" xfId="50082"/>
    <cellStyle name="Total 5 4 8" xfId="29966"/>
    <cellStyle name="Total 5 5" xfId="961"/>
    <cellStyle name="Total 5 5 2" xfId="1871"/>
    <cellStyle name="Total 5 5 2 2" xfId="3671"/>
    <cellStyle name="Total 5 5 2 2 2" xfId="6632"/>
    <cellStyle name="Total 5 5 2 2 2 2" xfId="15344"/>
    <cellStyle name="Total 5 5 2 2 2 2 2" xfId="27949"/>
    <cellStyle name="Total 5 5 2 2 2 2 2 2" xfId="57128"/>
    <cellStyle name="Total 5 5 2 2 2 2 3" xfId="44525"/>
    <cellStyle name="Total 5 5 2 2 2 3" xfId="23521"/>
    <cellStyle name="Total 5 5 2 2 2 3 2" xfId="52700"/>
    <cellStyle name="Total 5 5 2 2 2 4" xfId="35815"/>
    <cellStyle name="Total 5 5 2 2 3" xfId="8962"/>
    <cellStyle name="Total 5 5 2 2 3 2" xfId="17022"/>
    <cellStyle name="Total 5 5 2 2 3 2 2" xfId="28933"/>
    <cellStyle name="Total 5 5 2 2 3 2 2 2" xfId="58112"/>
    <cellStyle name="Total 5 5 2 2 3 2 3" xfId="46203"/>
    <cellStyle name="Total 5 5 2 2 3 3" xfId="24505"/>
    <cellStyle name="Total 5 5 2 2 3 3 2" xfId="53684"/>
    <cellStyle name="Total 5 5 2 2 3 4" xfId="38145"/>
    <cellStyle name="Total 5 5 2 2 4" xfId="13065"/>
    <cellStyle name="Total 5 5 2 2 4 2" xfId="26509"/>
    <cellStyle name="Total 5 5 2 2 4 2 2" xfId="55688"/>
    <cellStyle name="Total 5 5 2 2 4 3" xfId="42246"/>
    <cellStyle name="Total 5 5 2 2 5" xfId="22081"/>
    <cellStyle name="Total 5 5 2 2 5 2" xfId="51260"/>
    <cellStyle name="Total 5 5 2 2 6" xfId="32854"/>
    <cellStyle name="Total 5 5 2 3" xfId="5192"/>
    <cellStyle name="Total 5 5 2 3 2" xfId="14222"/>
    <cellStyle name="Total 5 5 2 3 2 2" xfId="27229"/>
    <cellStyle name="Total 5 5 2 3 2 2 2" xfId="56408"/>
    <cellStyle name="Total 5 5 2 3 2 3" xfId="43403"/>
    <cellStyle name="Total 5 5 2 3 3" xfId="22801"/>
    <cellStyle name="Total 5 5 2 3 3 2" xfId="51980"/>
    <cellStyle name="Total 5 5 2 3 4" xfId="34375"/>
    <cellStyle name="Total 5 5 2 4" xfId="8566"/>
    <cellStyle name="Total 5 5 2 4 2" xfId="16725"/>
    <cellStyle name="Total 5 5 2 4 2 2" xfId="28772"/>
    <cellStyle name="Total 5 5 2 4 2 2 2" xfId="57951"/>
    <cellStyle name="Total 5 5 2 4 2 3" xfId="45906"/>
    <cellStyle name="Total 5 5 2 4 3" xfId="24344"/>
    <cellStyle name="Total 5 5 2 4 3 2" xfId="53523"/>
    <cellStyle name="Total 5 5 2 4 4" xfId="37749"/>
    <cellStyle name="Total 5 5 2 5" xfId="11790"/>
    <cellStyle name="Total 5 5 2 5 2" xfId="25789"/>
    <cellStyle name="Total 5 5 2 5 2 2" xfId="54968"/>
    <cellStyle name="Total 5 5 2 5 3" xfId="40971"/>
    <cellStyle name="Total 5 5 2 6" xfId="21361"/>
    <cellStyle name="Total 5 5 2 6 2" xfId="50540"/>
    <cellStyle name="Total 5 5 2 7" xfId="31054"/>
    <cellStyle name="Total 5 5 3" xfId="2771"/>
    <cellStyle name="Total 5 5 3 2" xfId="5912"/>
    <cellStyle name="Total 5 5 3 2 2" xfId="14787"/>
    <cellStyle name="Total 5 5 3 2 2 2" xfId="27589"/>
    <cellStyle name="Total 5 5 3 2 2 2 2" xfId="56768"/>
    <cellStyle name="Total 5 5 3 2 2 3" xfId="43968"/>
    <cellStyle name="Total 5 5 3 2 3" xfId="23161"/>
    <cellStyle name="Total 5 5 3 2 3 2" xfId="52340"/>
    <cellStyle name="Total 5 5 3 2 4" xfId="35095"/>
    <cellStyle name="Total 5 5 3 3" xfId="10092"/>
    <cellStyle name="Total 5 5 3 3 2" xfId="17823"/>
    <cellStyle name="Total 5 5 3 3 2 2" xfId="29384"/>
    <cellStyle name="Total 5 5 3 3 2 2 2" xfId="58563"/>
    <cellStyle name="Total 5 5 3 3 2 3" xfId="47004"/>
    <cellStyle name="Total 5 5 3 3 3" xfId="24956"/>
    <cellStyle name="Total 5 5 3 3 3 2" xfId="54135"/>
    <cellStyle name="Total 5 5 3 3 4" xfId="39275"/>
    <cellStyle name="Total 5 5 3 4" xfId="12430"/>
    <cellStyle name="Total 5 5 3 4 2" xfId="26149"/>
    <cellStyle name="Total 5 5 3 4 2 2" xfId="55328"/>
    <cellStyle name="Total 5 5 3 4 3" xfId="41611"/>
    <cellStyle name="Total 5 5 3 5" xfId="21721"/>
    <cellStyle name="Total 5 5 3 5 2" xfId="50900"/>
    <cellStyle name="Total 5 5 3 6" xfId="31954"/>
    <cellStyle name="Total 5 5 4" xfId="4472"/>
    <cellStyle name="Total 5 5 4 2" xfId="13665"/>
    <cellStyle name="Total 5 5 4 2 2" xfId="26869"/>
    <cellStyle name="Total 5 5 4 2 2 2" xfId="56048"/>
    <cellStyle name="Total 5 5 4 2 3" xfId="42846"/>
    <cellStyle name="Total 5 5 4 3" xfId="22441"/>
    <cellStyle name="Total 5 5 4 3 2" xfId="51620"/>
    <cellStyle name="Total 5 5 4 4" xfId="33655"/>
    <cellStyle name="Total 5 5 5" xfId="7649"/>
    <cellStyle name="Total 5 5 5 2" xfId="16081"/>
    <cellStyle name="Total 5 5 5 2 2" xfId="28421"/>
    <cellStyle name="Total 5 5 5 2 2 2" xfId="57600"/>
    <cellStyle name="Total 5 5 5 2 3" xfId="45262"/>
    <cellStyle name="Total 5 5 5 3" xfId="23993"/>
    <cellStyle name="Total 5 5 5 3 2" xfId="53172"/>
    <cellStyle name="Total 5 5 5 4" xfId="36832"/>
    <cellStyle name="Total 5 5 6" xfId="11155"/>
    <cellStyle name="Total 5 5 6 2" xfId="25426"/>
    <cellStyle name="Total 5 5 6 2 2" xfId="54605"/>
    <cellStyle name="Total 5 5 6 3" xfId="40336"/>
    <cellStyle name="Total 5 5 7" xfId="20998"/>
    <cellStyle name="Total 5 5 7 2" xfId="50177"/>
    <cellStyle name="Total 5 5 8" xfId="30151"/>
    <cellStyle name="Total 5 6" xfId="1111"/>
    <cellStyle name="Total 5 6 2" xfId="2015"/>
    <cellStyle name="Total 5 6 2 2" xfId="3815"/>
    <cellStyle name="Total 5 6 2 2 2" xfId="6749"/>
    <cellStyle name="Total 5 6 2 2 2 2" xfId="15435"/>
    <cellStyle name="Total 5 6 2 2 2 2 2" xfId="28012"/>
    <cellStyle name="Total 5 6 2 2 2 2 2 2" xfId="57191"/>
    <cellStyle name="Total 5 6 2 2 2 2 3" xfId="44616"/>
    <cellStyle name="Total 5 6 2 2 2 3" xfId="23584"/>
    <cellStyle name="Total 5 6 2 2 2 3 2" xfId="52763"/>
    <cellStyle name="Total 5 6 2 2 2 4" xfId="35932"/>
    <cellStyle name="Total 5 6 2 2 3" xfId="10299"/>
    <cellStyle name="Total 5 6 2 2 3 2" xfId="17969"/>
    <cellStyle name="Total 5 6 2 2 3 2 2" xfId="29470"/>
    <cellStyle name="Total 5 6 2 2 3 2 2 2" xfId="58649"/>
    <cellStyle name="Total 5 6 2 2 3 2 3" xfId="47150"/>
    <cellStyle name="Total 5 6 2 2 3 3" xfId="25042"/>
    <cellStyle name="Total 5 6 2 2 3 3 2" xfId="54221"/>
    <cellStyle name="Total 5 6 2 2 3 4" xfId="39482"/>
    <cellStyle name="Total 5 6 2 2 4" xfId="13172"/>
    <cellStyle name="Total 5 6 2 2 4 2" xfId="26572"/>
    <cellStyle name="Total 5 6 2 2 4 2 2" xfId="55751"/>
    <cellStyle name="Total 5 6 2 2 4 3" xfId="42353"/>
    <cellStyle name="Total 5 6 2 2 5" xfId="22144"/>
    <cellStyle name="Total 5 6 2 2 5 2" xfId="51323"/>
    <cellStyle name="Total 5 6 2 2 6" xfId="32998"/>
    <cellStyle name="Total 5 6 2 3" xfId="5309"/>
    <cellStyle name="Total 5 6 2 3 2" xfId="14314"/>
    <cellStyle name="Total 5 6 2 3 2 2" xfId="27292"/>
    <cellStyle name="Total 5 6 2 3 2 2 2" xfId="56471"/>
    <cellStyle name="Total 5 6 2 3 2 3" xfId="43495"/>
    <cellStyle name="Total 5 6 2 3 3" xfId="22864"/>
    <cellStyle name="Total 5 6 2 3 3 2" xfId="52043"/>
    <cellStyle name="Total 5 6 2 3 4" xfId="34492"/>
    <cellStyle name="Total 5 6 2 4" xfId="9860"/>
    <cellStyle name="Total 5 6 2 4 2" xfId="17664"/>
    <cellStyle name="Total 5 6 2 4 2 2" xfId="29294"/>
    <cellStyle name="Total 5 6 2 4 2 2 2" xfId="58473"/>
    <cellStyle name="Total 5 6 2 4 2 3" xfId="46845"/>
    <cellStyle name="Total 5 6 2 4 3" xfId="24866"/>
    <cellStyle name="Total 5 6 2 4 3 2" xfId="54045"/>
    <cellStyle name="Total 5 6 2 4 4" xfId="39043"/>
    <cellStyle name="Total 5 6 2 5" xfId="11896"/>
    <cellStyle name="Total 5 6 2 5 2" xfId="25852"/>
    <cellStyle name="Total 5 6 2 5 2 2" xfId="55031"/>
    <cellStyle name="Total 5 6 2 5 3" xfId="41077"/>
    <cellStyle name="Total 5 6 2 6" xfId="21424"/>
    <cellStyle name="Total 5 6 2 6 2" xfId="50603"/>
    <cellStyle name="Total 5 6 2 7" xfId="31198"/>
    <cellStyle name="Total 5 6 3" xfId="2915"/>
    <cellStyle name="Total 5 6 3 2" xfId="6029"/>
    <cellStyle name="Total 5 6 3 2 2" xfId="14875"/>
    <cellStyle name="Total 5 6 3 2 2 2" xfId="27652"/>
    <cellStyle name="Total 5 6 3 2 2 2 2" xfId="56831"/>
    <cellStyle name="Total 5 6 3 2 2 3" xfId="44056"/>
    <cellStyle name="Total 5 6 3 2 3" xfId="23224"/>
    <cellStyle name="Total 5 6 3 2 3 2" xfId="52403"/>
    <cellStyle name="Total 5 6 3 2 4" xfId="35212"/>
    <cellStyle name="Total 5 6 3 3" xfId="9085"/>
    <cellStyle name="Total 5 6 3 3 2" xfId="17111"/>
    <cellStyle name="Total 5 6 3 3 2 2" xfId="28987"/>
    <cellStyle name="Total 5 6 3 3 2 2 2" xfId="58166"/>
    <cellStyle name="Total 5 6 3 3 2 3" xfId="46292"/>
    <cellStyle name="Total 5 6 3 3 3" xfId="24559"/>
    <cellStyle name="Total 5 6 3 3 3 2" xfId="53738"/>
    <cellStyle name="Total 5 6 3 3 4" xfId="38268"/>
    <cellStyle name="Total 5 6 3 4" xfId="12532"/>
    <cellStyle name="Total 5 6 3 4 2" xfId="26212"/>
    <cellStyle name="Total 5 6 3 4 2 2" xfId="55391"/>
    <cellStyle name="Total 5 6 3 4 3" xfId="41713"/>
    <cellStyle name="Total 5 6 3 5" xfId="21784"/>
    <cellStyle name="Total 5 6 3 5 2" xfId="50963"/>
    <cellStyle name="Total 5 6 3 6" xfId="32098"/>
    <cellStyle name="Total 5 6 4" xfId="4589"/>
    <cellStyle name="Total 5 6 4 2" xfId="13755"/>
    <cellStyle name="Total 5 6 4 2 2" xfId="26932"/>
    <cellStyle name="Total 5 6 4 2 2 2" xfId="56111"/>
    <cellStyle name="Total 5 6 4 2 3" xfId="42936"/>
    <cellStyle name="Total 5 6 4 3" xfId="22504"/>
    <cellStyle name="Total 5 6 4 3 2" xfId="51683"/>
    <cellStyle name="Total 5 6 4 4" xfId="33772"/>
    <cellStyle name="Total 5 6 5" xfId="10034"/>
    <cellStyle name="Total 5 6 5 2" xfId="17786"/>
    <cellStyle name="Total 5 6 5 2 2" xfId="29362"/>
    <cellStyle name="Total 5 6 5 2 2 2" xfId="58541"/>
    <cellStyle name="Total 5 6 5 2 3" xfId="46967"/>
    <cellStyle name="Total 5 6 5 3" xfId="24934"/>
    <cellStyle name="Total 5 6 5 3 2" xfId="54113"/>
    <cellStyle name="Total 5 6 5 4" xfId="39217"/>
    <cellStyle name="Total 5 6 6" xfId="11264"/>
    <cellStyle name="Total 5 6 6 2" xfId="25492"/>
    <cellStyle name="Total 5 6 6 2 2" xfId="54671"/>
    <cellStyle name="Total 5 6 6 3" xfId="40445"/>
    <cellStyle name="Total 5 6 7" xfId="21064"/>
    <cellStyle name="Total 5 6 7 2" xfId="50243"/>
    <cellStyle name="Total 5 6 8" xfId="30298"/>
    <cellStyle name="Total 5 7" xfId="1257"/>
    <cellStyle name="Total 5 7 2" xfId="2159"/>
    <cellStyle name="Total 5 7 2 2" xfId="3959"/>
    <cellStyle name="Total 5 7 2 2 2" xfId="6866"/>
    <cellStyle name="Total 5 7 2 2 2 2" xfId="15525"/>
    <cellStyle name="Total 5 7 2 2 2 2 2" xfId="28075"/>
    <cellStyle name="Total 5 7 2 2 2 2 2 2" xfId="57254"/>
    <cellStyle name="Total 5 7 2 2 2 2 3" xfId="44706"/>
    <cellStyle name="Total 5 7 2 2 2 3" xfId="23647"/>
    <cellStyle name="Total 5 7 2 2 2 3 2" xfId="52826"/>
    <cellStyle name="Total 5 7 2 2 2 4" xfId="36049"/>
    <cellStyle name="Total 5 7 2 2 3" xfId="7121"/>
    <cellStyle name="Total 5 7 2 2 3 2" xfId="15711"/>
    <cellStyle name="Total 5 7 2 2 3 2 2" xfId="28193"/>
    <cellStyle name="Total 5 7 2 2 3 2 2 2" xfId="57372"/>
    <cellStyle name="Total 5 7 2 2 3 2 3" xfId="44892"/>
    <cellStyle name="Total 5 7 2 2 3 3" xfId="23765"/>
    <cellStyle name="Total 5 7 2 2 3 3 2" xfId="52944"/>
    <cellStyle name="Total 5 7 2 2 3 4" xfId="36304"/>
    <cellStyle name="Total 5 7 2 2 4" xfId="13270"/>
    <cellStyle name="Total 5 7 2 2 4 2" xfId="26635"/>
    <cellStyle name="Total 5 7 2 2 4 2 2" xfId="55814"/>
    <cellStyle name="Total 5 7 2 2 4 3" xfId="42451"/>
    <cellStyle name="Total 5 7 2 2 5" xfId="22207"/>
    <cellStyle name="Total 5 7 2 2 5 2" xfId="51386"/>
    <cellStyle name="Total 5 7 2 2 6" xfId="33142"/>
    <cellStyle name="Total 5 7 2 3" xfId="5426"/>
    <cellStyle name="Total 5 7 2 3 2" xfId="14403"/>
    <cellStyle name="Total 5 7 2 3 2 2" xfId="27355"/>
    <cellStyle name="Total 5 7 2 3 2 2 2" xfId="56534"/>
    <cellStyle name="Total 5 7 2 3 2 3" xfId="43584"/>
    <cellStyle name="Total 5 7 2 3 3" xfId="22927"/>
    <cellStyle name="Total 5 7 2 3 3 2" xfId="52106"/>
    <cellStyle name="Total 5 7 2 3 4" xfId="34609"/>
    <cellStyle name="Total 5 7 2 4" xfId="10159"/>
    <cellStyle name="Total 5 7 2 4 2" xfId="17869"/>
    <cellStyle name="Total 5 7 2 4 2 2" xfId="29411"/>
    <cellStyle name="Total 5 7 2 4 2 2 2" xfId="58590"/>
    <cellStyle name="Total 5 7 2 4 2 3" xfId="47050"/>
    <cellStyle name="Total 5 7 2 4 3" xfId="24983"/>
    <cellStyle name="Total 5 7 2 4 3 2" xfId="54162"/>
    <cellStyle name="Total 5 7 2 4 4" xfId="39342"/>
    <cellStyle name="Total 5 7 2 5" xfId="11995"/>
    <cellStyle name="Total 5 7 2 5 2" xfId="25915"/>
    <cellStyle name="Total 5 7 2 5 2 2" xfId="55094"/>
    <cellStyle name="Total 5 7 2 5 3" xfId="41176"/>
    <cellStyle name="Total 5 7 2 6" xfId="21487"/>
    <cellStyle name="Total 5 7 2 6 2" xfId="50666"/>
    <cellStyle name="Total 5 7 2 7" xfId="31342"/>
    <cellStyle name="Total 5 7 3" xfId="3059"/>
    <cellStyle name="Total 5 7 3 2" xfId="6146"/>
    <cellStyle name="Total 5 7 3 2 2" xfId="14964"/>
    <cellStyle name="Total 5 7 3 2 2 2" xfId="27715"/>
    <cellStyle name="Total 5 7 3 2 2 2 2" xfId="56894"/>
    <cellStyle name="Total 5 7 3 2 2 3" xfId="44145"/>
    <cellStyle name="Total 5 7 3 2 3" xfId="23287"/>
    <cellStyle name="Total 5 7 3 2 3 2" xfId="52466"/>
    <cellStyle name="Total 5 7 3 2 4" xfId="35329"/>
    <cellStyle name="Total 5 7 3 3" xfId="9173"/>
    <cellStyle name="Total 5 7 3 3 2" xfId="17173"/>
    <cellStyle name="Total 5 7 3 3 2 2" xfId="29022"/>
    <cellStyle name="Total 5 7 3 3 2 2 2" xfId="58201"/>
    <cellStyle name="Total 5 7 3 3 2 3" xfId="46354"/>
    <cellStyle name="Total 5 7 3 3 3" xfId="24594"/>
    <cellStyle name="Total 5 7 3 3 3 2" xfId="53773"/>
    <cellStyle name="Total 5 7 3 3 4" xfId="38356"/>
    <cellStyle name="Total 5 7 3 4" xfId="12631"/>
    <cellStyle name="Total 5 7 3 4 2" xfId="26275"/>
    <cellStyle name="Total 5 7 3 4 2 2" xfId="55454"/>
    <cellStyle name="Total 5 7 3 4 3" xfId="41812"/>
    <cellStyle name="Total 5 7 3 5" xfId="21847"/>
    <cellStyle name="Total 5 7 3 5 2" xfId="51026"/>
    <cellStyle name="Total 5 7 3 6" xfId="32242"/>
    <cellStyle name="Total 5 7 4" xfId="4706"/>
    <cellStyle name="Total 5 7 4 2" xfId="13844"/>
    <cellStyle name="Total 5 7 4 2 2" xfId="26995"/>
    <cellStyle name="Total 5 7 4 2 2 2" xfId="56174"/>
    <cellStyle name="Total 5 7 4 2 3" xfId="43025"/>
    <cellStyle name="Total 5 7 4 3" xfId="22567"/>
    <cellStyle name="Total 5 7 4 3 2" xfId="51746"/>
    <cellStyle name="Total 5 7 4 4" xfId="33889"/>
    <cellStyle name="Total 5 7 5" xfId="10147"/>
    <cellStyle name="Total 5 7 5 2" xfId="17858"/>
    <cellStyle name="Total 5 7 5 2 2" xfId="29406"/>
    <cellStyle name="Total 5 7 5 2 2 2" xfId="58585"/>
    <cellStyle name="Total 5 7 5 2 3" xfId="47039"/>
    <cellStyle name="Total 5 7 5 3" xfId="24978"/>
    <cellStyle name="Total 5 7 5 3 2" xfId="54157"/>
    <cellStyle name="Total 5 7 5 4" xfId="39330"/>
    <cellStyle name="Total 5 7 6" xfId="11366"/>
    <cellStyle name="Total 5 7 6 2" xfId="25555"/>
    <cellStyle name="Total 5 7 6 2 2" xfId="54734"/>
    <cellStyle name="Total 5 7 6 3" xfId="40547"/>
    <cellStyle name="Total 5 7 7" xfId="21127"/>
    <cellStyle name="Total 5 7 7 2" xfId="50306"/>
    <cellStyle name="Total 5 7 8" xfId="30442"/>
    <cellStyle name="Total 5 8" xfId="1439"/>
    <cellStyle name="Total 5 8 2" xfId="3239"/>
    <cellStyle name="Total 5 8 2 2" xfId="6290"/>
    <cellStyle name="Total 5 8 2 2 2" xfId="15073"/>
    <cellStyle name="Total 5 8 2 2 2 2" xfId="27787"/>
    <cellStyle name="Total 5 8 2 2 2 2 2" xfId="56966"/>
    <cellStyle name="Total 5 8 2 2 2 3" xfId="44254"/>
    <cellStyle name="Total 5 8 2 2 3" xfId="23359"/>
    <cellStyle name="Total 5 8 2 2 3 2" xfId="52538"/>
    <cellStyle name="Total 5 8 2 2 4" xfId="35473"/>
    <cellStyle name="Total 5 8 2 3" xfId="10227"/>
    <cellStyle name="Total 5 8 2 3 2" xfId="17920"/>
    <cellStyle name="Total 5 8 2 3 2 2" xfId="29442"/>
    <cellStyle name="Total 5 8 2 3 2 2 2" xfId="58621"/>
    <cellStyle name="Total 5 8 2 3 2 3" xfId="47101"/>
    <cellStyle name="Total 5 8 2 3 3" xfId="25014"/>
    <cellStyle name="Total 5 8 2 3 3 2" xfId="54193"/>
    <cellStyle name="Total 5 8 2 3 4" xfId="39410"/>
    <cellStyle name="Total 5 8 2 4" xfId="12758"/>
    <cellStyle name="Total 5 8 2 4 2" xfId="26347"/>
    <cellStyle name="Total 5 8 2 4 2 2" xfId="55526"/>
    <cellStyle name="Total 5 8 2 4 3" xfId="41939"/>
    <cellStyle name="Total 5 8 2 5" xfId="21919"/>
    <cellStyle name="Total 5 8 2 5 2" xfId="51098"/>
    <cellStyle name="Total 5 8 2 6" xfId="32422"/>
    <cellStyle name="Total 5 8 3" xfId="4850"/>
    <cellStyle name="Total 5 8 3 2" xfId="13949"/>
    <cellStyle name="Total 5 8 3 2 2" xfId="27067"/>
    <cellStyle name="Total 5 8 3 2 2 2" xfId="56246"/>
    <cellStyle name="Total 5 8 3 2 3" xfId="43130"/>
    <cellStyle name="Total 5 8 3 3" xfId="22639"/>
    <cellStyle name="Total 5 8 3 3 2" xfId="51818"/>
    <cellStyle name="Total 5 8 3 4" xfId="34033"/>
    <cellStyle name="Total 5 8 4" xfId="10012"/>
    <cellStyle name="Total 5 8 4 2" xfId="17768"/>
    <cellStyle name="Total 5 8 4 2 2" xfId="29350"/>
    <cellStyle name="Total 5 8 4 2 2 2" xfId="58529"/>
    <cellStyle name="Total 5 8 4 2 3" xfId="46949"/>
    <cellStyle name="Total 5 8 4 3" xfId="24922"/>
    <cellStyle name="Total 5 8 4 3 2" xfId="54101"/>
    <cellStyle name="Total 5 8 4 4" xfId="39195"/>
    <cellStyle name="Total 5 8 5" xfId="11487"/>
    <cellStyle name="Total 5 8 5 2" xfId="25627"/>
    <cellStyle name="Total 5 8 5 2 2" xfId="54806"/>
    <cellStyle name="Total 5 8 5 3" xfId="40668"/>
    <cellStyle name="Total 5 8 6" xfId="21199"/>
    <cellStyle name="Total 5 8 6 2" xfId="50378"/>
    <cellStyle name="Total 5 8 7" xfId="30622"/>
    <cellStyle name="Total 5 9" xfId="2339"/>
    <cellStyle name="Total 5 9 2" xfId="5570"/>
    <cellStyle name="Total 5 9 2 2" xfId="14515"/>
    <cellStyle name="Total 5 9 2 2 2" xfId="27427"/>
    <cellStyle name="Total 5 9 2 2 2 2" xfId="56606"/>
    <cellStyle name="Total 5 9 2 2 3" xfId="43696"/>
    <cellStyle name="Total 5 9 2 3" xfId="22999"/>
    <cellStyle name="Total 5 9 2 3 2" xfId="52178"/>
    <cellStyle name="Total 5 9 2 4" xfId="34753"/>
    <cellStyle name="Total 5 9 3" xfId="7657"/>
    <cellStyle name="Total 5 9 3 2" xfId="16086"/>
    <cellStyle name="Total 5 9 3 2 2" xfId="28424"/>
    <cellStyle name="Total 5 9 3 2 2 2" xfId="57603"/>
    <cellStyle name="Total 5 9 3 2 3" xfId="45267"/>
    <cellStyle name="Total 5 9 3 3" xfId="23996"/>
    <cellStyle name="Total 5 9 3 3 2" xfId="53175"/>
    <cellStyle name="Total 5 9 3 4" xfId="36840"/>
    <cellStyle name="Total 5 9 4" xfId="12119"/>
    <cellStyle name="Total 5 9 4 2" xfId="25987"/>
    <cellStyle name="Total 5 9 4 2 2" xfId="55166"/>
    <cellStyle name="Total 5 9 4 3" xfId="41300"/>
    <cellStyle name="Total 5 9 5" xfId="21559"/>
    <cellStyle name="Total 5 9 5 2" xfId="50738"/>
    <cellStyle name="Total 5 9 6" xfId="31522"/>
    <cellStyle name="Total 6" xfId="417"/>
    <cellStyle name="Total 6 10" xfId="4131"/>
    <cellStyle name="Total 6 10 2" xfId="13395"/>
    <cellStyle name="Total 6 10 2 2" xfId="26708"/>
    <cellStyle name="Total 6 10 2 2 2" xfId="55887"/>
    <cellStyle name="Total 6 10 2 3" xfId="42576"/>
    <cellStyle name="Total 6 10 3" xfId="22280"/>
    <cellStyle name="Total 6 10 3 2" xfId="51459"/>
    <cellStyle name="Total 6 10 4" xfId="33314"/>
    <cellStyle name="Total 6 11" xfId="10742"/>
    <cellStyle name="Total 6 11 2" xfId="25168"/>
    <cellStyle name="Total 6 11 2 2" xfId="54347"/>
    <cellStyle name="Total 6 11 3" xfId="39923"/>
    <cellStyle name="Total 6 12" xfId="20740"/>
    <cellStyle name="Total 6 12 2" xfId="49919"/>
    <cellStyle name="Total 6 13" xfId="58760"/>
    <cellStyle name="Total 6 14" xfId="29623"/>
    <cellStyle name="Total 6 2" xfId="462"/>
    <cellStyle name="Total 6 2 10" xfId="10533"/>
    <cellStyle name="Total 6 2 10 2" xfId="18131"/>
    <cellStyle name="Total 6 2 10 2 2" xfId="29555"/>
    <cellStyle name="Total 6 2 10 2 2 2" xfId="58734"/>
    <cellStyle name="Total 6 2 10 2 3" xfId="47312"/>
    <cellStyle name="Total 6 2 10 3" xfId="25127"/>
    <cellStyle name="Total 6 2 10 3 2" xfId="54306"/>
    <cellStyle name="Total 6 2 10 4" xfId="39716"/>
    <cellStyle name="Total 6 2 11" xfId="10776"/>
    <cellStyle name="Total 6 2 11 2" xfId="25186"/>
    <cellStyle name="Total 6 2 11 2 2" xfId="54365"/>
    <cellStyle name="Total 6 2 11 3" xfId="39957"/>
    <cellStyle name="Total 6 2 12" xfId="20758"/>
    <cellStyle name="Total 6 2 12 2" xfId="49937"/>
    <cellStyle name="Total 6 2 13" xfId="58805"/>
    <cellStyle name="Total 6 2 14" xfId="29668"/>
    <cellStyle name="Total 6 2 2" xfId="552"/>
    <cellStyle name="Total 6 2 2 10" xfId="10839"/>
    <cellStyle name="Total 6 2 2 10 2" xfId="25222"/>
    <cellStyle name="Total 6 2 2 10 2 2" xfId="54401"/>
    <cellStyle name="Total 6 2 2 10 3" xfId="40020"/>
    <cellStyle name="Total 6 2 2 11" xfId="20794"/>
    <cellStyle name="Total 6 2 2 11 2" xfId="49973"/>
    <cellStyle name="Total 6 2 2 12" xfId="29758"/>
    <cellStyle name="Total 6 2 2 2" xfId="905"/>
    <cellStyle name="Total 6 2 2 2 2" xfId="1843"/>
    <cellStyle name="Total 6 2 2 2 2 2" xfId="3643"/>
    <cellStyle name="Total 6 2 2 2 2 2 2" xfId="6613"/>
    <cellStyle name="Total 6 2 2 2 2 2 2 2" xfId="15325"/>
    <cellStyle name="Total 6 2 2 2 2 2 2 2 2" xfId="27930"/>
    <cellStyle name="Total 6 2 2 2 2 2 2 2 2 2" xfId="57109"/>
    <cellStyle name="Total 6 2 2 2 2 2 2 2 3" xfId="44506"/>
    <cellStyle name="Total 6 2 2 2 2 2 2 3" xfId="23502"/>
    <cellStyle name="Total 6 2 2 2 2 2 2 3 2" xfId="52681"/>
    <cellStyle name="Total 6 2 2 2 2 2 2 4" xfId="35796"/>
    <cellStyle name="Total 6 2 2 2 2 2 3" xfId="10082"/>
    <cellStyle name="Total 6 2 2 2 2 2 3 2" xfId="17814"/>
    <cellStyle name="Total 6 2 2 2 2 2 3 2 2" xfId="29378"/>
    <cellStyle name="Total 6 2 2 2 2 2 3 2 2 2" xfId="58557"/>
    <cellStyle name="Total 6 2 2 2 2 2 3 2 3" xfId="46995"/>
    <cellStyle name="Total 6 2 2 2 2 2 3 3" xfId="24950"/>
    <cellStyle name="Total 6 2 2 2 2 2 3 3 2" xfId="54129"/>
    <cellStyle name="Total 6 2 2 2 2 2 3 4" xfId="39265"/>
    <cellStyle name="Total 6 2 2 2 2 2 4" xfId="13044"/>
    <cellStyle name="Total 6 2 2 2 2 2 4 2" xfId="26490"/>
    <cellStyle name="Total 6 2 2 2 2 2 4 2 2" xfId="55669"/>
    <cellStyle name="Total 6 2 2 2 2 2 4 3" xfId="42225"/>
    <cellStyle name="Total 6 2 2 2 2 2 5" xfId="22062"/>
    <cellStyle name="Total 6 2 2 2 2 2 5 2" xfId="51241"/>
    <cellStyle name="Total 6 2 2 2 2 2 6" xfId="32826"/>
    <cellStyle name="Total 6 2 2 2 2 3" xfId="5173"/>
    <cellStyle name="Total 6 2 2 2 2 3 2" xfId="14203"/>
    <cellStyle name="Total 6 2 2 2 2 3 2 2" xfId="27210"/>
    <cellStyle name="Total 6 2 2 2 2 3 2 2 2" xfId="56389"/>
    <cellStyle name="Total 6 2 2 2 2 3 2 3" xfId="43384"/>
    <cellStyle name="Total 6 2 2 2 2 3 3" xfId="22782"/>
    <cellStyle name="Total 6 2 2 2 2 3 3 2" xfId="51961"/>
    <cellStyle name="Total 6 2 2 2 2 3 4" xfId="34356"/>
    <cellStyle name="Total 6 2 2 2 2 4" xfId="10025"/>
    <cellStyle name="Total 6 2 2 2 2 4 2" xfId="17779"/>
    <cellStyle name="Total 6 2 2 2 2 4 2 2" xfId="29356"/>
    <cellStyle name="Total 6 2 2 2 2 4 2 2 2" xfId="58535"/>
    <cellStyle name="Total 6 2 2 2 2 4 2 3" xfId="46960"/>
    <cellStyle name="Total 6 2 2 2 2 4 3" xfId="24928"/>
    <cellStyle name="Total 6 2 2 2 2 4 3 2" xfId="54107"/>
    <cellStyle name="Total 6 2 2 2 2 4 4" xfId="39208"/>
    <cellStyle name="Total 6 2 2 2 2 5" xfId="11768"/>
    <cellStyle name="Total 6 2 2 2 2 5 2" xfId="25770"/>
    <cellStyle name="Total 6 2 2 2 2 5 2 2" xfId="54949"/>
    <cellStyle name="Total 6 2 2 2 2 5 3" xfId="40949"/>
    <cellStyle name="Total 6 2 2 2 2 6" xfId="21342"/>
    <cellStyle name="Total 6 2 2 2 2 6 2" xfId="50521"/>
    <cellStyle name="Total 6 2 2 2 2 7" xfId="31026"/>
    <cellStyle name="Total 6 2 2 2 3" xfId="2743"/>
    <cellStyle name="Total 6 2 2 2 3 2" xfId="5893"/>
    <cellStyle name="Total 6 2 2 2 3 2 2" xfId="14768"/>
    <cellStyle name="Total 6 2 2 2 3 2 2 2" xfId="27570"/>
    <cellStyle name="Total 6 2 2 2 3 2 2 2 2" xfId="56749"/>
    <cellStyle name="Total 6 2 2 2 3 2 2 3" xfId="43949"/>
    <cellStyle name="Total 6 2 2 2 3 2 3" xfId="23142"/>
    <cellStyle name="Total 6 2 2 2 3 2 3 2" xfId="52321"/>
    <cellStyle name="Total 6 2 2 2 3 2 4" xfId="35076"/>
    <cellStyle name="Total 6 2 2 2 3 3" xfId="9232"/>
    <cellStyle name="Total 6 2 2 2 3 3 2" xfId="17215"/>
    <cellStyle name="Total 6 2 2 2 3 3 2 2" xfId="29041"/>
    <cellStyle name="Total 6 2 2 2 3 3 2 2 2" xfId="58220"/>
    <cellStyle name="Total 6 2 2 2 3 3 2 3" xfId="46396"/>
    <cellStyle name="Total 6 2 2 2 3 3 3" xfId="24613"/>
    <cellStyle name="Total 6 2 2 2 3 3 3 2" xfId="53792"/>
    <cellStyle name="Total 6 2 2 2 3 3 4" xfId="38415"/>
    <cellStyle name="Total 6 2 2 2 3 4" xfId="12409"/>
    <cellStyle name="Total 6 2 2 2 3 4 2" xfId="26130"/>
    <cellStyle name="Total 6 2 2 2 3 4 2 2" xfId="55309"/>
    <cellStyle name="Total 6 2 2 2 3 4 3" xfId="41590"/>
    <cellStyle name="Total 6 2 2 2 3 5" xfId="21702"/>
    <cellStyle name="Total 6 2 2 2 3 5 2" xfId="50881"/>
    <cellStyle name="Total 6 2 2 2 3 6" xfId="31926"/>
    <cellStyle name="Total 6 2 2 2 4" xfId="4453"/>
    <cellStyle name="Total 6 2 2 2 4 2" xfId="13646"/>
    <cellStyle name="Total 6 2 2 2 4 2 2" xfId="26850"/>
    <cellStyle name="Total 6 2 2 2 4 2 2 2" xfId="56029"/>
    <cellStyle name="Total 6 2 2 2 4 2 3" xfId="42827"/>
    <cellStyle name="Total 6 2 2 2 4 3" xfId="22422"/>
    <cellStyle name="Total 6 2 2 2 4 3 2" xfId="51601"/>
    <cellStyle name="Total 6 2 2 2 4 4" xfId="33636"/>
    <cellStyle name="Total 6 2 2 2 5" xfId="9683"/>
    <cellStyle name="Total 6 2 2 2 5 2" xfId="17532"/>
    <cellStyle name="Total 6 2 2 2 5 2 2" xfId="29223"/>
    <cellStyle name="Total 6 2 2 2 5 2 2 2" xfId="58402"/>
    <cellStyle name="Total 6 2 2 2 5 2 3" xfId="46713"/>
    <cellStyle name="Total 6 2 2 2 5 3" xfId="24795"/>
    <cellStyle name="Total 6 2 2 2 5 3 2" xfId="53974"/>
    <cellStyle name="Total 6 2 2 2 5 4" xfId="38866"/>
    <cellStyle name="Total 6 2 2 2 6" xfId="11109"/>
    <cellStyle name="Total 6 2 2 2 6 2" xfId="25386"/>
    <cellStyle name="Total 6 2 2 2 6 2 2" xfId="54565"/>
    <cellStyle name="Total 6 2 2 2 6 3" xfId="40290"/>
    <cellStyle name="Total 6 2 2 2 7" xfId="20958"/>
    <cellStyle name="Total 6 2 2 2 7 2" xfId="50137"/>
    <cellStyle name="Total 6 2 2 2 8" xfId="30102"/>
    <cellStyle name="Total 6 2 2 3" xfId="1097"/>
    <cellStyle name="Total 6 2 2 3 2" xfId="2007"/>
    <cellStyle name="Total 6 2 2 3 2 2" xfId="3807"/>
    <cellStyle name="Total 6 2 2 3 2 2 2" xfId="6741"/>
    <cellStyle name="Total 6 2 2 3 2 2 2 2" xfId="15427"/>
    <cellStyle name="Total 6 2 2 3 2 2 2 2 2" xfId="28004"/>
    <cellStyle name="Total 6 2 2 3 2 2 2 2 2 2" xfId="57183"/>
    <cellStyle name="Total 6 2 2 3 2 2 2 2 3" xfId="44608"/>
    <cellStyle name="Total 6 2 2 3 2 2 2 3" xfId="23576"/>
    <cellStyle name="Total 6 2 2 3 2 2 2 3 2" xfId="52755"/>
    <cellStyle name="Total 6 2 2 3 2 2 2 4" xfId="35924"/>
    <cellStyle name="Total 6 2 2 3 2 2 3" xfId="9037"/>
    <cellStyle name="Total 6 2 2 3 2 2 3 2" xfId="17078"/>
    <cellStyle name="Total 6 2 2 3 2 2 3 2 2" xfId="28969"/>
    <cellStyle name="Total 6 2 2 3 2 2 3 2 2 2" xfId="58148"/>
    <cellStyle name="Total 6 2 2 3 2 2 3 2 3" xfId="46259"/>
    <cellStyle name="Total 6 2 2 3 2 2 3 3" xfId="24541"/>
    <cellStyle name="Total 6 2 2 3 2 2 3 3 2" xfId="53720"/>
    <cellStyle name="Total 6 2 2 3 2 2 3 4" xfId="38220"/>
    <cellStyle name="Total 6 2 2 3 2 2 4" xfId="13164"/>
    <cellStyle name="Total 6 2 2 3 2 2 4 2" xfId="26564"/>
    <cellStyle name="Total 6 2 2 3 2 2 4 2 2" xfId="55743"/>
    <cellStyle name="Total 6 2 2 3 2 2 4 3" xfId="42345"/>
    <cellStyle name="Total 6 2 2 3 2 2 5" xfId="22136"/>
    <cellStyle name="Total 6 2 2 3 2 2 5 2" xfId="51315"/>
    <cellStyle name="Total 6 2 2 3 2 2 6" xfId="32990"/>
    <cellStyle name="Total 6 2 2 3 2 3" xfId="5301"/>
    <cellStyle name="Total 6 2 2 3 2 3 2" xfId="14306"/>
    <cellStyle name="Total 6 2 2 3 2 3 2 2" xfId="27284"/>
    <cellStyle name="Total 6 2 2 3 2 3 2 2 2" xfId="56463"/>
    <cellStyle name="Total 6 2 2 3 2 3 2 3" xfId="43487"/>
    <cellStyle name="Total 6 2 2 3 2 3 3" xfId="22856"/>
    <cellStyle name="Total 6 2 2 3 2 3 3 2" xfId="52035"/>
    <cellStyle name="Total 6 2 2 3 2 3 4" xfId="34484"/>
    <cellStyle name="Total 6 2 2 3 2 4" xfId="9928"/>
    <cellStyle name="Total 6 2 2 3 2 4 2" xfId="17711"/>
    <cellStyle name="Total 6 2 2 3 2 4 2 2" xfId="29320"/>
    <cellStyle name="Total 6 2 2 3 2 4 2 2 2" xfId="58499"/>
    <cellStyle name="Total 6 2 2 3 2 4 2 3" xfId="46892"/>
    <cellStyle name="Total 6 2 2 3 2 4 3" xfId="24892"/>
    <cellStyle name="Total 6 2 2 3 2 4 3 2" xfId="54071"/>
    <cellStyle name="Total 6 2 2 3 2 4 4" xfId="39111"/>
    <cellStyle name="Total 6 2 2 3 2 5" xfId="11888"/>
    <cellStyle name="Total 6 2 2 3 2 5 2" xfId="25844"/>
    <cellStyle name="Total 6 2 2 3 2 5 2 2" xfId="55023"/>
    <cellStyle name="Total 6 2 2 3 2 5 3" xfId="41069"/>
    <cellStyle name="Total 6 2 2 3 2 6" xfId="21416"/>
    <cellStyle name="Total 6 2 2 3 2 6 2" xfId="50595"/>
    <cellStyle name="Total 6 2 2 3 2 7" xfId="31190"/>
    <cellStyle name="Total 6 2 2 3 3" xfId="2907"/>
    <cellStyle name="Total 6 2 2 3 3 2" xfId="6021"/>
    <cellStyle name="Total 6 2 2 3 3 2 2" xfId="14867"/>
    <cellStyle name="Total 6 2 2 3 3 2 2 2" xfId="27644"/>
    <cellStyle name="Total 6 2 2 3 3 2 2 2 2" xfId="56823"/>
    <cellStyle name="Total 6 2 2 3 3 2 2 3" xfId="44048"/>
    <cellStyle name="Total 6 2 2 3 3 2 3" xfId="23216"/>
    <cellStyle name="Total 6 2 2 3 3 2 3 2" xfId="52395"/>
    <cellStyle name="Total 6 2 2 3 3 2 4" xfId="35204"/>
    <cellStyle name="Total 6 2 2 3 3 3" xfId="9180"/>
    <cellStyle name="Total 6 2 2 3 3 3 2" xfId="17180"/>
    <cellStyle name="Total 6 2 2 3 3 3 2 2" xfId="29025"/>
    <cellStyle name="Total 6 2 2 3 3 3 2 2 2" xfId="58204"/>
    <cellStyle name="Total 6 2 2 3 3 3 2 3" xfId="46361"/>
    <cellStyle name="Total 6 2 2 3 3 3 3" xfId="24597"/>
    <cellStyle name="Total 6 2 2 3 3 3 3 2" xfId="53776"/>
    <cellStyle name="Total 6 2 2 3 3 3 4" xfId="38363"/>
    <cellStyle name="Total 6 2 2 3 3 4" xfId="12524"/>
    <cellStyle name="Total 6 2 2 3 3 4 2" xfId="26204"/>
    <cellStyle name="Total 6 2 2 3 3 4 2 2" xfId="55383"/>
    <cellStyle name="Total 6 2 2 3 3 4 3" xfId="41705"/>
    <cellStyle name="Total 6 2 2 3 3 5" xfId="21776"/>
    <cellStyle name="Total 6 2 2 3 3 5 2" xfId="50955"/>
    <cellStyle name="Total 6 2 2 3 3 6" xfId="32090"/>
    <cellStyle name="Total 6 2 2 3 4" xfId="4581"/>
    <cellStyle name="Total 6 2 2 3 4 2" xfId="13747"/>
    <cellStyle name="Total 6 2 2 3 4 2 2" xfId="26924"/>
    <cellStyle name="Total 6 2 2 3 4 2 2 2" xfId="56103"/>
    <cellStyle name="Total 6 2 2 3 4 2 3" xfId="42928"/>
    <cellStyle name="Total 6 2 2 3 4 3" xfId="22496"/>
    <cellStyle name="Total 6 2 2 3 4 3 2" xfId="51675"/>
    <cellStyle name="Total 6 2 2 3 4 4" xfId="33764"/>
    <cellStyle name="Total 6 2 2 3 5" xfId="10149"/>
    <cellStyle name="Total 6 2 2 3 5 2" xfId="17860"/>
    <cellStyle name="Total 6 2 2 3 5 2 2" xfId="29407"/>
    <cellStyle name="Total 6 2 2 3 5 2 2 2" xfId="58586"/>
    <cellStyle name="Total 6 2 2 3 5 2 3" xfId="47041"/>
    <cellStyle name="Total 6 2 2 3 5 3" xfId="24979"/>
    <cellStyle name="Total 6 2 2 3 5 3 2" xfId="54158"/>
    <cellStyle name="Total 6 2 2 3 5 4" xfId="39332"/>
    <cellStyle name="Total 6 2 2 3 6" xfId="11252"/>
    <cellStyle name="Total 6 2 2 3 6 2" xfId="25481"/>
    <cellStyle name="Total 6 2 2 3 6 2 2" xfId="54660"/>
    <cellStyle name="Total 6 2 2 3 6 3" xfId="40433"/>
    <cellStyle name="Total 6 2 2 3 7" xfId="21053"/>
    <cellStyle name="Total 6 2 2 3 7 2" xfId="50232"/>
    <cellStyle name="Total 6 2 2 3 8" xfId="30287"/>
    <cellStyle name="Total 6 2 2 4" xfId="1247"/>
    <cellStyle name="Total 6 2 2 4 2" xfId="2151"/>
    <cellStyle name="Total 6 2 2 4 2 2" xfId="3951"/>
    <cellStyle name="Total 6 2 2 4 2 2 2" xfId="6858"/>
    <cellStyle name="Total 6 2 2 4 2 2 2 2" xfId="15517"/>
    <cellStyle name="Total 6 2 2 4 2 2 2 2 2" xfId="28067"/>
    <cellStyle name="Total 6 2 2 4 2 2 2 2 2 2" xfId="57246"/>
    <cellStyle name="Total 6 2 2 4 2 2 2 2 3" xfId="44698"/>
    <cellStyle name="Total 6 2 2 4 2 2 2 3" xfId="23639"/>
    <cellStyle name="Total 6 2 2 4 2 2 2 3 2" xfId="52818"/>
    <cellStyle name="Total 6 2 2 4 2 2 2 4" xfId="36041"/>
    <cellStyle name="Total 6 2 2 4 2 2 3" xfId="7129"/>
    <cellStyle name="Total 6 2 2 4 2 2 3 2" xfId="15719"/>
    <cellStyle name="Total 6 2 2 4 2 2 3 2 2" xfId="28201"/>
    <cellStyle name="Total 6 2 2 4 2 2 3 2 2 2" xfId="57380"/>
    <cellStyle name="Total 6 2 2 4 2 2 3 2 3" xfId="44900"/>
    <cellStyle name="Total 6 2 2 4 2 2 3 3" xfId="23773"/>
    <cellStyle name="Total 6 2 2 4 2 2 3 3 2" xfId="52952"/>
    <cellStyle name="Total 6 2 2 4 2 2 3 4" xfId="36312"/>
    <cellStyle name="Total 6 2 2 4 2 2 4" xfId="13262"/>
    <cellStyle name="Total 6 2 2 4 2 2 4 2" xfId="26627"/>
    <cellStyle name="Total 6 2 2 4 2 2 4 2 2" xfId="55806"/>
    <cellStyle name="Total 6 2 2 4 2 2 4 3" xfId="42443"/>
    <cellStyle name="Total 6 2 2 4 2 2 5" xfId="22199"/>
    <cellStyle name="Total 6 2 2 4 2 2 5 2" xfId="51378"/>
    <cellStyle name="Total 6 2 2 4 2 2 6" xfId="33134"/>
    <cellStyle name="Total 6 2 2 4 2 3" xfId="5418"/>
    <cellStyle name="Total 6 2 2 4 2 3 2" xfId="14395"/>
    <cellStyle name="Total 6 2 2 4 2 3 2 2" xfId="27347"/>
    <cellStyle name="Total 6 2 2 4 2 3 2 2 2" xfId="56526"/>
    <cellStyle name="Total 6 2 2 4 2 3 2 3" xfId="43576"/>
    <cellStyle name="Total 6 2 2 4 2 3 3" xfId="22919"/>
    <cellStyle name="Total 6 2 2 4 2 3 3 2" xfId="52098"/>
    <cellStyle name="Total 6 2 2 4 2 3 4" xfId="34601"/>
    <cellStyle name="Total 6 2 2 4 2 4" xfId="7792"/>
    <cellStyle name="Total 6 2 2 4 2 4 2" xfId="16178"/>
    <cellStyle name="Total 6 2 2 4 2 4 2 2" xfId="28474"/>
    <cellStyle name="Total 6 2 2 4 2 4 2 2 2" xfId="57653"/>
    <cellStyle name="Total 6 2 2 4 2 4 2 3" xfId="45359"/>
    <cellStyle name="Total 6 2 2 4 2 4 3" xfId="24046"/>
    <cellStyle name="Total 6 2 2 4 2 4 3 2" xfId="53225"/>
    <cellStyle name="Total 6 2 2 4 2 4 4" xfId="36975"/>
    <cellStyle name="Total 6 2 2 4 2 5" xfId="11987"/>
    <cellStyle name="Total 6 2 2 4 2 5 2" xfId="25907"/>
    <cellStyle name="Total 6 2 2 4 2 5 2 2" xfId="55086"/>
    <cellStyle name="Total 6 2 2 4 2 5 3" xfId="41168"/>
    <cellStyle name="Total 6 2 2 4 2 6" xfId="21479"/>
    <cellStyle name="Total 6 2 2 4 2 6 2" xfId="50658"/>
    <cellStyle name="Total 6 2 2 4 2 7" xfId="31334"/>
    <cellStyle name="Total 6 2 2 4 3" xfId="3051"/>
    <cellStyle name="Total 6 2 2 4 3 2" xfId="6138"/>
    <cellStyle name="Total 6 2 2 4 3 2 2" xfId="14956"/>
    <cellStyle name="Total 6 2 2 4 3 2 2 2" xfId="27707"/>
    <cellStyle name="Total 6 2 2 4 3 2 2 2 2" xfId="56886"/>
    <cellStyle name="Total 6 2 2 4 3 2 2 3" xfId="44137"/>
    <cellStyle name="Total 6 2 2 4 3 2 3" xfId="23279"/>
    <cellStyle name="Total 6 2 2 4 3 2 3 2" xfId="52458"/>
    <cellStyle name="Total 6 2 2 4 3 2 4" xfId="35321"/>
    <cellStyle name="Total 6 2 2 4 3 3" xfId="8592"/>
    <cellStyle name="Total 6 2 2 4 3 3 2" xfId="16745"/>
    <cellStyle name="Total 6 2 2 4 3 3 2 2" xfId="28781"/>
    <cellStyle name="Total 6 2 2 4 3 3 2 2 2" xfId="57960"/>
    <cellStyle name="Total 6 2 2 4 3 3 2 3" xfId="45926"/>
    <cellStyle name="Total 6 2 2 4 3 3 3" xfId="24353"/>
    <cellStyle name="Total 6 2 2 4 3 3 3 2" xfId="53532"/>
    <cellStyle name="Total 6 2 2 4 3 3 4" xfId="37775"/>
    <cellStyle name="Total 6 2 2 4 3 4" xfId="12623"/>
    <cellStyle name="Total 6 2 2 4 3 4 2" xfId="26267"/>
    <cellStyle name="Total 6 2 2 4 3 4 2 2" xfId="55446"/>
    <cellStyle name="Total 6 2 2 4 3 4 3" xfId="41804"/>
    <cellStyle name="Total 6 2 2 4 3 5" xfId="21839"/>
    <cellStyle name="Total 6 2 2 4 3 5 2" xfId="51018"/>
    <cellStyle name="Total 6 2 2 4 3 6" xfId="32234"/>
    <cellStyle name="Total 6 2 2 4 4" xfId="4698"/>
    <cellStyle name="Total 6 2 2 4 4 2" xfId="13836"/>
    <cellStyle name="Total 6 2 2 4 4 2 2" xfId="26987"/>
    <cellStyle name="Total 6 2 2 4 4 2 2 2" xfId="56166"/>
    <cellStyle name="Total 6 2 2 4 4 2 3" xfId="43017"/>
    <cellStyle name="Total 6 2 2 4 4 3" xfId="22559"/>
    <cellStyle name="Total 6 2 2 4 4 3 2" xfId="51738"/>
    <cellStyle name="Total 6 2 2 4 4 4" xfId="33881"/>
    <cellStyle name="Total 6 2 2 4 5" xfId="8215"/>
    <cellStyle name="Total 6 2 2 4 5 2" xfId="16480"/>
    <cellStyle name="Total 6 2 2 4 5 2 2" xfId="28640"/>
    <cellStyle name="Total 6 2 2 4 5 2 2 2" xfId="57819"/>
    <cellStyle name="Total 6 2 2 4 5 2 3" xfId="45661"/>
    <cellStyle name="Total 6 2 2 4 5 3" xfId="24212"/>
    <cellStyle name="Total 6 2 2 4 5 3 2" xfId="53391"/>
    <cellStyle name="Total 6 2 2 4 5 4" xfId="37398"/>
    <cellStyle name="Total 6 2 2 4 6" xfId="11357"/>
    <cellStyle name="Total 6 2 2 4 6 2" xfId="25547"/>
    <cellStyle name="Total 6 2 2 4 6 2 2" xfId="54726"/>
    <cellStyle name="Total 6 2 2 4 6 3" xfId="40538"/>
    <cellStyle name="Total 6 2 2 4 7" xfId="21119"/>
    <cellStyle name="Total 6 2 2 4 7 2" xfId="50298"/>
    <cellStyle name="Total 6 2 2 4 8" xfId="30434"/>
    <cellStyle name="Total 6 2 2 5" xfId="1393"/>
    <cellStyle name="Total 6 2 2 5 2" xfId="2295"/>
    <cellStyle name="Total 6 2 2 5 2 2" xfId="4095"/>
    <cellStyle name="Total 6 2 2 5 2 2 2" xfId="6975"/>
    <cellStyle name="Total 6 2 2 5 2 2 2 2" xfId="15607"/>
    <cellStyle name="Total 6 2 2 5 2 2 2 2 2" xfId="28130"/>
    <cellStyle name="Total 6 2 2 5 2 2 2 2 2 2" xfId="57309"/>
    <cellStyle name="Total 6 2 2 5 2 2 2 2 3" xfId="44788"/>
    <cellStyle name="Total 6 2 2 5 2 2 2 3" xfId="23702"/>
    <cellStyle name="Total 6 2 2 5 2 2 2 3 2" xfId="52881"/>
    <cellStyle name="Total 6 2 2 5 2 2 2 4" xfId="36158"/>
    <cellStyle name="Total 6 2 2 5 2 2 3" xfId="6985"/>
    <cellStyle name="Total 6 2 2 5 2 2 3 2" xfId="15615"/>
    <cellStyle name="Total 6 2 2 5 2 2 3 2 2" xfId="28138"/>
    <cellStyle name="Total 6 2 2 5 2 2 3 2 2 2" xfId="57317"/>
    <cellStyle name="Total 6 2 2 5 2 2 3 2 3" xfId="44796"/>
    <cellStyle name="Total 6 2 2 5 2 2 3 3" xfId="23710"/>
    <cellStyle name="Total 6 2 2 5 2 2 3 3 2" xfId="52889"/>
    <cellStyle name="Total 6 2 2 5 2 2 3 4" xfId="36168"/>
    <cellStyle name="Total 6 2 2 5 2 2 4" xfId="13367"/>
    <cellStyle name="Total 6 2 2 5 2 2 4 2" xfId="26690"/>
    <cellStyle name="Total 6 2 2 5 2 2 4 2 2" xfId="55869"/>
    <cellStyle name="Total 6 2 2 5 2 2 4 3" xfId="42548"/>
    <cellStyle name="Total 6 2 2 5 2 2 5" xfId="22262"/>
    <cellStyle name="Total 6 2 2 5 2 2 5 2" xfId="51441"/>
    <cellStyle name="Total 6 2 2 5 2 2 6" xfId="33278"/>
    <cellStyle name="Total 6 2 2 5 2 3" xfId="5535"/>
    <cellStyle name="Total 6 2 2 5 2 3 2" xfId="14488"/>
    <cellStyle name="Total 6 2 2 5 2 3 2 2" xfId="27410"/>
    <cellStyle name="Total 6 2 2 5 2 3 2 2 2" xfId="56589"/>
    <cellStyle name="Total 6 2 2 5 2 3 2 3" xfId="43669"/>
    <cellStyle name="Total 6 2 2 5 2 3 3" xfId="22982"/>
    <cellStyle name="Total 6 2 2 5 2 3 3 2" xfId="52161"/>
    <cellStyle name="Total 6 2 2 5 2 3 4" xfId="34718"/>
    <cellStyle name="Total 6 2 2 5 2 4" xfId="7285"/>
    <cellStyle name="Total 6 2 2 5 2 4 2" xfId="15828"/>
    <cellStyle name="Total 6 2 2 5 2 4 2 2" xfId="28270"/>
    <cellStyle name="Total 6 2 2 5 2 4 2 2 2" xfId="57449"/>
    <cellStyle name="Total 6 2 2 5 2 4 2 3" xfId="45009"/>
    <cellStyle name="Total 6 2 2 5 2 4 3" xfId="23842"/>
    <cellStyle name="Total 6 2 2 5 2 4 3 2" xfId="53021"/>
    <cellStyle name="Total 6 2 2 5 2 4 4" xfId="36468"/>
    <cellStyle name="Total 6 2 2 5 2 5" xfId="12088"/>
    <cellStyle name="Total 6 2 2 5 2 5 2" xfId="25970"/>
    <cellStyle name="Total 6 2 2 5 2 5 2 2" xfId="55149"/>
    <cellStyle name="Total 6 2 2 5 2 5 3" xfId="41269"/>
    <cellStyle name="Total 6 2 2 5 2 6" xfId="21542"/>
    <cellStyle name="Total 6 2 2 5 2 6 2" xfId="50721"/>
    <cellStyle name="Total 6 2 2 5 2 7" xfId="31478"/>
    <cellStyle name="Total 6 2 2 5 3" xfId="3195"/>
    <cellStyle name="Total 6 2 2 5 3 2" xfId="6255"/>
    <cellStyle name="Total 6 2 2 5 3 2 2" xfId="15048"/>
    <cellStyle name="Total 6 2 2 5 3 2 2 2" xfId="27770"/>
    <cellStyle name="Total 6 2 2 5 3 2 2 2 2" xfId="56949"/>
    <cellStyle name="Total 6 2 2 5 3 2 2 3" xfId="44229"/>
    <cellStyle name="Total 6 2 2 5 3 2 3" xfId="23342"/>
    <cellStyle name="Total 6 2 2 5 3 2 3 2" xfId="52521"/>
    <cellStyle name="Total 6 2 2 5 3 2 4" xfId="35438"/>
    <cellStyle name="Total 6 2 2 5 3 3" xfId="7174"/>
    <cellStyle name="Total 6 2 2 5 3 3 2" xfId="15750"/>
    <cellStyle name="Total 6 2 2 5 3 3 2 2" xfId="28222"/>
    <cellStyle name="Total 6 2 2 5 3 3 2 2 2" xfId="57401"/>
    <cellStyle name="Total 6 2 2 5 3 3 2 3" xfId="44931"/>
    <cellStyle name="Total 6 2 2 5 3 3 3" xfId="23794"/>
    <cellStyle name="Total 6 2 2 5 3 3 3 2" xfId="52973"/>
    <cellStyle name="Total 6 2 2 5 3 3 4" xfId="36357"/>
    <cellStyle name="Total 6 2 2 5 3 4" xfId="12729"/>
    <cellStyle name="Total 6 2 2 5 3 4 2" xfId="26330"/>
    <cellStyle name="Total 6 2 2 5 3 4 2 2" xfId="55509"/>
    <cellStyle name="Total 6 2 2 5 3 4 3" xfId="41910"/>
    <cellStyle name="Total 6 2 2 5 3 5" xfId="21902"/>
    <cellStyle name="Total 6 2 2 5 3 5 2" xfId="51081"/>
    <cellStyle name="Total 6 2 2 5 3 6" xfId="32378"/>
    <cellStyle name="Total 6 2 2 5 4" xfId="4815"/>
    <cellStyle name="Total 6 2 2 5 4 2" xfId="13924"/>
    <cellStyle name="Total 6 2 2 5 4 2 2" xfId="27050"/>
    <cellStyle name="Total 6 2 2 5 4 2 2 2" xfId="56229"/>
    <cellStyle name="Total 6 2 2 5 4 2 3" xfId="43105"/>
    <cellStyle name="Total 6 2 2 5 4 3" xfId="22622"/>
    <cellStyle name="Total 6 2 2 5 4 3 2" xfId="51801"/>
    <cellStyle name="Total 6 2 2 5 4 4" xfId="33998"/>
    <cellStyle name="Total 6 2 2 5 5" xfId="9441"/>
    <cellStyle name="Total 6 2 2 5 5 2" xfId="17361"/>
    <cellStyle name="Total 6 2 2 5 5 2 2" xfId="29125"/>
    <cellStyle name="Total 6 2 2 5 5 2 2 2" xfId="58304"/>
    <cellStyle name="Total 6 2 2 5 5 2 3" xfId="46542"/>
    <cellStyle name="Total 6 2 2 5 5 3" xfId="24697"/>
    <cellStyle name="Total 6 2 2 5 5 3 2" xfId="53876"/>
    <cellStyle name="Total 6 2 2 5 5 4" xfId="38624"/>
    <cellStyle name="Total 6 2 2 5 6" xfId="11457"/>
    <cellStyle name="Total 6 2 2 5 6 2" xfId="25610"/>
    <cellStyle name="Total 6 2 2 5 6 2 2" xfId="54789"/>
    <cellStyle name="Total 6 2 2 5 6 3" xfId="40638"/>
    <cellStyle name="Total 6 2 2 5 7" xfId="21182"/>
    <cellStyle name="Total 6 2 2 5 7 2" xfId="50361"/>
    <cellStyle name="Total 6 2 2 5 8" xfId="30578"/>
    <cellStyle name="Total 6 2 2 6" xfId="1575"/>
    <cellStyle name="Total 6 2 2 6 2" xfId="3375"/>
    <cellStyle name="Total 6 2 2 6 2 2" xfId="6399"/>
    <cellStyle name="Total 6 2 2 6 2 2 2" xfId="15154"/>
    <cellStyle name="Total 6 2 2 6 2 2 2 2" xfId="27842"/>
    <cellStyle name="Total 6 2 2 6 2 2 2 2 2" xfId="57021"/>
    <cellStyle name="Total 6 2 2 6 2 2 2 3" xfId="44335"/>
    <cellStyle name="Total 6 2 2 6 2 2 3" xfId="23414"/>
    <cellStyle name="Total 6 2 2 6 2 2 3 2" xfId="52593"/>
    <cellStyle name="Total 6 2 2 6 2 2 4" xfId="35582"/>
    <cellStyle name="Total 6 2 2 6 2 3" xfId="9211"/>
    <cellStyle name="Total 6 2 2 6 2 3 2" xfId="17203"/>
    <cellStyle name="Total 6 2 2 6 2 3 2 2" xfId="29035"/>
    <cellStyle name="Total 6 2 2 6 2 3 2 2 2" xfId="58214"/>
    <cellStyle name="Total 6 2 2 6 2 3 2 3" xfId="46384"/>
    <cellStyle name="Total 6 2 2 6 2 3 3" xfId="24607"/>
    <cellStyle name="Total 6 2 2 6 2 3 3 2" xfId="53786"/>
    <cellStyle name="Total 6 2 2 6 2 3 4" xfId="38394"/>
    <cellStyle name="Total 6 2 2 6 2 4" xfId="12851"/>
    <cellStyle name="Total 6 2 2 6 2 4 2" xfId="26402"/>
    <cellStyle name="Total 6 2 2 6 2 4 2 2" xfId="55581"/>
    <cellStyle name="Total 6 2 2 6 2 4 3" xfId="42032"/>
    <cellStyle name="Total 6 2 2 6 2 5" xfId="21974"/>
    <cellStyle name="Total 6 2 2 6 2 5 2" xfId="51153"/>
    <cellStyle name="Total 6 2 2 6 2 6" xfId="32558"/>
    <cellStyle name="Total 6 2 2 6 3" xfId="4959"/>
    <cellStyle name="Total 6 2 2 6 3 2" xfId="14033"/>
    <cellStyle name="Total 6 2 2 6 3 2 2" xfId="27122"/>
    <cellStyle name="Total 6 2 2 6 3 2 2 2" xfId="56301"/>
    <cellStyle name="Total 6 2 2 6 3 2 3" xfId="43214"/>
    <cellStyle name="Total 6 2 2 6 3 3" xfId="22694"/>
    <cellStyle name="Total 6 2 2 6 3 3 2" xfId="51873"/>
    <cellStyle name="Total 6 2 2 6 3 4" xfId="34142"/>
    <cellStyle name="Total 6 2 2 6 4" xfId="8367"/>
    <cellStyle name="Total 6 2 2 6 4 2" xfId="16591"/>
    <cellStyle name="Total 6 2 2 6 4 2 2" xfId="28698"/>
    <cellStyle name="Total 6 2 2 6 4 2 2 2" xfId="57877"/>
    <cellStyle name="Total 6 2 2 6 4 2 3" xfId="45772"/>
    <cellStyle name="Total 6 2 2 6 4 3" xfId="24270"/>
    <cellStyle name="Total 6 2 2 6 4 3 2" xfId="53449"/>
    <cellStyle name="Total 6 2 2 6 4 4" xfId="37550"/>
    <cellStyle name="Total 6 2 2 6 5" xfId="11580"/>
    <cellStyle name="Total 6 2 2 6 5 2" xfId="25682"/>
    <cellStyle name="Total 6 2 2 6 5 2 2" xfId="54861"/>
    <cellStyle name="Total 6 2 2 6 5 3" xfId="40761"/>
    <cellStyle name="Total 6 2 2 6 6" xfId="21254"/>
    <cellStyle name="Total 6 2 2 6 6 2" xfId="50433"/>
    <cellStyle name="Total 6 2 2 6 7" xfId="30758"/>
    <cellStyle name="Total 6 2 2 7" xfId="2475"/>
    <cellStyle name="Total 6 2 2 7 2" xfId="5679"/>
    <cellStyle name="Total 6 2 2 7 2 2" xfId="14601"/>
    <cellStyle name="Total 6 2 2 7 2 2 2" xfId="27482"/>
    <cellStyle name="Total 6 2 2 7 2 2 2 2" xfId="56661"/>
    <cellStyle name="Total 6 2 2 7 2 2 3" xfId="43782"/>
    <cellStyle name="Total 6 2 2 7 2 3" xfId="23054"/>
    <cellStyle name="Total 6 2 2 7 2 3 2" xfId="52233"/>
    <cellStyle name="Total 6 2 2 7 2 4" xfId="34862"/>
    <cellStyle name="Total 6 2 2 7 3" xfId="9895"/>
    <cellStyle name="Total 6 2 2 7 3 2" xfId="17688"/>
    <cellStyle name="Total 6 2 2 7 3 2 2" xfId="29307"/>
    <cellStyle name="Total 6 2 2 7 3 2 2 2" xfId="58486"/>
    <cellStyle name="Total 6 2 2 7 3 2 3" xfId="46869"/>
    <cellStyle name="Total 6 2 2 7 3 3" xfId="24879"/>
    <cellStyle name="Total 6 2 2 7 3 3 2" xfId="54058"/>
    <cellStyle name="Total 6 2 2 7 3 4" xfId="39078"/>
    <cellStyle name="Total 6 2 2 7 4" xfId="12217"/>
    <cellStyle name="Total 6 2 2 7 4 2" xfId="26042"/>
    <cellStyle name="Total 6 2 2 7 4 2 2" xfId="55221"/>
    <cellStyle name="Total 6 2 2 7 4 3" xfId="41398"/>
    <cellStyle name="Total 6 2 2 7 5" xfId="21614"/>
    <cellStyle name="Total 6 2 2 7 5 2" xfId="50793"/>
    <cellStyle name="Total 6 2 2 7 6" xfId="31658"/>
    <cellStyle name="Total 6 2 2 8" xfId="4239"/>
    <cellStyle name="Total 6 2 2 8 2" xfId="13482"/>
    <cellStyle name="Total 6 2 2 8 2 2" xfId="26762"/>
    <cellStyle name="Total 6 2 2 8 2 2 2" xfId="55941"/>
    <cellStyle name="Total 6 2 2 8 2 3" xfId="42663"/>
    <cellStyle name="Total 6 2 2 8 3" xfId="22334"/>
    <cellStyle name="Total 6 2 2 8 3 2" xfId="51513"/>
    <cellStyle name="Total 6 2 2 8 4" xfId="33422"/>
    <cellStyle name="Total 6 2 2 9" xfId="7977"/>
    <cellStyle name="Total 6 2 2 9 2" xfId="16309"/>
    <cellStyle name="Total 6 2 2 9 2 2" xfId="28548"/>
    <cellStyle name="Total 6 2 2 9 2 2 2" xfId="57727"/>
    <cellStyle name="Total 6 2 2 9 2 3" xfId="45490"/>
    <cellStyle name="Total 6 2 2 9 3" xfId="24120"/>
    <cellStyle name="Total 6 2 2 9 3 2" xfId="53299"/>
    <cellStyle name="Total 6 2 2 9 4" xfId="37160"/>
    <cellStyle name="Total 6 2 3" xfId="815"/>
    <cellStyle name="Total 6 2 3 2" xfId="1753"/>
    <cellStyle name="Total 6 2 3 2 2" xfId="3553"/>
    <cellStyle name="Total 6 2 3 2 2 2" xfId="6541"/>
    <cellStyle name="Total 6 2 3 2 2 2 2" xfId="15270"/>
    <cellStyle name="Total 6 2 3 2 2 2 2 2" xfId="27894"/>
    <cellStyle name="Total 6 2 3 2 2 2 2 2 2" xfId="57073"/>
    <cellStyle name="Total 6 2 3 2 2 2 2 3" xfId="44451"/>
    <cellStyle name="Total 6 2 3 2 2 2 3" xfId="23466"/>
    <cellStyle name="Total 6 2 3 2 2 2 3 2" xfId="52645"/>
    <cellStyle name="Total 6 2 3 2 2 2 4" xfId="35724"/>
    <cellStyle name="Total 6 2 3 2 2 3" xfId="8150"/>
    <cellStyle name="Total 6 2 3 2 2 3 2" xfId="16430"/>
    <cellStyle name="Total 6 2 3 2 2 3 2 2" xfId="28616"/>
    <cellStyle name="Total 6 2 3 2 2 3 2 2 2" xfId="57795"/>
    <cellStyle name="Total 6 2 3 2 2 3 2 3" xfId="45611"/>
    <cellStyle name="Total 6 2 3 2 2 3 3" xfId="24188"/>
    <cellStyle name="Total 6 2 3 2 2 3 3 2" xfId="53367"/>
    <cellStyle name="Total 6 2 3 2 2 3 4" xfId="37333"/>
    <cellStyle name="Total 6 2 3 2 2 4" xfId="12981"/>
    <cellStyle name="Total 6 2 3 2 2 4 2" xfId="26454"/>
    <cellStyle name="Total 6 2 3 2 2 4 2 2" xfId="55633"/>
    <cellStyle name="Total 6 2 3 2 2 4 3" xfId="42162"/>
    <cellStyle name="Total 6 2 3 2 2 5" xfId="22026"/>
    <cellStyle name="Total 6 2 3 2 2 5 2" xfId="51205"/>
    <cellStyle name="Total 6 2 3 2 2 6" xfId="32736"/>
    <cellStyle name="Total 6 2 3 2 3" xfId="5101"/>
    <cellStyle name="Total 6 2 3 2 3 2" xfId="14146"/>
    <cellStyle name="Total 6 2 3 2 3 2 2" xfId="27174"/>
    <cellStyle name="Total 6 2 3 2 3 2 2 2" xfId="56353"/>
    <cellStyle name="Total 6 2 3 2 3 2 3" xfId="43327"/>
    <cellStyle name="Total 6 2 3 2 3 3" xfId="22746"/>
    <cellStyle name="Total 6 2 3 2 3 3 2" xfId="51925"/>
    <cellStyle name="Total 6 2 3 2 3 4" xfId="34284"/>
    <cellStyle name="Total 6 2 3 2 4" xfId="7393"/>
    <cellStyle name="Total 6 2 3 2 4 2" xfId="15907"/>
    <cellStyle name="Total 6 2 3 2 4 2 2" xfId="28323"/>
    <cellStyle name="Total 6 2 3 2 4 2 2 2" xfId="57502"/>
    <cellStyle name="Total 6 2 3 2 4 2 3" xfId="45088"/>
    <cellStyle name="Total 6 2 3 2 4 3" xfId="23895"/>
    <cellStyle name="Total 6 2 3 2 4 3 2" xfId="53074"/>
    <cellStyle name="Total 6 2 3 2 4 4" xfId="36576"/>
    <cellStyle name="Total 6 2 3 2 5" xfId="11707"/>
    <cellStyle name="Total 6 2 3 2 5 2" xfId="25734"/>
    <cellStyle name="Total 6 2 3 2 5 2 2" xfId="54913"/>
    <cellStyle name="Total 6 2 3 2 5 3" xfId="40888"/>
    <cellStyle name="Total 6 2 3 2 6" xfId="21306"/>
    <cellStyle name="Total 6 2 3 2 6 2" xfId="50485"/>
    <cellStyle name="Total 6 2 3 2 7" xfId="30936"/>
    <cellStyle name="Total 6 2 3 3" xfId="2653"/>
    <cellStyle name="Total 6 2 3 3 2" xfId="5821"/>
    <cellStyle name="Total 6 2 3 3 2 2" xfId="14711"/>
    <cellStyle name="Total 6 2 3 3 2 2 2" xfId="27534"/>
    <cellStyle name="Total 6 2 3 3 2 2 2 2" xfId="56713"/>
    <cellStyle name="Total 6 2 3 3 2 2 3" xfId="43892"/>
    <cellStyle name="Total 6 2 3 3 2 3" xfId="23106"/>
    <cellStyle name="Total 6 2 3 3 2 3 2" xfId="52285"/>
    <cellStyle name="Total 6 2 3 3 2 4" xfId="35004"/>
    <cellStyle name="Total 6 2 3 3 3" xfId="7461"/>
    <cellStyle name="Total 6 2 3 3 3 2" xfId="15951"/>
    <cellStyle name="Total 6 2 3 3 3 2 2" xfId="28350"/>
    <cellStyle name="Total 6 2 3 3 3 2 2 2" xfId="57529"/>
    <cellStyle name="Total 6 2 3 3 3 2 3" xfId="45132"/>
    <cellStyle name="Total 6 2 3 3 3 3" xfId="23922"/>
    <cellStyle name="Total 6 2 3 3 3 3 2" xfId="53101"/>
    <cellStyle name="Total 6 2 3 3 3 4" xfId="36644"/>
    <cellStyle name="Total 6 2 3 3 4" xfId="12343"/>
    <cellStyle name="Total 6 2 3 3 4 2" xfId="26094"/>
    <cellStyle name="Total 6 2 3 3 4 2 2" xfId="55273"/>
    <cellStyle name="Total 6 2 3 3 4 3" xfId="41524"/>
    <cellStyle name="Total 6 2 3 3 5" xfId="21666"/>
    <cellStyle name="Total 6 2 3 3 5 2" xfId="50845"/>
    <cellStyle name="Total 6 2 3 3 6" xfId="31836"/>
    <cellStyle name="Total 6 2 3 4" xfId="4381"/>
    <cellStyle name="Total 6 2 3 4 2" xfId="13587"/>
    <cellStyle name="Total 6 2 3 4 2 2" xfId="26814"/>
    <cellStyle name="Total 6 2 3 4 2 2 2" xfId="55993"/>
    <cellStyle name="Total 6 2 3 4 2 3" xfId="42768"/>
    <cellStyle name="Total 6 2 3 4 3" xfId="22386"/>
    <cellStyle name="Total 6 2 3 4 3 2" xfId="51565"/>
    <cellStyle name="Total 6 2 3 4 4" xfId="33564"/>
    <cellStyle name="Total 6 2 3 5" xfId="8718"/>
    <cellStyle name="Total 6 2 3 5 2" xfId="16841"/>
    <cellStyle name="Total 6 2 3 5 2 2" xfId="28840"/>
    <cellStyle name="Total 6 2 3 5 2 2 2" xfId="58019"/>
    <cellStyle name="Total 6 2 3 5 2 3" xfId="46022"/>
    <cellStyle name="Total 6 2 3 5 3" xfId="24412"/>
    <cellStyle name="Total 6 2 3 5 3 2" xfId="53591"/>
    <cellStyle name="Total 6 2 3 5 4" xfId="37901"/>
    <cellStyle name="Total 6 2 3 6" xfId="11046"/>
    <cellStyle name="Total 6 2 3 6 2" xfId="25350"/>
    <cellStyle name="Total 6 2 3 6 2 2" xfId="54529"/>
    <cellStyle name="Total 6 2 3 6 3" xfId="40227"/>
    <cellStyle name="Total 6 2 3 7" xfId="20922"/>
    <cellStyle name="Total 6 2 3 7 2" xfId="50101"/>
    <cellStyle name="Total 6 2 3 8" xfId="30012"/>
    <cellStyle name="Total 6 2 4" xfId="1007"/>
    <cellStyle name="Total 6 2 4 2" xfId="1917"/>
    <cellStyle name="Total 6 2 4 2 2" xfId="3717"/>
    <cellStyle name="Total 6 2 4 2 2 2" xfId="6669"/>
    <cellStyle name="Total 6 2 4 2 2 2 2" xfId="15370"/>
    <cellStyle name="Total 6 2 4 2 2 2 2 2" xfId="27968"/>
    <cellStyle name="Total 6 2 4 2 2 2 2 2 2" xfId="57147"/>
    <cellStyle name="Total 6 2 4 2 2 2 2 3" xfId="44551"/>
    <cellStyle name="Total 6 2 4 2 2 2 3" xfId="23540"/>
    <cellStyle name="Total 6 2 4 2 2 2 3 2" xfId="52719"/>
    <cellStyle name="Total 6 2 4 2 2 2 4" xfId="35852"/>
    <cellStyle name="Total 6 2 4 2 2 3" xfId="8028"/>
    <cellStyle name="Total 6 2 4 2 2 3 2" xfId="16345"/>
    <cellStyle name="Total 6 2 4 2 2 3 2 2" xfId="28566"/>
    <cellStyle name="Total 6 2 4 2 2 3 2 2 2" xfId="57745"/>
    <cellStyle name="Total 6 2 4 2 2 3 2 3" xfId="45526"/>
    <cellStyle name="Total 6 2 4 2 2 3 3" xfId="24138"/>
    <cellStyle name="Total 6 2 4 2 2 3 3 2" xfId="53317"/>
    <cellStyle name="Total 6 2 4 2 2 3 4" xfId="37211"/>
    <cellStyle name="Total 6 2 4 2 2 4" xfId="13101"/>
    <cellStyle name="Total 6 2 4 2 2 4 2" xfId="26528"/>
    <cellStyle name="Total 6 2 4 2 2 4 2 2" xfId="55707"/>
    <cellStyle name="Total 6 2 4 2 2 4 3" xfId="42282"/>
    <cellStyle name="Total 6 2 4 2 2 5" xfId="22100"/>
    <cellStyle name="Total 6 2 4 2 2 5 2" xfId="51279"/>
    <cellStyle name="Total 6 2 4 2 2 6" xfId="32900"/>
    <cellStyle name="Total 6 2 4 2 3" xfId="5229"/>
    <cellStyle name="Total 6 2 4 2 3 2" xfId="14248"/>
    <cellStyle name="Total 6 2 4 2 3 2 2" xfId="27248"/>
    <cellStyle name="Total 6 2 4 2 3 2 2 2" xfId="56427"/>
    <cellStyle name="Total 6 2 4 2 3 2 3" xfId="43429"/>
    <cellStyle name="Total 6 2 4 2 3 3" xfId="22820"/>
    <cellStyle name="Total 6 2 4 2 3 3 2" xfId="51999"/>
    <cellStyle name="Total 6 2 4 2 3 4" xfId="34412"/>
    <cellStyle name="Total 6 2 4 2 4" xfId="8247"/>
    <cellStyle name="Total 6 2 4 2 4 2" xfId="16503"/>
    <cellStyle name="Total 6 2 4 2 4 2 2" xfId="28656"/>
    <cellStyle name="Total 6 2 4 2 4 2 2 2" xfId="57835"/>
    <cellStyle name="Total 6 2 4 2 4 2 3" xfId="45684"/>
    <cellStyle name="Total 6 2 4 2 4 3" xfId="24228"/>
    <cellStyle name="Total 6 2 4 2 4 3 2" xfId="53407"/>
    <cellStyle name="Total 6 2 4 2 4 4" xfId="37430"/>
    <cellStyle name="Total 6 2 4 2 5" xfId="11825"/>
    <cellStyle name="Total 6 2 4 2 5 2" xfId="25808"/>
    <cellStyle name="Total 6 2 4 2 5 2 2" xfId="54987"/>
    <cellStyle name="Total 6 2 4 2 5 3" xfId="41006"/>
    <cellStyle name="Total 6 2 4 2 6" xfId="21380"/>
    <cellStyle name="Total 6 2 4 2 6 2" xfId="50559"/>
    <cellStyle name="Total 6 2 4 2 7" xfId="31100"/>
    <cellStyle name="Total 6 2 4 3" xfId="2817"/>
    <cellStyle name="Total 6 2 4 3 2" xfId="5949"/>
    <cellStyle name="Total 6 2 4 3 2 2" xfId="14812"/>
    <cellStyle name="Total 6 2 4 3 2 2 2" xfId="27608"/>
    <cellStyle name="Total 6 2 4 3 2 2 2 2" xfId="56787"/>
    <cellStyle name="Total 6 2 4 3 2 2 3" xfId="43993"/>
    <cellStyle name="Total 6 2 4 3 2 3" xfId="23180"/>
    <cellStyle name="Total 6 2 4 3 2 3 2" xfId="52359"/>
    <cellStyle name="Total 6 2 4 3 2 4" xfId="35132"/>
    <cellStyle name="Total 6 2 4 3 3" xfId="9777"/>
    <cellStyle name="Total 6 2 4 3 3 2" xfId="17605"/>
    <cellStyle name="Total 6 2 4 3 3 2 2" xfId="29260"/>
    <cellStyle name="Total 6 2 4 3 3 2 2 2" xfId="58439"/>
    <cellStyle name="Total 6 2 4 3 3 2 3" xfId="46786"/>
    <cellStyle name="Total 6 2 4 3 3 3" xfId="24832"/>
    <cellStyle name="Total 6 2 4 3 3 3 2" xfId="54011"/>
    <cellStyle name="Total 6 2 4 3 3 4" xfId="38960"/>
    <cellStyle name="Total 6 2 4 3 4" xfId="12462"/>
    <cellStyle name="Total 6 2 4 3 4 2" xfId="26168"/>
    <cellStyle name="Total 6 2 4 3 4 2 2" xfId="55347"/>
    <cellStyle name="Total 6 2 4 3 4 3" xfId="41643"/>
    <cellStyle name="Total 6 2 4 3 5" xfId="21740"/>
    <cellStyle name="Total 6 2 4 3 5 2" xfId="50919"/>
    <cellStyle name="Total 6 2 4 3 6" xfId="32000"/>
    <cellStyle name="Total 6 2 4 4" xfId="4509"/>
    <cellStyle name="Total 6 2 4 4 2" xfId="13691"/>
    <cellStyle name="Total 6 2 4 4 2 2" xfId="26888"/>
    <cellStyle name="Total 6 2 4 4 2 2 2" xfId="56067"/>
    <cellStyle name="Total 6 2 4 4 2 3" xfId="42872"/>
    <cellStyle name="Total 6 2 4 4 3" xfId="22460"/>
    <cellStyle name="Total 6 2 4 4 3 2" xfId="51639"/>
    <cellStyle name="Total 6 2 4 4 4" xfId="33692"/>
    <cellStyle name="Total 6 2 4 5" xfId="8218"/>
    <cellStyle name="Total 6 2 4 5 2" xfId="16482"/>
    <cellStyle name="Total 6 2 4 5 2 2" xfId="28642"/>
    <cellStyle name="Total 6 2 4 5 2 2 2" xfId="57821"/>
    <cellStyle name="Total 6 2 4 5 2 3" xfId="45663"/>
    <cellStyle name="Total 6 2 4 5 3" xfId="24214"/>
    <cellStyle name="Total 6 2 4 5 3 2" xfId="53393"/>
    <cellStyle name="Total 6 2 4 5 4" xfId="37401"/>
    <cellStyle name="Total 6 2 4 6" xfId="11188"/>
    <cellStyle name="Total 6 2 4 6 2" xfId="25445"/>
    <cellStyle name="Total 6 2 4 6 2 2" xfId="54624"/>
    <cellStyle name="Total 6 2 4 6 3" xfId="40369"/>
    <cellStyle name="Total 6 2 4 7" xfId="21017"/>
    <cellStyle name="Total 6 2 4 7 2" xfId="50196"/>
    <cellStyle name="Total 6 2 4 8" xfId="30197"/>
    <cellStyle name="Total 6 2 5" xfId="1157"/>
    <cellStyle name="Total 6 2 5 2" xfId="2061"/>
    <cellStyle name="Total 6 2 5 2 2" xfId="3861"/>
    <cellStyle name="Total 6 2 5 2 2 2" xfId="6786"/>
    <cellStyle name="Total 6 2 5 2 2 2 2" xfId="15462"/>
    <cellStyle name="Total 6 2 5 2 2 2 2 2" xfId="28031"/>
    <cellStyle name="Total 6 2 5 2 2 2 2 2 2" xfId="57210"/>
    <cellStyle name="Total 6 2 5 2 2 2 2 3" xfId="44643"/>
    <cellStyle name="Total 6 2 5 2 2 2 3" xfId="23603"/>
    <cellStyle name="Total 6 2 5 2 2 2 3 2" xfId="52782"/>
    <cellStyle name="Total 6 2 5 2 2 2 4" xfId="35969"/>
    <cellStyle name="Total 6 2 5 2 2 3" xfId="8439"/>
    <cellStyle name="Total 6 2 5 2 2 3 2" xfId="16639"/>
    <cellStyle name="Total 6 2 5 2 2 3 2 2" xfId="28724"/>
    <cellStyle name="Total 6 2 5 2 2 3 2 2 2" xfId="57903"/>
    <cellStyle name="Total 6 2 5 2 2 3 2 3" xfId="45820"/>
    <cellStyle name="Total 6 2 5 2 2 3 3" xfId="24296"/>
    <cellStyle name="Total 6 2 5 2 2 3 3 2" xfId="53475"/>
    <cellStyle name="Total 6 2 5 2 2 3 4" xfId="37622"/>
    <cellStyle name="Total 6 2 5 2 2 4" xfId="13201"/>
    <cellStyle name="Total 6 2 5 2 2 4 2" xfId="26591"/>
    <cellStyle name="Total 6 2 5 2 2 4 2 2" xfId="55770"/>
    <cellStyle name="Total 6 2 5 2 2 4 3" xfId="42382"/>
    <cellStyle name="Total 6 2 5 2 2 5" xfId="22163"/>
    <cellStyle name="Total 6 2 5 2 2 5 2" xfId="51342"/>
    <cellStyle name="Total 6 2 5 2 2 6" xfId="33044"/>
    <cellStyle name="Total 6 2 5 2 3" xfId="5346"/>
    <cellStyle name="Total 6 2 5 2 3 2" xfId="14341"/>
    <cellStyle name="Total 6 2 5 2 3 2 2" xfId="27311"/>
    <cellStyle name="Total 6 2 5 2 3 2 2 2" xfId="56490"/>
    <cellStyle name="Total 6 2 5 2 3 2 3" xfId="43522"/>
    <cellStyle name="Total 6 2 5 2 3 3" xfId="22883"/>
    <cellStyle name="Total 6 2 5 2 3 3 2" xfId="52062"/>
    <cellStyle name="Total 6 2 5 2 3 4" xfId="34529"/>
    <cellStyle name="Total 6 2 5 2 4" xfId="10395"/>
    <cellStyle name="Total 6 2 5 2 4 2" xfId="18034"/>
    <cellStyle name="Total 6 2 5 2 4 2 2" xfId="29504"/>
    <cellStyle name="Total 6 2 5 2 4 2 2 2" xfId="58683"/>
    <cellStyle name="Total 6 2 5 2 4 2 3" xfId="47215"/>
    <cellStyle name="Total 6 2 5 2 4 3" xfId="25076"/>
    <cellStyle name="Total 6 2 5 2 4 3 2" xfId="54255"/>
    <cellStyle name="Total 6 2 5 2 4 4" xfId="39578"/>
    <cellStyle name="Total 6 2 5 2 5" xfId="11926"/>
    <cellStyle name="Total 6 2 5 2 5 2" xfId="25871"/>
    <cellStyle name="Total 6 2 5 2 5 2 2" xfId="55050"/>
    <cellStyle name="Total 6 2 5 2 5 3" xfId="41107"/>
    <cellStyle name="Total 6 2 5 2 6" xfId="21443"/>
    <cellStyle name="Total 6 2 5 2 6 2" xfId="50622"/>
    <cellStyle name="Total 6 2 5 2 7" xfId="31244"/>
    <cellStyle name="Total 6 2 5 3" xfId="2961"/>
    <cellStyle name="Total 6 2 5 3 2" xfId="6066"/>
    <cellStyle name="Total 6 2 5 3 2 2" xfId="14903"/>
    <cellStyle name="Total 6 2 5 3 2 2 2" xfId="27671"/>
    <cellStyle name="Total 6 2 5 3 2 2 2 2" xfId="56850"/>
    <cellStyle name="Total 6 2 5 3 2 2 3" xfId="44084"/>
    <cellStyle name="Total 6 2 5 3 2 3" xfId="23243"/>
    <cellStyle name="Total 6 2 5 3 2 3 2" xfId="52422"/>
    <cellStyle name="Total 6 2 5 3 2 4" xfId="35249"/>
    <cellStyle name="Total 6 2 5 3 3" xfId="9618"/>
    <cellStyle name="Total 6 2 5 3 3 2" xfId="17480"/>
    <cellStyle name="Total 6 2 5 3 3 2 2" xfId="29197"/>
    <cellStyle name="Total 6 2 5 3 3 2 2 2" xfId="58376"/>
    <cellStyle name="Total 6 2 5 3 3 2 3" xfId="46661"/>
    <cellStyle name="Total 6 2 5 3 3 3" xfId="24769"/>
    <cellStyle name="Total 6 2 5 3 3 3 2" xfId="53948"/>
    <cellStyle name="Total 6 2 5 3 3 4" xfId="38801"/>
    <cellStyle name="Total 6 2 5 3 4" xfId="12565"/>
    <cellStyle name="Total 6 2 5 3 4 2" xfId="26231"/>
    <cellStyle name="Total 6 2 5 3 4 2 2" xfId="55410"/>
    <cellStyle name="Total 6 2 5 3 4 3" xfId="41746"/>
    <cellStyle name="Total 6 2 5 3 5" xfId="21803"/>
    <cellStyle name="Total 6 2 5 3 5 2" xfId="50982"/>
    <cellStyle name="Total 6 2 5 3 6" xfId="32144"/>
    <cellStyle name="Total 6 2 5 4" xfId="4626"/>
    <cellStyle name="Total 6 2 5 4 2" xfId="13784"/>
    <cellStyle name="Total 6 2 5 4 2 2" xfId="26951"/>
    <cellStyle name="Total 6 2 5 4 2 2 2" xfId="56130"/>
    <cellStyle name="Total 6 2 5 4 2 3" xfId="42965"/>
    <cellStyle name="Total 6 2 5 4 3" xfId="22523"/>
    <cellStyle name="Total 6 2 5 4 3 2" xfId="51702"/>
    <cellStyle name="Total 6 2 5 4 4" xfId="33809"/>
    <cellStyle name="Total 6 2 5 5" xfId="9306"/>
    <cellStyle name="Total 6 2 5 5 2" xfId="17268"/>
    <cellStyle name="Total 6 2 5 5 2 2" xfId="29070"/>
    <cellStyle name="Total 6 2 5 5 2 2 2" xfId="58249"/>
    <cellStyle name="Total 6 2 5 5 2 3" xfId="46449"/>
    <cellStyle name="Total 6 2 5 5 3" xfId="24642"/>
    <cellStyle name="Total 6 2 5 5 3 2" xfId="53821"/>
    <cellStyle name="Total 6 2 5 5 4" xfId="38489"/>
    <cellStyle name="Total 6 2 5 6" xfId="11294"/>
    <cellStyle name="Total 6 2 5 6 2" xfId="25511"/>
    <cellStyle name="Total 6 2 5 6 2 2" xfId="54690"/>
    <cellStyle name="Total 6 2 5 6 3" xfId="40475"/>
    <cellStyle name="Total 6 2 5 7" xfId="21083"/>
    <cellStyle name="Total 6 2 5 7 2" xfId="50262"/>
    <cellStyle name="Total 6 2 5 8" xfId="30344"/>
    <cellStyle name="Total 6 2 6" xfId="1303"/>
    <cellStyle name="Total 6 2 6 2" xfId="2205"/>
    <cellStyle name="Total 6 2 6 2 2" xfId="4005"/>
    <cellStyle name="Total 6 2 6 2 2 2" xfId="6903"/>
    <cellStyle name="Total 6 2 6 2 2 2 2" xfId="15557"/>
    <cellStyle name="Total 6 2 6 2 2 2 2 2" xfId="28094"/>
    <cellStyle name="Total 6 2 6 2 2 2 2 2 2" xfId="57273"/>
    <cellStyle name="Total 6 2 6 2 2 2 2 3" xfId="44738"/>
    <cellStyle name="Total 6 2 6 2 2 2 3" xfId="23666"/>
    <cellStyle name="Total 6 2 6 2 2 2 3 2" xfId="52845"/>
    <cellStyle name="Total 6 2 6 2 2 2 4" xfId="36086"/>
    <cellStyle name="Total 6 2 6 2 2 3" xfId="7075"/>
    <cellStyle name="Total 6 2 6 2 2 3 2" xfId="15675"/>
    <cellStyle name="Total 6 2 6 2 2 3 2 2" xfId="28174"/>
    <cellStyle name="Total 6 2 6 2 2 3 2 2 2" xfId="57353"/>
    <cellStyle name="Total 6 2 6 2 2 3 2 3" xfId="44856"/>
    <cellStyle name="Total 6 2 6 2 2 3 3" xfId="23746"/>
    <cellStyle name="Total 6 2 6 2 2 3 3 2" xfId="52925"/>
    <cellStyle name="Total 6 2 6 2 2 3 4" xfId="36258"/>
    <cellStyle name="Total 6 2 6 2 2 4" xfId="13306"/>
    <cellStyle name="Total 6 2 6 2 2 4 2" xfId="26654"/>
    <cellStyle name="Total 6 2 6 2 2 4 2 2" xfId="55833"/>
    <cellStyle name="Total 6 2 6 2 2 4 3" xfId="42487"/>
    <cellStyle name="Total 6 2 6 2 2 5" xfId="22226"/>
    <cellStyle name="Total 6 2 6 2 2 5 2" xfId="51405"/>
    <cellStyle name="Total 6 2 6 2 2 6" xfId="33188"/>
    <cellStyle name="Total 6 2 6 2 3" xfId="5463"/>
    <cellStyle name="Total 6 2 6 2 3 2" xfId="14437"/>
    <cellStyle name="Total 6 2 6 2 3 2 2" xfId="27374"/>
    <cellStyle name="Total 6 2 6 2 3 2 2 2" xfId="56553"/>
    <cellStyle name="Total 6 2 6 2 3 2 3" xfId="43618"/>
    <cellStyle name="Total 6 2 6 2 3 3" xfId="22946"/>
    <cellStyle name="Total 6 2 6 2 3 3 2" xfId="52125"/>
    <cellStyle name="Total 6 2 6 2 3 4" xfId="34646"/>
    <cellStyle name="Total 6 2 6 2 4" xfId="9431"/>
    <cellStyle name="Total 6 2 6 2 4 2" xfId="17354"/>
    <cellStyle name="Total 6 2 6 2 4 2 2" xfId="29121"/>
    <cellStyle name="Total 6 2 6 2 4 2 2 2" xfId="58300"/>
    <cellStyle name="Total 6 2 6 2 4 2 3" xfId="46535"/>
    <cellStyle name="Total 6 2 6 2 4 3" xfId="24693"/>
    <cellStyle name="Total 6 2 6 2 4 3 2" xfId="53872"/>
    <cellStyle name="Total 6 2 6 2 4 4" xfId="38614"/>
    <cellStyle name="Total 6 2 6 2 5" xfId="12030"/>
    <cellStyle name="Total 6 2 6 2 5 2" xfId="25934"/>
    <cellStyle name="Total 6 2 6 2 5 2 2" xfId="55113"/>
    <cellStyle name="Total 6 2 6 2 5 3" xfId="41211"/>
    <cellStyle name="Total 6 2 6 2 6" xfId="21506"/>
    <cellStyle name="Total 6 2 6 2 6 2" xfId="50685"/>
    <cellStyle name="Total 6 2 6 2 7" xfId="31388"/>
    <cellStyle name="Total 6 2 6 3" xfId="3105"/>
    <cellStyle name="Total 6 2 6 3 2" xfId="6183"/>
    <cellStyle name="Total 6 2 6 3 2 2" xfId="14998"/>
    <cellStyle name="Total 6 2 6 3 2 2 2" xfId="27734"/>
    <cellStyle name="Total 6 2 6 3 2 2 2 2" xfId="56913"/>
    <cellStyle name="Total 6 2 6 3 2 2 3" xfId="44179"/>
    <cellStyle name="Total 6 2 6 3 2 3" xfId="23306"/>
    <cellStyle name="Total 6 2 6 3 2 3 2" xfId="52485"/>
    <cellStyle name="Total 6 2 6 3 2 4" xfId="35366"/>
    <cellStyle name="Total 6 2 6 3 3" xfId="7997"/>
    <cellStyle name="Total 6 2 6 3 3 2" xfId="16323"/>
    <cellStyle name="Total 6 2 6 3 3 2 2" xfId="28555"/>
    <cellStyle name="Total 6 2 6 3 3 2 2 2" xfId="57734"/>
    <cellStyle name="Total 6 2 6 3 3 2 3" xfId="45504"/>
    <cellStyle name="Total 6 2 6 3 3 3" xfId="24127"/>
    <cellStyle name="Total 6 2 6 3 3 3 2" xfId="53306"/>
    <cellStyle name="Total 6 2 6 3 3 4" xfId="37180"/>
    <cellStyle name="Total 6 2 6 3 4" xfId="12668"/>
    <cellStyle name="Total 6 2 6 3 4 2" xfId="26294"/>
    <cellStyle name="Total 6 2 6 3 4 2 2" xfId="55473"/>
    <cellStyle name="Total 6 2 6 3 4 3" xfId="41849"/>
    <cellStyle name="Total 6 2 6 3 5" xfId="21866"/>
    <cellStyle name="Total 6 2 6 3 5 2" xfId="51045"/>
    <cellStyle name="Total 6 2 6 3 6" xfId="32288"/>
    <cellStyle name="Total 6 2 6 4" xfId="4743"/>
    <cellStyle name="Total 6 2 6 4 2" xfId="13875"/>
    <cellStyle name="Total 6 2 6 4 2 2" xfId="27014"/>
    <cellStyle name="Total 6 2 6 4 2 2 2" xfId="56193"/>
    <cellStyle name="Total 6 2 6 4 2 3" xfId="43056"/>
    <cellStyle name="Total 6 2 6 4 3" xfId="22586"/>
    <cellStyle name="Total 6 2 6 4 3 2" xfId="51765"/>
    <cellStyle name="Total 6 2 6 4 4" xfId="33926"/>
    <cellStyle name="Total 6 2 6 5" xfId="9831"/>
    <cellStyle name="Total 6 2 6 5 2" xfId="17647"/>
    <cellStyle name="Total 6 2 6 5 2 2" xfId="29284"/>
    <cellStyle name="Total 6 2 6 5 2 2 2" xfId="58463"/>
    <cellStyle name="Total 6 2 6 5 2 3" xfId="46828"/>
    <cellStyle name="Total 6 2 6 5 3" xfId="24856"/>
    <cellStyle name="Total 6 2 6 5 3 2" xfId="54035"/>
    <cellStyle name="Total 6 2 6 5 4" xfId="39014"/>
    <cellStyle name="Total 6 2 6 6" xfId="11400"/>
    <cellStyle name="Total 6 2 6 6 2" xfId="25574"/>
    <cellStyle name="Total 6 2 6 6 2 2" xfId="54753"/>
    <cellStyle name="Total 6 2 6 6 3" xfId="40581"/>
    <cellStyle name="Total 6 2 6 7" xfId="21146"/>
    <cellStyle name="Total 6 2 6 7 2" xfId="50325"/>
    <cellStyle name="Total 6 2 6 8" xfId="30488"/>
    <cellStyle name="Total 6 2 7" xfId="1485"/>
    <cellStyle name="Total 6 2 7 2" xfId="3285"/>
    <cellStyle name="Total 6 2 7 2 2" xfId="6327"/>
    <cellStyle name="Total 6 2 7 2 2 2" xfId="15101"/>
    <cellStyle name="Total 6 2 7 2 2 2 2" xfId="27806"/>
    <cellStyle name="Total 6 2 7 2 2 2 2 2" xfId="56985"/>
    <cellStyle name="Total 6 2 7 2 2 2 3" xfId="44282"/>
    <cellStyle name="Total 6 2 7 2 2 3" xfId="23378"/>
    <cellStyle name="Total 6 2 7 2 2 3 2" xfId="52557"/>
    <cellStyle name="Total 6 2 7 2 2 4" xfId="35510"/>
    <cellStyle name="Total 6 2 7 2 3" xfId="7454"/>
    <cellStyle name="Total 6 2 7 2 3 2" xfId="15944"/>
    <cellStyle name="Total 6 2 7 2 3 2 2" xfId="28345"/>
    <cellStyle name="Total 6 2 7 2 3 2 2 2" xfId="57524"/>
    <cellStyle name="Total 6 2 7 2 3 2 3" xfId="45125"/>
    <cellStyle name="Total 6 2 7 2 3 3" xfId="23917"/>
    <cellStyle name="Total 6 2 7 2 3 3 2" xfId="53096"/>
    <cellStyle name="Total 6 2 7 2 3 4" xfId="36637"/>
    <cellStyle name="Total 6 2 7 2 4" xfId="12792"/>
    <cellStyle name="Total 6 2 7 2 4 2" xfId="26366"/>
    <cellStyle name="Total 6 2 7 2 4 2 2" xfId="55545"/>
    <cellStyle name="Total 6 2 7 2 4 3" xfId="41973"/>
    <cellStyle name="Total 6 2 7 2 5" xfId="21938"/>
    <cellStyle name="Total 6 2 7 2 5 2" xfId="51117"/>
    <cellStyle name="Total 6 2 7 2 6" xfId="32468"/>
    <cellStyle name="Total 6 2 7 3" xfId="4887"/>
    <cellStyle name="Total 6 2 7 3 2" xfId="13977"/>
    <cellStyle name="Total 6 2 7 3 2 2" xfId="27086"/>
    <cellStyle name="Total 6 2 7 3 2 2 2" xfId="56265"/>
    <cellStyle name="Total 6 2 7 3 2 3" xfId="43158"/>
    <cellStyle name="Total 6 2 7 3 3" xfId="22658"/>
    <cellStyle name="Total 6 2 7 3 3 2" xfId="51837"/>
    <cellStyle name="Total 6 2 7 3 4" xfId="34070"/>
    <cellStyle name="Total 6 2 7 4" xfId="10522"/>
    <cellStyle name="Total 6 2 7 4 2" xfId="18123"/>
    <cellStyle name="Total 6 2 7 4 2 2" xfId="29550"/>
    <cellStyle name="Total 6 2 7 4 2 2 2" xfId="58729"/>
    <cellStyle name="Total 6 2 7 4 2 3" xfId="47304"/>
    <cellStyle name="Total 6 2 7 4 3" xfId="25122"/>
    <cellStyle name="Total 6 2 7 4 3 2" xfId="54301"/>
    <cellStyle name="Total 6 2 7 4 4" xfId="39705"/>
    <cellStyle name="Total 6 2 7 5" xfId="11522"/>
    <cellStyle name="Total 6 2 7 5 2" xfId="25646"/>
    <cellStyle name="Total 6 2 7 5 2 2" xfId="54825"/>
    <cellStyle name="Total 6 2 7 5 3" xfId="40703"/>
    <cellStyle name="Total 6 2 7 6" xfId="21218"/>
    <cellStyle name="Total 6 2 7 6 2" xfId="50397"/>
    <cellStyle name="Total 6 2 7 7" xfId="30668"/>
    <cellStyle name="Total 6 2 8" xfId="2385"/>
    <cellStyle name="Total 6 2 8 2" xfId="5607"/>
    <cellStyle name="Total 6 2 8 2 2" xfId="14542"/>
    <cellStyle name="Total 6 2 8 2 2 2" xfId="27446"/>
    <cellStyle name="Total 6 2 8 2 2 2 2" xfId="56625"/>
    <cellStyle name="Total 6 2 8 2 2 3" xfId="43723"/>
    <cellStyle name="Total 6 2 8 2 3" xfId="23018"/>
    <cellStyle name="Total 6 2 8 2 3 2" xfId="52197"/>
    <cellStyle name="Total 6 2 8 2 4" xfId="34790"/>
    <cellStyle name="Total 6 2 8 3" xfId="7604"/>
    <cellStyle name="Total 6 2 8 3 2" xfId="16050"/>
    <cellStyle name="Total 6 2 8 3 2 2" xfId="28401"/>
    <cellStyle name="Total 6 2 8 3 2 2 2" xfId="57580"/>
    <cellStyle name="Total 6 2 8 3 2 3" xfId="45231"/>
    <cellStyle name="Total 6 2 8 3 3" xfId="23973"/>
    <cellStyle name="Total 6 2 8 3 3 2" xfId="53152"/>
    <cellStyle name="Total 6 2 8 3 4" xfId="36787"/>
    <cellStyle name="Total 6 2 8 4" xfId="12151"/>
    <cellStyle name="Total 6 2 8 4 2" xfId="26006"/>
    <cellStyle name="Total 6 2 8 4 2 2" xfId="55185"/>
    <cellStyle name="Total 6 2 8 4 3" xfId="41332"/>
    <cellStyle name="Total 6 2 8 5" xfId="21578"/>
    <cellStyle name="Total 6 2 8 5 2" xfId="50757"/>
    <cellStyle name="Total 6 2 8 6" xfId="31568"/>
    <cellStyle name="Total 6 2 9" xfId="4167"/>
    <cellStyle name="Total 6 2 9 2" xfId="13420"/>
    <cellStyle name="Total 6 2 9 2 2" xfId="26726"/>
    <cellStyle name="Total 6 2 9 2 2 2" xfId="55905"/>
    <cellStyle name="Total 6 2 9 2 3" xfId="42601"/>
    <cellStyle name="Total 6 2 9 3" xfId="22298"/>
    <cellStyle name="Total 6 2 9 3 2" xfId="51477"/>
    <cellStyle name="Total 6 2 9 4" xfId="33350"/>
    <cellStyle name="Total 6 3" xfId="507"/>
    <cellStyle name="Total 6 3 10" xfId="10805"/>
    <cellStyle name="Total 6 3 10 2" xfId="25204"/>
    <cellStyle name="Total 6 3 10 2 2" xfId="54383"/>
    <cellStyle name="Total 6 3 10 3" xfId="39986"/>
    <cellStyle name="Total 6 3 11" xfId="20776"/>
    <cellStyle name="Total 6 3 11 2" xfId="49955"/>
    <cellStyle name="Total 6 3 12" xfId="29713"/>
    <cellStyle name="Total 6 3 2" xfId="860"/>
    <cellStyle name="Total 6 3 2 2" xfId="1798"/>
    <cellStyle name="Total 6 3 2 2 2" xfId="3598"/>
    <cellStyle name="Total 6 3 2 2 2 2" xfId="6577"/>
    <cellStyle name="Total 6 3 2 2 2 2 2" xfId="15294"/>
    <cellStyle name="Total 6 3 2 2 2 2 2 2" xfId="27912"/>
    <cellStyle name="Total 6 3 2 2 2 2 2 2 2" xfId="57091"/>
    <cellStyle name="Total 6 3 2 2 2 2 2 3" xfId="44475"/>
    <cellStyle name="Total 6 3 2 2 2 2 3" xfId="23484"/>
    <cellStyle name="Total 6 3 2 2 2 2 3 2" xfId="52663"/>
    <cellStyle name="Total 6 3 2 2 2 2 4" xfId="35760"/>
    <cellStyle name="Total 6 3 2 2 2 3" xfId="10262"/>
    <cellStyle name="Total 6 3 2 2 2 3 2" xfId="17945"/>
    <cellStyle name="Total 6 3 2 2 2 3 2 2" xfId="29456"/>
    <cellStyle name="Total 6 3 2 2 2 3 2 2 2" xfId="58635"/>
    <cellStyle name="Total 6 3 2 2 2 3 2 3" xfId="47126"/>
    <cellStyle name="Total 6 3 2 2 2 3 3" xfId="25028"/>
    <cellStyle name="Total 6 3 2 2 2 3 3 2" xfId="54207"/>
    <cellStyle name="Total 6 3 2 2 2 3 4" xfId="39445"/>
    <cellStyle name="Total 6 3 2 2 2 4" xfId="13010"/>
    <cellStyle name="Total 6 3 2 2 2 4 2" xfId="26472"/>
    <cellStyle name="Total 6 3 2 2 2 4 2 2" xfId="55651"/>
    <cellStyle name="Total 6 3 2 2 2 4 3" xfId="42191"/>
    <cellStyle name="Total 6 3 2 2 2 5" xfId="22044"/>
    <cellStyle name="Total 6 3 2 2 2 5 2" xfId="51223"/>
    <cellStyle name="Total 6 3 2 2 2 6" xfId="32781"/>
    <cellStyle name="Total 6 3 2 2 3" xfId="5137"/>
    <cellStyle name="Total 6 3 2 2 3 2" xfId="14171"/>
    <cellStyle name="Total 6 3 2 2 3 2 2" xfId="27192"/>
    <cellStyle name="Total 6 3 2 2 3 2 2 2" xfId="56371"/>
    <cellStyle name="Total 6 3 2 2 3 2 3" xfId="43352"/>
    <cellStyle name="Total 6 3 2 2 3 3" xfId="22764"/>
    <cellStyle name="Total 6 3 2 2 3 3 2" xfId="51943"/>
    <cellStyle name="Total 6 3 2 2 3 4" xfId="34320"/>
    <cellStyle name="Total 6 3 2 2 4" xfId="10440"/>
    <cellStyle name="Total 6 3 2 2 4 2" xfId="18065"/>
    <cellStyle name="Total 6 3 2 2 4 2 2" xfId="29520"/>
    <cellStyle name="Total 6 3 2 2 4 2 2 2" xfId="58699"/>
    <cellStyle name="Total 6 3 2 2 4 2 3" xfId="47246"/>
    <cellStyle name="Total 6 3 2 2 4 3" xfId="25092"/>
    <cellStyle name="Total 6 3 2 2 4 3 2" xfId="54271"/>
    <cellStyle name="Total 6 3 2 2 4 4" xfId="39623"/>
    <cellStyle name="Total 6 3 2 2 5" xfId="11736"/>
    <cellStyle name="Total 6 3 2 2 5 2" xfId="25752"/>
    <cellStyle name="Total 6 3 2 2 5 2 2" xfId="54931"/>
    <cellStyle name="Total 6 3 2 2 5 3" xfId="40917"/>
    <cellStyle name="Total 6 3 2 2 6" xfId="21324"/>
    <cellStyle name="Total 6 3 2 2 6 2" xfId="50503"/>
    <cellStyle name="Total 6 3 2 2 7" xfId="30981"/>
    <cellStyle name="Total 6 3 2 3" xfId="2698"/>
    <cellStyle name="Total 6 3 2 3 2" xfId="5857"/>
    <cellStyle name="Total 6 3 2 3 2 2" xfId="14738"/>
    <cellStyle name="Total 6 3 2 3 2 2 2" xfId="27552"/>
    <cellStyle name="Total 6 3 2 3 2 2 2 2" xfId="56731"/>
    <cellStyle name="Total 6 3 2 3 2 2 3" xfId="43919"/>
    <cellStyle name="Total 6 3 2 3 2 3" xfId="23124"/>
    <cellStyle name="Total 6 3 2 3 2 3 2" xfId="52303"/>
    <cellStyle name="Total 6 3 2 3 2 4" xfId="35040"/>
    <cellStyle name="Total 6 3 2 3 3" xfId="9663"/>
    <cellStyle name="Total 6 3 2 3 3 2" xfId="17517"/>
    <cellStyle name="Total 6 3 2 3 3 2 2" xfId="29216"/>
    <cellStyle name="Total 6 3 2 3 3 2 2 2" xfId="58395"/>
    <cellStyle name="Total 6 3 2 3 3 2 3" xfId="46698"/>
    <cellStyle name="Total 6 3 2 3 3 3" xfId="24788"/>
    <cellStyle name="Total 6 3 2 3 3 3 2" xfId="53967"/>
    <cellStyle name="Total 6 3 2 3 3 4" xfId="38846"/>
    <cellStyle name="Total 6 3 2 3 4" xfId="12373"/>
    <cellStyle name="Total 6 3 2 3 4 2" xfId="26112"/>
    <cellStyle name="Total 6 3 2 3 4 2 2" xfId="55291"/>
    <cellStyle name="Total 6 3 2 3 4 3" xfId="41554"/>
    <cellStyle name="Total 6 3 2 3 5" xfId="21684"/>
    <cellStyle name="Total 6 3 2 3 5 2" xfId="50863"/>
    <cellStyle name="Total 6 3 2 3 6" xfId="31881"/>
    <cellStyle name="Total 6 3 2 4" xfId="4417"/>
    <cellStyle name="Total 6 3 2 4 2" xfId="13615"/>
    <cellStyle name="Total 6 3 2 4 2 2" xfId="26832"/>
    <cellStyle name="Total 6 3 2 4 2 2 2" xfId="56011"/>
    <cellStyle name="Total 6 3 2 4 2 3" xfId="42796"/>
    <cellStyle name="Total 6 3 2 4 3" xfId="22404"/>
    <cellStyle name="Total 6 3 2 4 3 2" xfId="51583"/>
    <cellStyle name="Total 6 3 2 4 4" xfId="33600"/>
    <cellStyle name="Total 6 3 2 5" xfId="7481"/>
    <cellStyle name="Total 6 3 2 5 2" xfId="15963"/>
    <cellStyle name="Total 6 3 2 5 2 2" xfId="28358"/>
    <cellStyle name="Total 6 3 2 5 2 2 2" xfId="57537"/>
    <cellStyle name="Total 6 3 2 5 2 3" xfId="45144"/>
    <cellStyle name="Total 6 3 2 5 3" xfId="23930"/>
    <cellStyle name="Total 6 3 2 5 3 2" xfId="53109"/>
    <cellStyle name="Total 6 3 2 5 4" xfId="36664"/>
    <cellStyle name="Total 6 3 2 6" xfId="11075"/>
    <cellStyle name="Total 6 3 2 6 2" xfId="25368"/>
    <cellStyle name="Total 6 3 2 6 2 2" xfId="54547"/>
    <cellStyle name="Total 6 3 2 6 3" xfId="40256"/>
    <cellStyle name="Total 6 3 2 7" xfId="20940"/>
    <cellStyle name="Total 6 3 2 7 2" xfId="50119"/>
    <cellStyle name="Total 6 3 2 8" xfId="30057"/>
    <cellStyle name="Total 6 3 3" xfId="1052"/>
    <cellStyle name="Total 6 3 3 2" xfId="1962"/>
    <cellStyle name="Total 6 3 3 2 2" xfId="3762"/>
    <cellStyle name="Total 6 3 3 2 2 2" xfId="6705"/>
    <cellStyle name="Total 6 3 3 2 2 2 2" xfId="15399"/>
    <cellStyle name="Total 6 3 3 2 2 2 2 2" xfId="27986"/>
    <cellStyle name="Total 6 3 3 2 2 2 2 2 2" xfId="57165"/>
    <cellStyle name="Total 6 3 3 2 2 2 2 3" xfId="44580"/>
    <cellStyle name="Total 6 3 3 2 2 2 3" xfId="23558"/>
    <cellStyle name="Total 6 3 3 2 2 2 3 2" xfId="52737"/>
    <cellStyle name="Total 6 3 3 2 2 2 4" xfId="35888"/>
    <cellStyle name="Total 6 3 3 2 2 3" xfId="10119"/>
    <cellStyle name="Total 6 3 3 2 2 3 2" xfId="17839"/>
    <cellStyle name="Total 6 3 3 2 2 3 2 2" xfId="29394"/>
    <cellStyle name="Total 6 3 3 2 2 3 2 2 2" xfId="58573"/>
    <cellStyle name="Total 6 3 3 2 2 3 2 3" xfId="47020"/>
    <cellStyle name="Total 6 3 3 2 2 3 3" xfId="24966"/>
    <cellStyle name="Total 6 3 3 2 2 3 3 2" xfId="54145"/>
    <cellStyle name="Total 6 3 3 2 2 3 4" xfId="39302"/>
    <cellStyle name="Total 6 3 3 2 2 4" xfId="13132"/>
    <cellStyle name="Total 6 3 3 2 2 4 2" xfId="26546"/>
    <cellStyle name="Total 6 3 3 2 2 4 2 2" xfId="55725"/>
    <cellStyle name="Total 6 3 3 2 2 4 3" xfId="42313"/>
    <cellStyle name="Total 6 3 3 2 2 5" xfId="22118"/>
    <cellStyle name="Total 6 3 3 2 2 5 2" xfId="51297"/>
    <cellStyle name="Total 6 3 3 2 2 6" xfId="32945"/>
    <cellStyle name="Total 6 3 3 2 3" xfId="5265"/>
    <cellStyle name="Total 6 3 3 2 3 2" xfId="14278"/>
    <cellStyle name="Total 6 3 3 2 3 2 2" xfId="27266"/>
    <cellStyle name="Total 6 3 3 2 3 2 2 2" xfId="56445"/>
    <cellStyle name="Total 6 3 3 2 3 2 3" xfId="43459"/>
    <cellStyle name="Total 6 3 3 2 3 3" xfId="22838"/>
    <cellStyle name="Total 6 3 3 2 3 3 2" xfId="52017"/>
    <cellStyle name="Total 6 3 3 2 3 4" xfId="34448"/>
    <cellStyle name="Total 6 3 3 2 4" xfId="10319"/>
    <cellStyle name="Total 6 3 3 2 4 2" xfId="17983"/>
    <cellStyle name="Total 6 3 3 2 4 2 2" xfId="29476"/>
    <cellStyle name="Total 6 3 3 2 4 2 2 2" xfId="58655"/>
    <cellStyle name="Total 6 3 3 2 4 2 3" xfId="47164"/>
    <cellStyle name="Total 6 3 3 2 4 3" xfId="25048"/>
    <cellStyle name="Total 6 3 3 2 4 3 2" xfId="54227"/>
    <cellStyle name="Total 6 3 3 2 4 4" xfId="39502"/>
    <cellStyle name="Total 6 3 3 2 5" xfId="11856"/>
    <cellStyle name="Total 6 3 3 2 5 2" xfId="25826"/>
    <cellStyle name="Total 6 3 3 2 5 2 2" xfId="55005"/>
    <cellStyle name="Total 6 3 3 2 5 3" xfId="41037"/>
    <cellStyle name="Total 6 3 3 2 6" xfId="21398"/>
    <cellStyle name="Total 6 3 3 2 6 2" xfId="50577"/>
    <cellStyle name="Total 6 3 3 2 7" xfId="31145"/>
    <cellStyle name="Total 6 3 3 3" xfId="2862"/>
    <cellStyle name="Total 6 3 3 3 2" xfId="5985"/>
    <cellStyle name="Total 6 3 3 3 2 2" xfId="14842"/>
    <cellStyle name="Total 6 3 3 3 2 2 2" xfId="27626"/>
    <cellStyle name="Total 6 3 3 3 2 2 2 2" xfId="56805"/>
    <cellStyle name="Total 6 3 3 3 2 2 3" xfId="44023"/>
    <cellStyle name="Total 6 3 3 3 2 3" xfId="23198"/>
    <cellStyle name="Total 6 3 3 3 2 3 2" xfId="52377"/>
    <cellStyle name="Total 6 3 3 3 2 4" xfId="35168"/>
    <cellStyle name="Total 6 3 3 3 3" xfId="9542"/>
    <cellStyle name="Total 6 3 3 3 3 2" xfId="17434"/>
    <cellStyle name="Total 6 3 3 3 3 2 2" xfId="29169"/>
    <cellStyle name="Total 6 3 3 3 3 2 2 2" xfId="58348"/>
    <cellStyle name="Total 6 3 3 3 3 2 3" xfId="46615"/>
    <cellStyle name="Total 6 3 3 3 3 3" xfId="24741"/>
    <cellStyle name="Total 6 3 3 3 3 3 2" xfId="53920"/>
    <cellStyle name="Total 6 3 3 3 3 4" xfId="38725"/>
    <cellStyle name="Total 6 3 3 3 4" xfId="12495"/>
    <cellStyle name="Total 6 3 3 3 4 2" xfId="26186"/>
    <cellStyle name="Total 6 3 3 3 4 2 2" xfId="55365"/>
    <cellStyle name="Total 6 3 3 3 4 3" xfId="41676"/>
    <cellStyle name="Total 6 3 3 3 5" xfId="21758"/>
    <cellStyle name="Total 6 3 3 3 5 2" xfId="50937"/>
    <cellStyle name="Total 6 3 3 3 6" xfId="32045"/>
    <cellStyle name="Total 6 3 3 4" xfId="4545"/>
    <cellStyle name="Total 6 3 3 4 2" xfId="13721"/>
    <cellStyle name="Total 6 3 3 4 2 2" xfId="26906"/>
    <cellStyle name="Total 6 3 3 4 2 2 2" xfId="56085"/>
    <cellStyle name="Total 6 3 3 4 2 3" xfId="42902"/>
    <cellStyle name="Total 6 3 3 4 3" xfId="22478"/>
    <cellStyle name="Total 6 3 3 4 3 2" xfId="51657"/>
    <cellStyle name="Total 6 3 3 4 4" xfId="33728"/>
    <cellStyle name="Total 6 3 3 5" xfId="8058"/>
    <cellStyle name="Total 6 3 3 5 2" xfId="16366"/>
    <cellStyle name="Total 6 3 3 5 2 2" xfId="28580"/>
    <cellStyle name="Total 6 3 3 5 2 2 2" xfId="57759"/>
    <cellStyle name="Total 6 3 3 5 2 3" xfId="45547"/>
    <cellStyle name="Total 6 3 3 5 3" xfId="24152"/>
    <cellStyle name="Total 6 3 3 5 3 2" xfId="53331"/>
    <cellStyle name="Total 6 3 3 5 4" xfId="37241"/>
    <cellStyle name="Total 6 3 3 6" xfId="11219"/>
    <cellStyle name="Total 6 3 3 6 2" xfId="25463"/>
    <cellStyle name="Total 6 3 3 6 2 2" xfId="54642"/>
    <cellStyle name="Total 6 3 3 6 3" xfId="40400"/>
    <cellStyle name="Total 6 3 3 7" xfId="21035"/>
    <cellStyle name="Total 6 3 3 7 2" xfId="50214"/>
    <cellStyle name="Total 6 3 3 8" xfId="30242"/>
    <cellStyle name="Total 6 3 4" xfId="1202"/>
    <cellStyle name="Total 6 3 4 2" xfId="2106"/>
    <cellStyle name="Total 6 3 4 2 2" xfId="3906"/>
    <cellStyle name="Total 6 3 4 2 2 2" xfId="6822"/>
    <cellStyle name="Total 6 3 4 2 2 2 2" xfId="15492"/>
    <cellStyle name="Total 6 3 4 2 2 2 2 2" xfId="28049"/>
    <cellStyle name="Total 6 3 4 2 2 2 2 2 2" xfId="57228"/>
    <cellStyle name="Total 6 3 4 2 2 2 2 3" xfId="44673"/>
    <cellStyle name="Total 6 3 4 2 2 2 3" xfId="23621"/>
    <cellStyle name="Total 6 3 4 2 2 2 3 2" xfId="52800"/>
    <cellStyle name="Total 6 3 4 2 2 2 4" xfId="36005"/>
    <cellStyle name="Total 6 3 4 2 2 3" xfId="9112"/>
    <cellStyle name="Total 6 3 4 2 2 3 2" xfId="17129"/>
    <cellStyle name="Total 6 3 4 2 2 3 2 2" xfId="28998"/>
    <cellStyle name="Total 6 3 4 2 2 3 2 2 2" xfId="58177"/>
    <cellStyle name="Total 6 3 4 2 2 3 2 3" xfId="46310"/>
    <cellStyle name="Total 6 3 4 2 2 3 3" xfId="24570"/>
    <cellStyle name="Total 6 3 4 2 2 3 3 2" xfId="53749"/>
    <cellStyle name="Total 6 3 4 2 2 3 4" xfId="38295"/>
    <cellStyle name="Total 6 3 4 2 2 4" xfId="13234"/>
    <cellStyle name="Total 6 3 4 2 2 4 2" xfId="26609"/>
    <cellStyle name="Total 6 3 4 2 2 4 2 2" xfId="55788"/>
    <cellStyle name="Total 6 3 4 2 2 4 3" xfId="42415"/>
    <cellStyle name="Total 6 3 4 2 2 5" xfId="22181"/>
    <cellStyle name="Total 6 3 4 2 2 5 2" xfId="51360"/>
    <cellStyle name="Total 6 3 4 2 2 6" xfId="33089"/>
    <cellStyle name="Total 6 3 4 2 3" xfId="5382"/>
    <cellStyle name="Total 6 3 4 2 3 2" xfId="14370"/>
    <cellStyle name="Total 6 3 4 2 3 2 2" xfId="27329"/>
    <cellStyle name="Total 6 3 4 2 3 2 2 2" xfId="56508"/>
    <cellStyle name="Total 6 3 4 2 3 2 3" xfId="43551"/>
    <cellStyle name="Total 6 3 4 2 3 3" xfId="22901"/>
    <cellStyle name="Total 6 3 4 2 3 3 2" xfId="52080"/>
    <cellStyle name="Total 6 3 4 2 3 4" xfId="34565"/>
    <cellStyle name="Total 6 3 4 2 4" xfId="10238"/>
    <cellStyle name="Total 6 3 4 2 4 2" xfId="17928"/>
    <cellStyle name="Total 6 3 4 2 4 2 2" xfId="29447"/>
    <cellStyle name="Total 6 3 4 2 4 2 2 2" xfId="58626"/>
    <cellStyle name="Total 6 3 4 2 4 2 3" xfId="47109"/>
    <cellStyle name="Total 6 3 4 2 4 3" xfId="25019"/>
    <cellStyle name="Total 6 3 4 2 4 3 2" xfId="54198"/>
    <cellStyle name="Total 6 3 4 2 4 4" xfId="39421"/>
    <cellStyle name="Total 6 3 4 2 5" xfId="11960"/>
    <cellStyle name="Total 6 3 4 2 5 2" xfId="25889"/>
    <cellStyle name="Total 6 3 4 2 5 2 2" xfId="55068"/>
    <cellStyle name="Total 6 3 4 2 5 3" xfId="41141"/>
    <cellStyle name="Total 6 3 4 2 6" xfId="21461"/>
    <cellStyle name="Total 6 3 4 2 6 2" xfId="50640"/>
    <cellStyle name="Total 6 3 4 2 7" xfId="31289"/>
    <cellStyle name="Total 6 3 4 3" xfId="3006"/>
    <cellStyle name="Total 6 3 4 3 2" xfId="6102"/>
    <cellStyle name="Total 6 3 4 3 2 2" xfId="14931"/>
    <cellStyle name="Total 6 3 4 3 2 2 2" xfId="27689"/>
    <cellStyle name="Total 6 3 4 3 2 2 2 2" xfId="56868"/>
    <cellStyle name="Total 6 3 4 3 2 2 3" xfId="44112"/>
    <cellStyle name="Total 6 3 4 3 2 3" xfId="23261"/>
    <cellStyle name="Total 6 3 4 3 2 3 2" xfId="52440"/>
    <cellStyle name="Total 6 3 4 3 2 4" xfId="35285"/>
    <cellStyle name="Total 6 3 4 3 3" xfId="9462"/>
    <cellStyle name="Total 6 3 4 3 3 2" xfId="17375"/>
    <cellStyle name="Total 6 3 4 3 3 2 2" xfId="29137"/>
    <cellStyle name="Total 6 3 4 3 3 2 2 2" xfId="58316"/>
    <cellStyle name="Total 6 3 4 3 3 2 3" xfId="46556"/>
    <cellStyle name="Total 6 3 4 3 3 3" xfId="24709"/>
    <cellStyle name="Total 6 3 4 3 3 3 2" xfId="53888"/>
    <cellStyle name="Total 6 3 4 3 3 4" xfId="38645"/>
    <cellStyle name="Total 6 3 4 3 4" xfId="12595"/>
    <cellStyle name="Total 6 3 4 3 4 2" xfId="26249"/>
    <cellStyle name="Total 6 3 4 3 4 2 2" xfId="55428"/>
    <cellStyle name="Total 6 3 4 3 4 3" xfId="41776"/>
    <cellStyle name="Total 6 3 4 3 5" xfId="21821"/>
    <cellStyle name="Total 6 3 4 3 5 2" xfId="51000"/>
    <cellStyle name="Total 6 3 4 3 6" xfId="32189"/>
    <cellStyle name="Total 6 3 4 4" xfId="4662"/>
    <cellStyle name="Total 6 3 4 4 2" xfId="13811"/>
    <cellStyle name="Total 6 3 4 4 2 2" xfId="26969"/>
    <cellStyle name="Total 6 3 4 4 2 2 2" xfId="56148"/>
    <cellStyle name="Total 6 3 4 4 2 3" xfId="42992"/>
    <cellStyle name="Total 6 3 4 4 3" xfId="22541"/>
    <cellStyle name="Total 6 3 4 4 3 2" xfId="51720"/>
    <cellStyle name="Total 6 3 4 4 4" xfId="33845"/>
    <cellStyle name="Total 6 3 4 5" xfId="9104"/>
    <cellStyle name="Total 6 3 4 5 2" xfId="17123"/>
    <cellStyle name="Total 6 3 4 5 2 2" xfId="28993"/>
    <cellStyle name="Total 6 3 4 5 2 2 2" xfId="58172"/>
    <cellStyle name="Total 6 3 4 5 2 3" xfId="46304"/>
    <cellStyle name="Total 6 3 4 5 3" xfId="24565"/>
    <cellStyle name="Total 6 3 4 5 3 2" xfId="53744"/>
    <cellStyle name="Total 6 3 4 5 4" xfId="38287"/>
    <cellStyle name="Total 6 3 4 6" xfId="11329"/>
    <cellStyle name="Total 6 3 4 6 2" xfId="25529"/>
    <cellStyle name="Total 6 3 4 6 2 2" xfId="54708"/>
    <cellStyle name="Total 6 3 4 6 3" xfId="40510"/>
    <cellStyle name="Total 6 3 4 7" xfId="21101"/>
    <cellStyle name="Total 6 3 4 7 2" xfId="50280"/>
    <cellStyle name="Total 6 3 4 8" xfId="30389"/>
    <cellStyle name="Total 6 3 5" xfId="1348"/>
    <cellStyle name="Total 6 3 5 2" xfId="2250"/>
    <cellStyle name="Total 6 3 5 2 2" xfId="4050"/>
    <cellStyle name="Total 6 3 5 2 2 2" xfId="6939"/>
    <cellStyle name="Total 6 3 5 2 2 2 2" xfId="15582"/>
    <cellStyle name="Total 6 3 5 2 2 2 2 2" xfId="28112"/>
    <cellStyle name="Total 6 3 5 2 2 2 2 2 2" xfId="57291"/>
    <cellStyle name="Total 6 3 5 2 2 2 2 3" xfId="44763"/>
    <cellStyle name="Total 6 3 5 2 2 2 3" xfId="23684"/>
    <cellStyle name="Total 6 3 5 2 2 2 3 2" xfId="52863"/>
    <cellStyle name="Total 6 3 5 2 2 2 4" xfId="36122"/>
    <cellStyle name="Total 6 3 5 2 2 3" xfId="7030"/>
    <cellStyle name="Total 6 3 5 2 2 3 2" xfId="15647"/>
    <cellStyle name="Total 6 3 5 2 2 3 2 2" xfId="28156"/>
    <cellStyle name="Total 6 3 5 2 2 3 2 2 2" xfId="57335"/>
    <cellStyle name="Total 6 3 5 2 2 3 2 3" xfId="44828"/>
    <cellStyle name="Total 6 3 5 2 2 3 3" xfId="23728"/>
    <cellStyle name="Total 6 3 5 2 2 3 3 2" xfId="52907"/>
    <cellStyle name="Total 6 3 5 2 2 3 4" xfId="36213"/>
    <cellStyle name="Total 6 3 5 2 2 4" xfId="13336"/>
    <cellStyle name="Total 6 3 5 2 2 4 2" xfId="26672"/>
    <cellStyle name="Total 6 3 5 2 2 4 2 2" xfId="55851"/>
    <cellStyle name="Total 6 3 5 2 2 4 3" xfId="42517"/>
    <cellStyle name="Total 6 3 5 2 2 5" xfId="22244"/>
    <cellStyle name="Total 6 3 5 2 2 5 2" xfId="51423"/>
    <cellStyle name="Total 6 3 5 2 2 6" xfId="33233"/>
    <cellStyle name="Total 6 3 5 2 3" xfId="5499"/>
    <cellStyle name="Total 6 3 5 2 3 2" xfId="14462"/>
    <cellStyle name="Total 6 3 5 2 3 2 2" xfId="27392"/>
    <cellStyle name="Total 6 3 5 2 3 2 2 2" xfId="56571"/>
    <cellStyle name="Total 6 3 5 2 3 2 3" xfId="43643"/>
    <cellStyle name="Total 6 3 5 2 3 3" xfId="22964"/>
    <cellStyle name="Total 6 3 5 2 3 3 2" xfId="52143"/>
    <cellStyle name="Total 6 3 5 2 3 4" xfId="34682"/>
    <cellStyle name="Total 6 3 5 2 4" xfId="7857"/>
    <cellStyle name="Total 6 3 5 2 4 2" xfId="16224"/>
    <cellStyle name="Total 6 3 5 2 4 2 2" xfId="28500"/>
    <cellStyle name="Total 6 3 5 2 4 2 2 2" xfId="57679"/>
    <cellStyle name="Total 6 3 5 2 4 2 3" xfId="45405"/>
    <cellStyle name="Total 6 3 5 2 4 3" xfId="24072"/>
    <cellStyle name="Total 6 3 5 2 4 3 2" xfId="53251"/>
    <cellStyle name="Total 6 3 5 2 4 4" xfId="37040"/>
    <cellStyle name="Total 6 3 5 2 5" xfId="12059"/>
    <cellStyle name="Total 6 3 5 2 5 2" xfId="25952"/>
    <cellStyle name="Total 6 3 5 2 5 2 2" xfId="55131"/>
    <cellStyle name="Total 6 3 5 2 5 3" xfId="41240"/>
    <cellStyle name="Total 6 3 5 2 6" xfId="21524"/>
    <cellStyle name="Total 6 3 5 2 6 2" xfId="50703"/>
    <cellStyle name="Total 6 3 5 2 7" xfId="31433"/>
    <cellStyle name="Total 6 3 5 3" xfId="3150"/>
    <cellStyle name="Total 6 3 5 3 2" xfId="6219"/>
    <cellStyle name="Total 6 3 5 3 2 2" xfId="15022"/>
    <cellStyle name="Total 6 3 5 3 2 2 2" xfId="27752"/>
    <cellStyle name="Total 6 3 5 3 2 2 2 2" xfId="56931"/>
    <cellStyle name="Total 6 3 5 3 2 2 3" xfId="44203"/>
    <cellStyle name="Total 6 3 5 3 2 3" xfId="23324"/>
    <cellStyle name="Total 6 3 5 3 2 3 2" xfId="52503"/>
    <cellStyle name="Total 6 3 5 3 2 4" xfId="35402"/>
    <cellStyle name="Total 6 3 5 3 3" xfId="7219"/>
    <cellStyle name="Total 6 3 5 3 3 2" xfId="15781"/>
    <cellStyle name="Total 6 3 5 3 3 2 2" xfId="28240"/>
    <cellStyle name="Total 6 3 5 3 3 2 2 2" xfId="57419"/>
    <cellStyle name="Total 6 3 5 3 3 2 3" xfId="44962"/>
    <cellStyle name="Total 6 3 5 3 3 3" xfId="23812"/>
    <cellStyle name="Total 6 3 5 3 3 3 2" xfId="52991"/>
    <cellStyle name="Total 6 3 5 3 3 4" xfId="36402"/>
    <cellStyle name="Total 6 3 5 3 4" xfId="12697"/>
    <cellStyle name="Total 6 3 5 3 4 2" xfId="26312"/>
    <cellStyle name="Total 6 3 5 3 4 2 2" xfId="55491"/>
    <cellStyle name="Total 6 3 5 3 4 3" xfId="41878"/>
    <cellStyle name="Total 6 3 5 3 5" xfId="21884"/>
    <cellStyle name="Total 6 3 5 3 5 2" xfId="51063"/>
    <cellStyle name="Total 6 3 5 3 6" xfId="32333"/>
    <cellStyle name="Total 6 3 5 4" xfId="4779"/>
    <cellStyle name="Total 6 3 5 4 2" xfId="13899"/>
    <cellStyle name="Total 6 3 5 4 2 2" xfId="27032"/>
    <cellStyle name="Total 6 3 5 4 2 2 2" xfId="56211"/>
    <cellStyle name="Total 6 3 5 4 2 3" xfId="43080"/>
    <cellStyle name="Total 6 3 5 4 3" xfId="22604"/>
    <cellStyle name="Total 6 3 5 4 3 2" xfId="51783"/>
    <cellStyle name="Total 6 3 5 4 4" xfId="33962"/>
    <cellStyle name="Total 6 3 5 5" xfId="8634"/>
    <cellStyle name="Total 6 3 5 5 2" xfId="16777"/>
    <cellStyle name="Total 6 3 5 5 2 2" xfId="28802"/>
    <cellStyle name="Total 6 3 5 5 2 2 2" xfId="57981"/>
    <cellStyle name="Total 6 3 5 5 2 3" xfId="45958"/>
    <cellStyle name="Total 6 3 5 5 3" xfId="24374"/>
    <cellStyle name="Total 6 3 5 5 3 2" xfId="53553"/>
    <cellStyle name="Total 6 3 5 5 4" xfId="37817"/>
    <cellStyle name="Total 6 3 5 6" xfId="11428"/>
    <cellStyle name="Total 6 3 5 6 2" xfId="25592"/>
    <cellStyle name="Total 6 3 5 6 2 2" xfId="54771"/>
    <cellStyle name="Total 6 3 5 6 3" xfId="40609"/>
    <cellStyle name="Total 6 3 5 7" xfId="21164"/>
    <cellStyle name="Total 6 3 5 7 2" xfId="50343"/>
    <cellStyle name="Total 6 3 5 8" xfId="30533"/>
    <cellStyle name="Total 6 3 6" xfId="1530"/>
    <cellStyle name="Total 6 3 6 2" xfId="3330"/>
    <cellStyle name="Total 6 3 6 2 2" xfId="6363"/>
    <cellStyle name="Total 6 3 6 2 2 2" xfId="15125"/>
    <cellStyle name="Total 6 3 6 2 2 2 2" xfId="27824"/>
    <cellStyle name="Total 6 3 6 2 2 2 2 2" xfId="57003"/>
    <cellStyle name="Total 6 3 6 2 2 2 3" xfId="44306"/>
    <cellStyle name="Total 6 3 6 2 2 3" xfId="23396"/>
    <cellStyle name="Total 6 3 6 2 2 3 2" xfId="52575"/>
    <cellStyle name="Total 6 3 6 2 2 4" xfId="35546"/>
    <cellStyle name="Total 6 3 6 2 3" xfId="9656"/>
    <cellStyle name="Total 6 3 6 2 3 2" xfId="17513"/>
    <cellStyle name="Total 6 3 6 2 3 2 2" xfId="29213"/>
    <cellStyle name="Total 6 3 6 2 3 2 2 2" xfId="58392"/>
    <cellStyle name="Total 6 3 6 2 3 2 3" xfId="46694"/>
    <cellStyle name="Total 6 3 6 2 3 3" xfId="24785"/>
    <cellStyle name="Total 6 3 6 2 3 3 2" xfId="53964"/>
    <cellStyle name="Total 6 3 6 2 3 4" xfId="38839"/>
    <cellStyle name="Total 6 3 6 2 4" xfId="12821"/>
    <cellStyle name="Total 6 3 6 2 4 2" xfId="26384"/>
    <cellStyle name="Total 6 3 6 2 4 2 2" xfId="55563"/>
    <cellStyle name="Total 6 3 6 2 4 3" xfId="42002"/>
    <cellStyle name="Total 6 3 6 2 5" xfId="21956"/>
    <cellStyle name="Total 6 3 6 2 5 2" xfId="51135"/>
    <cellStyle name="Total 6 3 6 2 6" xfId="32513"/>
    <cellStyle name="Total 6 3 6 3" xfId="4923"/>
    <cellStyle name="Total 6 3 6 3 2" xfId="14004"/>
    <cellStyle name="Total 6 3 6 3 2 2" xfId="27104"/>
    <cellStyle name="Total 6 3 6 3 2 2 2" xfId="56283"/>
    <cellStyle name="Total 6 3 6 3 2 3" xfId="43185"/>
    <cellStyle name="Total 6 3 6 3 3" xfId="22676"/>
    <cellStyle name="Total 6 3 6 3 3 2" xfId="51855"/>
    <cellStyle name="Total 6 3 6 3 4" xfId="34106"/>
    <cellStyle name="Total 6 3 6 4" xfId="9245"/>
    <cellStyle name="Total 6 3 6 4 2" xfId="17223"/>
    <cellStyle name="Total 6 3 6 4 2 2" xfId="29045"/>
    <cellStyle name="Total 6 3 6 4 2 2 2" xfId="58224"/>
    <cellStyle name="Total 6 3 6 4 2 3" xfId="46404"/>
    <cellStyle name="Total 6 3 6 4 3" xfId="24617"/>
    <cellStyle name="Total 6 3 6 4 3 2" xfId="53796"/>
    <cellStyle name="Total 6 3 6 4 4" xfId="38428"/>
    <cellStyle name="Total 6 3 6 5" xfId="11549"/>
    <cellStyle name="Total 6 3 6 5 2" xfId="25664"/>
    <cellStyle name="Total 6 3 6 5 2 2" xfId="54843"/>
    <cellStyle name="Total 6 3 6 5 3" xfId="40730"/>
    <cellStyle name="Total 6 3 6 6" xfId="21236"/>
    <cellStyle name="Total 6 3 6 6 2" xfId="50415"/>
    <cellStyle name="Total 6 3 6 7" xfId="30713"/>
    <cellStyle name="Total 6 3 7" xfId="2430"/>
    <cellStyle name="Total 6 3 7 2" xfId="5643"/>
    <cellStyle name="Total 6 3 7 2 2" xfId="14571"/>
    <cellStyle name="Total 6 3 7 2 2 2" xfId="27464"/>
    <cellStyle name="Total 6 3 7 2 2 2 2" xfId="56643"/>
    <cellStyle name="Total 6 3 7 2 2 3" xfId="43752"/>
    <cellStyle name="Total 6 3 7 2 3" xfId="23036"/>
    <cellStyle name="Total 6 3 7 2 3 2" xfId="52215"/>
    <cellStyle name="Total 6 3 7 2 4" xfId="34826"/>
    <cellStyle name="Total 6 3 7 3" xfId="7541"/>
    <cellStyle name="Total 6 3 7 3 2" xfId="16007"/>
    <cellStyle name="Total 6 3 7 3 2 2" xfId="28383"/>
    <cellStyle name="Total 6 3 7 3 2 2 2" xfId="57562"/>
    <cellStyle name="Total 6 3 7 3 2 3" xfId="45188"/>
    <cellStyle name="Total 6 3 7 3 3" xfId="23955"/>
    <cellStyle name="Total 6 3 7 3 3 2" xfId="53134"/>
    <cellStyle name="Total 6 3 7 3 4" xfId="36724"/>
    <cellStyle name="Total 6 3 7 4" xfId="12183"/>
    <cellStyle name="Total 6 3 7 4 2" xfId="26024"/>
    <cellStyle name="Total 6 3 7 4 2 2" xfId="55203"/>
    <cellStyle name="Total 6 3 7 4 3" xfId="41364"/>
    <cellStyle name="Total 6 3 7 5" xfId="21596"/>
    <cellStyle name="Total 6 3 7 5 2" xfId="50775"/>
    <cellStyle name="Total 6 3 7 6" xfId="31613"/>
    <cellStyle name="Total 6 3 8" xfId="4203"/>
    <cellStyle name="Total 6 3 8 2" xfId="13452"/>
    <cellStyle name="Total 6 3 8 2 2" xfId="26744"/>
    <cellStyle name="Total 6 3 8 2 2 2" xfId="55923"/>
    <cellStyle name="Total 6 3 8 2 3" xfId="42633"/>
    <cellStyle name="Total 6 3 8 3" xfId="22316"/>
    <cellStyle name="Total 6 3 8 3 2" xfId="51495"/>
    <cellStyle name="Total 6 3 8 4" xfId="33386"/>
    <cellStyle name="Total 6 3 9" xfId="10373"/>
    <cellStyle name="Total 6 3 9 2" xfId="18017"/>
    <cellStyle name="Total 6 3 9 2 2" xfId="29494"/>
    <cellStyle name="Total 6 3 9 2 2 2" xfId="58673"/>
    <cellStyle name="Total 6 3 9 2 3" xfId="47198"/>
    <cellStyle name="Total 6 3 9 3" xfId="25066"/>
    <cellStyle name="Total 6 3 9 3 2" xfId="54245"/>
    <cellStyle name="Total 6 3 9 4" xfId="39556"/>
    <cellStyle name="Total 6 4" xfId="770"/>
    <cellStyle name="Total 6 4 2" xfId="1708"/>
    <cellStyle name="Total 6 4 2 2" xfId="3508"/>
    <cellStyle name="Total 6 4 2 2 2" xfId="6505"/>
    <cellStyle name="Total 6 4 2 2 2 2" xfId="15239"/>
    <cellStyle name="Total 6 4 2 2 2 2 2" xfId="27876"/>
    <cellStyle name="Total 6 4 2 2 2 2 2 2" xfId="57055"/>
    <cellStyle name="Total 6 4 2 2 2 2 3" xfId="44420"/>
    <cellStyle name="Total 6 4 2 2 2 3" xfId="23448"/>
    <cellStyle name="Total 6 4 2 2 2 3 2" xfId="52627"/>
    <cellStyle name="Total 6 4 2 2 2 4" xfId="35688"/>
    <cellStyle name="Total 6 4 2 2 3" xfId="8346"/>
    <cellStyle name="Total 6 4 2 2 3 2" xfId="16578"/>
    <cellStyle name="Total 6 4 2 2 3 2 2" xfId="28694"/>
    <cellStyle name="Total 6 4 2 2 3 2 2 2" xfId="57873"/>
    <cellStyle name="Total 6 4 2 2 3 2 3" xfId="45759"/>
    <cellStyle name="Total 6 4 2 2 3 3" xfId="24266"/>
    <cellStyle name="Total 6 4 2 2 3 3 2" xfId="53445"/>
    <cellStyle name="Total 6 4 2 2 3 4" xfId="37529"/>
    <cellStyle name="Total 6 4 2 2 4" xfId="12945"/>
    <cellStyle name="Total 6 4 2 2 4 2" xfId="26436"/>
    <cellStyle name="Total 6 4 2 2 4 2 2" xfId="55615"/>
    <cellStyle name="Total 6 4 2 2 4 3" xfId="42126"/>
    <cellStyle name="Total 6 4 2 2 5" xfId="22008"/>
    <cellStyle name="Total 6 4 2 2 5 2" xfId="51187"/>
    <cellStyle name="Total 6 4 2 2 6" xfId="32691"/>
    <cellStyle name="Total 6 4 2 3" xfId="5065"/>
    <cellStyle name="Total 6 4 2 3 2" xfId="14115"/>
    <cellStyle name="Total 6 4 2 3 2 2" xfId="27156"/>
    <cellStyle name="Total 6 4 2 3 2 2 2" xfId="56335"/>
    <cellStyle name="Total 6 4 2 3 2 3" xfId="43296"/>
    <cellStyle name="Total 6 4 2 3 3" xfId="22728"/>
    <cellStyle name="Total 6 4 2 3 3 2" xfId="51907"/>
    <cellStyle name="Total 6 4 2 3 4" xfId="34248"/>
    <cellStyle name="Total 6 4 2 4" xfId="7925"/>
    <cellStyle name="Total 6 4 2 4 2" xfId="16274"/>
    <cellStyle name="Total 6 4 2 4 2 2" xfId="28531"/>
    <cellStyle name="Total 6 4 2 4 2 2 2" xfId="57710"/>
    <cellStyle name="Total 6 4 2 4 2 3" xfId="45455"/>
    <cellStyle name="Total 6 4 2 4 3" xfId="24103"/>
    <cellStyle name="Total 6 4 2 4 3 2" xfId="53282"/>
    <cellStyle name="Total 6 4 2 4 4" xfId="37108"/>
    <cellStyle name="Total 6 4 2 5" xfId="11672"/>
    <cellStyle name="Total 6 4 2 5 2" xfId="25716"/>
    <cellStyle name="Total 6 4 2 5 2 2" xfId="54895"/>
    <cellStyle name="Total 6 4 2 5 3" xfId="40853"/>
    <cellStyle name="Total 6 4 2 6" xfId="21288"/>
    <cellStyle name="Total 6 4 2 6 2" xfId="50467"/>
    <cellStyle name="Total 6 4 2 7" xfId="30891"/>
    <cellStyle name="Total 6 4 3" xfId="2608"/>
    <cellStyle name="Total 6 4 3 2" xfId="5785"/>
    <cellStyle name="Total 6 4 3 2 2" xfId="14680"/>
    <cellStyle name="Total 6 4 3 2 2 2" xfId="27516"/>
    <cellStyle name="Total 6 4 3 2 2 2 2" xfId="56695"/>
    <cellStyle name="Total 6 4 3 2 2 3" xfId="43861"/>
    <cellStyle name="Total 6 4 3 2 3" xfId="23088"/>
    <cellStyle name="Total 6 4 3 2 3 2" xfId="52267"/>
    <cellStyle name="Total 6 4 3 2 4" xfId="34968"/>
    <cellStyle name="Total 6 4 3 3" xfId="8698"/>
    <cellStyle name="Total 6 4 3 3 2" xfId="16826"/>
    <cellStyle name="Total 6 4 3 3 2 2" xfId="28832"/>
    <cellStyle name="Total 6 4 3 3 2 2 2" xfId="58011"/>
    <cellStyle name="Total 6 4 3 3 2 3" xfId="46007"/>
    <cellStyle name="Total 6 4 3 3 3" xfId="24404"/>
    <cellStyle name="Total 6 4 3 3 3 2" xfId="53583"/>
    <cellStyle name="Total 6 4 3 3 4" xfId="37881"/>
    <cellStyle name="Total 6 4 3 4" xfId="12307"/>
    <cellStyle name="Total 6 4 3 4 2" xfId="26076"/>
    <cellStyle name="Total 6 4 3 4 2 2" xfId="55255"/>
    <cellStyle name="Total 6 4 3 4 3" xfId="41488"/>
    <cellStyle name="Total 6 4 3 5" xfId="21648"/>
    <cellStyle name="Total 6 4 3 5 2" xfId="50827"/>
    <cellStyle name="Total 6 4 3 6" xfId="31791"/>
    <cellStyle name="Total 6 4 4" xfId="4345"/>
    <cellStyle name="Total 6 4 4 2" xfId="13559"/>
    <cellStyle name="Total 6 4 4 2 2" xfId="26796"/>
    <cellStyle name="Total 6 4 4 2 2 2" xfId="55975"/>
    <cellStyle name="Total 6 4 4 2 3" xfId="42740"/>
    <cellStyle name="Total 6 4 4 3" xfId="22368"/>
    <cellStyle name="Total 6 4 4 3 2" xfId="51547"/>
    <cellStyle name="Total 6 4 4 4" xfId="33528"/>
    <cellStyle name="Total 6 4 5" xfId="7339"/>
    <cellStyle name="Total 6 4 5 2" xfId="15866"/>
    <cellStyle name="Total 6 4 5 2 2" xfId="28293"/>
    <cellStyle name="Total 6 4 5 2 2 2" xfId="57472"/>
    <cellStyle name="Total 6 4 5 2 3" xfId="45047"/>
    <cellStyle name="Total 6 4 5 3" xfId="23865"/>
    <cellStyle name="Total 6 4 5 3 2" xfId="53044"/>
    <cellStyle name="Total 6 4 5 4" xfId="36522"/>
    <cellStyle name="Total 6 4 6" xfId="11011"/>
    <cellStyle name="Total 6 4 6 2" xfId="25332"/>
    <cellStyle name="Total 6 4 6 2 2" xfId="54511"/>
    <cellStyle name="Total 6 4 6 3" xfId="40192"/>
    <cellStyle name="Total 6 4 7" xfId="20904"/>
    <cellStyle name="Total 6 4 7 2" xfId="50083"/>
    <cellStyle name="Total 6 4 8" xfId="29967"/>
    <cellStyle name="Total 6 5" xfId="962"/>
    <cellStyle name="Total 6 5 2" xfId="1872"/>
    <cellStyle name="Total 6 5 2 2" xfId="3672"/>
    <cellStyle name="Total 6 5 2 2 2" xfId="6633"/>
    <cellStyle name="Total 6 5 2 2 2 2" xfId="15345"/>
    <cellStyle name="Total 6 5 2 2 2 2 2" xfId="27950"/>
    <cellStyle name="Total 6 5 2 2 2 2 2 2" xfId="57129"/>
    <cellStyle name="Total 6 5 2 2 2 2 3" xfId="44526"/>
    <cellStyle name="Total 6 5 2 2 2 3" xfId="23522"/>
    <cellStyle name="Total 6 5 2 2 2 3 2" xfId="52701"/>
    <cellStyle name="Total 6 5 2 2 2 4" xfId="35816"/>
    <cellStyle name="Total 6 5 2 2 3" xfId="8188"/>
    <cellStyle name="Total 6 5 2 2 3 2" xfId="16455"/>
    <cellStyle name="Total 6 5 2 2 3 2 2" xfId="28628"/>
    <cellStyle name="Total 6 5 2 2 3 2 2 2" xfId="57807"/>
    <cellStyle name="Total 6 5 2 2 3 2 3" xfId="45636"/>
    <cellStyle name="Total 6 5 2 2 3 3" xfId="24200"/>
    <cellStyle name="Total 6 5 2 2 3 3 2" xfId="53379"/>
    <cellStyle name="Total 6 5 2 2 3 4" xfId="37371"/>
    <cellStyle name="Total 6 5 2 2 4" xfId="13066"/>
    <cellStyle name="Total 6 5 2 2 4 2" xfId="26510"/>
    <cellStyle name="Total 6 5 2 2 4 2 2" xfId="55689"/>
    <cellStyle name="Total 6 5 2 2 4 3" xfId="42247"/>
    <cellStyle name="Total 6 5 2 2 5" xfId="22082"/>
    <cellStyle name="Total 6 5 2 2 5 2" xfId="51261"/>
    <cellStyle name="Total 6 5 2 2 6" xfId="32855"/>
    <cellStyle name="Total 6 5 2 3" xfId="5193"/>
    <cellStyle name="Total 6 5 2 3 2" xfId="14223"/>
    <cellStyle name="Total 6 5 2 3 2 2" xfId="27230"/>
    <cellStyle name="Total 6 5 2 3 2 2 2" xfId="56409"/>
    <cellStyle name="Total 6 5 2 3 2 3" xfId="43404"/>
    <cellStyle name="Total 6 5 2 3 3" xfId="22802"/>
    <cellStyle name="Total 6 5 2 3 3 2" xfId="51981"/>
    <cellStyle name="Total 6 5 2 3 4" xfId="34376"/>
    <cellStyle name="Total 6 5 2 4" xfId="7757"/>
    <cellStyle name="Total 6 5 2 4 2" xfId="16154"/>
    <cellStyle name="Total 6 5 2 4 2 2" xfId="28462"/>
    <cellStyle name="Total 6 5 2 4 2 2 2" xfId="57641"/>
    <cellStyle name="Total 6 5 2 4 2 3" xfId="45335"/>
    <cellStyle name="Total 6 5 2 4 3" xfId="24034"/>
    <cellStyle name="Total 6 5 2 4 3 2" xfId="53213"/>
    <cellStyle name="Total 6 5 2 4 4" xfId="36940"/>
    <cellStyle name="Total 6 5 2 5" xfId="11791"/>
    <cellStyle name="Total 6 5 2 5 2" xfId="25790"/>
    <cellStyle name="Total 6 5 2 5 2 2" xfId="54969"/>
    <cellStyle name="Total 6 5 2 5 3" xfId="40972"/>
    <cellStyle name="Total 6 5 2 6" xfId="21362"/>
    <cellStyle name="Total 6 5 2 6 2" xfId="50541"/>
    <cellStyle name="Total 6 5 2 7" xfId="31055"/>
    <cellStyle name="Total 6 5 3" xfId="2772"/>
    <cellStyle name="Total 6 5 3 2" xfId="5913"/>
    <cellStyle name="Total 6 5 3 2 2" xfId="14788"/>
    <cellStyle name="Total 6 5 3 2 2 2" xfId="27590"/>
    <cellStyle name="Total 6 5 3 2 2 2 2" xfId="56769"/>
    <cellStyle name="Total 6 5 3 2 2 3" xfId="43969"/>
    <cellStyle name="Total 6 5 3 2 3" xfId="23162"/>
    <cellStyle name="Total 6 5 3 2 3 2" xfId="52341"/>
    <cellStyle name="Total 6 5 3 2 4" xfId="35096"/>
    <cellStyle name="Total 6 5 3 3" xfId="8557"/>
    <cellStyle name="Total 6 5 3 3 2" xfId="16718"/>
    <cellStyle name="Total 6 5 3 3 2 2" xfId="28768"/>
    <cellStyle name="Total 6 5 3 3 2 2 2" xfId="57947"/>
    <cellStyle name="Total 6 5 3 3 2 3" xfId="45899"/>
    <cellStyle name="Total 6 5 3 3 3" xfId="24340"/>
    <cellStyle name="Total 6 5 3 3 3 2" xfId="53519"/>
    <cellStyle name="Total 6 5 3 3 4" xfId="37740"/>
    <cellStyle name="Total 6 5 3 4" xfId="12431"/>
    <cellStyle name="Total 6 5 3 4 2" xfId="26150"/>
    <cellStyle name="Total 6 5 3 4 2 2" xfId="55329"/>
    <cellStyle name="Total 6 5 3 4 3" xfId="41612"/>
    <cellStyle name="Total 6 5 3 5" xfId="21722"/>
    <cellStyle name="Total 6 5 3 5 2" xfId="50901"/>
    <cellStyle name="Total 6 5 3 6" xfId="31955"/>
    <cellStyle name="Total 6 5 4" xfId="4473"/>
    <cellStyle name="Total 6 5 4 2" xfId="13666"/>
    <cellStyle name="Total 6 5 4 2 2" xfId="26870"/>
    <cellStyle name="Total 6 5 4 2 2 2" xfId="56049"/>
    <cellStyle name="Total 6 5 4 2 3" xfId="42847"/>
    <cellStyle name="Total 6 5 4 3" xfId="22442"/>
    <cellStyle name="Total 6 5 4 3 2" xfId="51621"/>
    <cellStyle name="Total 6 5 4 4" xfId="33656"/>
    <cellStyle name="Total 6 5 5" xfId="9107"/>
    <cellStyle name="Total 6 5 5 2" xfId="17126"/>
    <cellStyle name="Total 6 5 5 2 2" xfId="28995"/>
    <cellStyle name="Total 6 5 5 2 2 2" xfId="58174"/>
    <cellStyle name="Total 6 5 5 2 3" xfId="46307"/>
    <cellStyle name="Total 6 5 5 3" xfId="24567"/>
    <cellStyle name="Total 6 5 5 3 2" xfId="53746"/>
    <cellStyle name="Total 6 5 5 4" xfId="38290"/>
    <cellStyle name="Total 6 5 6" xfId="11156"/>
    <cellStyle name="Total 6 5 6 2" xfId="25427"/>
    <cellStyle name="Total 6 5 6 2 2" xfId="54606"/>
    <cellStyle name="Total 6 5 6 3" xfId="40337"/>
    <cellStyle name="Total 6 5 7" xfId="20999"/>
    <cellStyle name="Total 6 5 7 2" xfId="50178"/>
    <cellStyle name="Total 6 5 8" xfId="30152"/>
    <cellStyle name="Total 6 6" xfId="1112"/>
    <cellStyle name="Total 6 6 2" xfId="2016"/>
    <cellStyle name="Total 6 6 2 2" xfId="3816"/>
    <cellStyle name="Total 6 6 2 2 2" xfId="6750"/>
    <cellStyle name="Total 6 6 2 2 2 2" xfId="15436"/>
    <cellStyle name="Total 6 6 2 2 2 2 2" xfId="28013"/>
    <cellStyle name="Total 6 6 2 2 2 2 2 2" xfId="57192"/>
    <cellStyle name="Total 6 6 2 2 2 2 3" xfId="44617"/>
    <cellStyle name="Total 6 6 2 2 2 3" xfId="23585"/>
    <cellStyle name="Total 6 6 2 2 2 3 2" xfId="52764"/>
    <cellStyle name="Total 6 6 2 2 2 4" xfId="35933"/>
    <cellStyle name="Total 6 6 2 2 3" xfId="8763"/>
    <cellStyle name="Total 6 6 2 2 3 2" xfId="16872"/>
    <cellStyle name="Total 6 6 2 2 3 2 2" xfId="28856"/>
    <cellStyle name="Total 6 6 2 2 3 2 2 2" xfId="58035"/>
    <cellStyle name="Total 6 6 2 2 3 2 3" xfId="46053"/>
    <cellStyle name="Total 6 6 2 2 3 3" xfId="24428"/>
    <cellStyle name="Total 6 6 2 2 3 3 2" xfId="53607"/>
    <cellStyle name="Total 6 6 2 2 3 4" xfId="37946"/>
    <cellStyle name="Total 6 6 2 2 4" xfId="13173"/>
    <cellStyle name="Total 6 6 2 2 4 2" xfId="26573"/>
    <cellStyle name="Total 6 6 2 2 4 2 2" xfId="55752"/>
    <cellStyle name="Total 6 6 2 2 4 3" xfId="42354"/>
    <cellStyle name="Total 6 6 2 2 5" xfId="22145"/>
    <cellStyle name="Total 6 6 2 2 5 2" xfId="51324"/>
    <cellStyle name="Total 6 6 2 2 6" xfId="32999"/>
    <cellStyle name="Total 6 6 2 3" xfId="5310"/>
    <cellStyle name="Total 6 6 2 3 2" xfId="14315"/>
    <cellStyle name="Total 6 6 2 3 2 2" xfId="27293"/>
    <cellStyle name="Total 6 6 2 3 2 2 2" xfId="56472"/>
    <cellStyle name="Total 6 6 2 3 2 3" xfId="43496"/>
    <cellStyle name="Total 6 6 2 3 3" xfId="22865"/>
    <cellStyle name="Total 6 6 2 3 3 2" xfId="52044"/>
    <cellStyle name="Total 6 6 2 3 4" xfId="34493"/>
    <cellStyle name="Total 6 6 2 4" xfId="8322"/>
    <cellStyle name="Total 6 6 2 4 2" xfId="16557"/>
    <cellStyle name="Total 6 6 2 4 2 2" xfId="28683"/>
    <cellStyle name="Total 6 6 2 4 2 2 2" xfId="57862"/>
    <cellStyle name="Total 6 6 2 4 2 3" xfId="45738"/>
    <cellStyle name="Total 6 6 2 4 3" xfId="24255"/>
    <cellStyle name="Total 6 6 2 4 3 2" xfId="53434"/>
    <cellStyle name="Total 6 6 2 4 4" xfId="37505"/>
    <cellStyle name="Total 6 6 2 5" xfId="11897"/>
    <cellStyle name="Total 6 6 2 5 2" xfId="25853"/>
    <cellStyle name="Total 6 6 2 5 2 2" xfId="55032"/>
    <cellStyle name="Total 6 6 2 5 3" xfId="41078"/>
    <cellStyle name="Total 6 6 2 6" xfId="21425"/>
    <cellStyle name="Total 6 6 2 6 2" xfId="50604"/>
    <cellStyle name="Total 6 6 2 7" xfId="31199"/>
    <cellStyle name="Total 6 6 3" xfId="2916"/>
    <cellStyle name="Total 6 6 3 2" xfId="6030"/>
    <cellStyle name="Total 6 6 3 2 2" xfId="14876"/>
    <cellStyle name="Total 6 6 3 2 2 2" xfId="27653"/>
    <cellStyle name="Total 6 6 3 2 2 2 2" xfId="56832"/>
    <cellStyle name="Total 6 6 3 2 2 3" xfId="44057"/>
    <cellStyle name="Total 6 6 3 2 3" xfId="23225"/>
    <cellStyle name="Total 6 6 3 2 3 2" xfId="52404"/>
    <cellStyle name="Total 6 6 3 2 4" xfId="35213"/>
    <cellStyle name="Total 6 6 3 3" xfId="9851"/>
    <cellStyle name="Total 6 6 3 3 2" xfId="17658"/>
    <cellStyle name="Total 6 6 3 3 2 2" xfId="29291"/>
    <cellStyle name="Total 6 6 3 3 2 2 2" xfId="58470"/>
    <cellStyle name="Total 6 6 3 3 2 3" xfId="46839"/>
    <cellStyle name="Total 6 6 3 3 3" xfId="24863"/>
    <cellStyle name="Total 6 6 3 3 3 2" xfId="54042"/>
    <cellStyle name="Total 6 6 3 3 4" xfId="39034"/>
    <cellStyle name="Total 6 6 3 4" xfId="12533"/>
    <cellStyle name="Total 6 6 3 4 2" xfId="26213"/>
    <cellStyle name="Total 6 6 3 4 2 2" xfId="55392"/>
    <cellStyle name="Total 6 6 3 4 3" xfId="41714"/>
    <cellStyle name="Total 6 6 3 5" xfId="21785"/>
    <cellStyle name="Total 6 6 3 5 2" xfId="50964"/>
    <cellStyle name="Total 6 6 3 6" xfId="32099"/>
    <cellStyle name="Total 6 6 4" xfId="4590"/>
    <cellStyle name="Total 6 6 4 2" xfId="13756"/>
    <cellStyle name="Total 6 6 4 2 2" xfId="26933"/>
    <cellStyle name="Total 6 6 4 2 2 2" xfId="56112"/>
    <cellStyle name="Total 6 6 4 2 3" xfId="42937"/>
    <cellStyle name="Total 6 6 4 3" xfId="22505"/>
    <cellStyle name="Total 6 6 4 3 2" xfId="51684"/>
    <cellStyle name="Total 6 6 4 4" xfId="33773"/>
    <cellStyle name="Total 6 6 5" xfId="8498"/>
    <cellStyle name="Total 6 6 5 2" xfId="16680"/>
    <cellStyle name="Total 6 6 5 2 2" xfId="28746"/>
    <cellStyle name="Total 6 6 5 2 2 2" xfId="57925"/>
    <cellStyle name="Total 6 6 5 2 3" xfId="45861"/>
    <cellStyle name="Total 6 6 5 3" xfId="24318"/>
    <cellStyle name="Total 6 6 5 3 2" xfId="53497"/>
    <cellStyle name="Total 6 6 5 4" xfId="37681"/>
    <cellStyle name="Total 6 6 6" xfId="11265"/>
    <cellStyle name="Total 6 6 6 2" xfId="25493"/>
    <cellStyle name="Total 6 6 6 2 2" xfId="54672"/>
    <cellStyle name="Total 6 6 6 3" xfId="40446"/>
    <cellStyle name="Total 6 6 7" xfId="21065"/>
    <cellStyle name="Total 6 6 7 2" xfId="50244"/>
    <cellStyle name="Total 6 6 8" xfId="30299"/>
    <cellStyle name="Total 6 7" xfId="1258"/>
    <cellStyle name="Total 6 7 2" xfId="2160"/>
    <cellStyle name="Total 6 7 2 2" xfId="3960"/>
    <cellStyle name="Total 6 7 2 2 2" xfId="6867"/>
    <cellStyle name="Total 6 7 2 2 2 2" xfId="15526"/>
    <cellStyle name="Total 6 7 2 2 2 2 2" xfId="28076"/>
    <cellStyle name="Total 6 7 2 2 2 2 2 2" xfId="57255"/>
    <cellStyle name="Total 6 7 2 2 2 2 3" xfId="44707"/>
    <cellStyle name="Total 6 7 2 2 2 3" xfId="23648"/>
    <cellStyle name="Total 6 7 2 2 2 3 2" xfId="52827"/>
    <cellStyle name="Total 6 7 2 2 2 4" xfId="36050"/>
    <cellStyle name="Total 6 7 2 2 3" xfId="7120"/>
    <cellStyle name="Total 6 7 2 2 3 2" xfId="15710"/>
    <cellStyle name="Total 6 7 2 2 3 2 2" xfId="28192"/>
    <cellStyle name="Total 6 7 2 2 3 2 2 2" xfId="57371"/>
    <cellStyle name="Total 6 7 2 2 3 2 3" xfId="44891"/>
    <cellStyle name="Total 6 7 2 2 3 3" xfId="23764"/>
    <cellStyle name="Total 6 7 2 2 3 3 2" xfId="52943"/>
    <cellStyle name="Total 6 7 2 2 3 4" xfId="36303"/>
    <cellStyle name="Total 6 7 2 2 4" xfId="13271"/>
    <cellStyle name="Total 6 7 2 2 4 2" xfId="26636"/>
    <cellStyle name="Total 6 7 2 2 4 2 2" xfId="55815"/>
    <cellStyle name="Total 6 7 2 2 4 3" xfId="42452"/>
    <cellStyle name="Total 6 7 2 2 5" xfId="22208"/>
    <cellStyle name="Total 6 7 2 2 5 2" xfId="51387"/>
    <cellStyle name="Total 6 7 2 2 6" xfId="33143"/>
    <cellStyle name="Total 6 7 2 3" xfId="5427"/>
    <cellStyle name="Total 6 7 2 3 2" xfId="14404"/>
    <cellStyle name="Total 6 7 2 3 2 2" xfId="27356"/>
    <cellStyle name="Total 6 7 2 3 2 2 2" xfId="56535"/>
    <cellStyle name="Total 6 7 2 3 2 3" xfId="43585"/>
    <cellStyle name="Total 6 7 2 3 3" xfId="22928"/>
    <cellStyle name="Total 6 7 2 3 3 2" xfId="52107"/>
    <cellStyle name="Total 6 7 2 3 4" xfId="34610"/>
    <cellStyle name="Total 6 7 2 4" xfId="8624"/>
    <cellStyle name="Total 6 7 2 4 2" xfId="16769"/>
    <cellStyle name="Total 6 7 2 4 2 2" xfId="28795"/>
    <cellStyle name="Total 6 7 2 4 2 2 2" xfId="57974"/>
    <cellStyle name="Total 6 7 2 4 2 3" xfId="45950"/>
    <cellStyle name="Total 6 7 2 4 3" xfId="24367"/>
    <cellStyle name="Total 6 7 2 4 3 2" xfId="53546"/>
    <cellStyle name="Total 6 7 2 4 4" xfId="37807"/>
    <cellStyle name="Total 6 7 2 5" xfId="11996"/>
    <cellStyle name="Total 6 7 2 5 2" xfId="25916"/>
    <cellStyle name="Total 6 7 2 5 2 2" xfId="55095"/>
    <cellStyle name="Total 6 7 2 5 3" xfId="41177"/>
    <cellStyle name="Total 6 7 2 6" xfId="21488"/>
    <cellStyle name="Total 6 7 2 6 2" xfId="50667"/>
    <cellStyle name="Total 6 7 2 7" xfId="31343"/>
    <cellStyle name="Total 6 7 3" xfId="3060"/>
    <cellStyle name="Total 6 7 3 2" xfId="6147"/>
    <cellStyle name="Total 6 7 3 2 2" xfId="14965"/>
    <cellStyle name="Total 6 7 3 2 2 2" xfId="27716"/>
    <cellStyle name="Total 6 7 3 2 2 2 2" xfId="56895"/>
    <cellStyle name="Total 6 7 3 2 2 3" xfId="44146"/>
    <cellStyle name="Total 6 7 3 2 3" xfId="23288"/>
    <cellStyle name="Total 6 7 3 2 3 2" xfId="52467"/>
    <cellStyle name="Total 6 7 3 2 4" xfId="35330"/>
    <cellStyle name="Total 6 7 3 3" xfId="9939"/>
    <cellStyle name="Total 6 7 3 3 2" xfId="17720"/>
    <cellStyle name="Total 6 7 3 3 2 2" xfId="29326"/>
    <cellStyle name="Total 6 7 3 3 2 2 2" xfId="58505"/>
    <cellStyle name="Total 6 7 3 3 2 3" xfId="46901"/>
    <cellStyle name="Total 6 7 3 3 3" xfId="24898"/>
    <cellStyle name="Total 6 7 3 3 3 2" xfId="54077"/>
    <cellStyle name="Total 6 7 3 3 4" xfId="39122"/>
    <cellStyle name="Total 6 7 3 4" xfId="12632"/>
    <cellStyle name="Total 6 7 3 4 2" xfId="26276"/>
    <cellStyle name="Total 6 7 3 4 2 2" xfId="55455"/>
    <cellStyle name="Total 6 7 3 4 3" xfId="41813"/>
    <cellStyle name="Total 6 7 3 5" xfId="21848"/>
    <cellStyle name="Total 6 7 3 5 2" xfId="51027"/>
    <cellStyle name="Total 6 7 3 6" xfId="32243"/>
    <cellStyle name="Total 6 7 4" xfId="4707"/>
    <cellStyle name="Total 6 7 4 2" xfId="13845"/>
    <cellStyle name="Total 6 7 4 2 2" xfId="26996"/>
    <cellStyle name="Total 6 7 4 2 2 2" xfId="56175"/>
    <cellStyle name="Total 6 7 4 2 3" xfId="43026"/>
    <cellStyle name="Total 6 7 4 3" xfId="22568"/>
    <cellStyle name="Total 6 7 4 3 2" xfId="51747"/>
    <cellStyle name="Total 6 7 4 4" xfId="33890"/>
    <cellStyle name="Total 6 7 5" xfId="8612"/>
    <cellStyle name="Total 6 7 5 2" xfId="16758"/>
    <cellStyle name="Total 6 7 5 2 2" xfId="28790"/>
    <cellStyle name="Total 6 7 5 2 2 2" xfId="57969"/>
    <cellStyle name="Total 6 7 5 2 3" xfId="45939"/>
    <cellStyle name="Total 6 7 5 3" xfId="24362"/>
    <cellStyle name="Total 6 7 5 3 2" xfId="53541"/>
    <cellStyle name="Total 6 7 5 4" xfId="37795"/>
    <cellStyle name="Total 6 7 6" xfId="11367"/>
    <cellStyle name="Total 6 7 6 2" xfId="25556"/>
    <cellStyle name="Total 6 7 6 2 2" xfId="54735"/>
    <cellStyle name="Total 6 7 6 3" xfId="40548"/>
    <cellStyle name="Total 6 7 7" xfId="21128"/>
    <cellStyle name="Total 6 7 7 2" xfId="50307"/>
    <cellStyle name="Total 6 7 8" xfId="30443"/>
    <cellStyle name="Total 6 8" xfId="1440"/>
    <cellStyle name="Total 6 8 2" xfId="3240"/>
    <cellStyle name="Total 6 8 2 2" xfId="6291"/>
    <cellStyle name="Total 6 8 2 2 2" xfId="15074"/>
    <cellStyle name="Total 6 8 2 2 2 2" xfId="27788"/>
    <cellStyle name="Total 6 8 2 2 2 2 2" xfId="56967"/>
    <cellStyle name="Total 6 8 2 2 2 3" xfId="44255"/>
    <cellStyle name="Total 6 8 2 2 3" xfId="23360"/>
    <cellStyle name="Total 6 8 2 2 3 2" xfId="52539"/>
    <cellStyle name="Total 6 8 2 2 4" xfId="35474"/>
    <cellStyle name="Total 6 8 2 3" xfId="8691"/>
    <cellStyle name="Total 6 8 2 3 2" xfId="16819"/>
    <cellStyle name="Total 6 8 2 3 2 2" xfId="28827"/>
    <cellStyle name="Total 6 8 2 3 2 2 2" xfId="58006"/>
    <cellStyle name="Total 6 8 2 3 2 3" xfId="46000"/>
    <cellStyle name="Total 6 8 2 3 3" xfId="24399"/>
    <cellStyle name="Total 6 8 2 3 3 2" xfId="53578"/>
    <cellStyle name="Total 6 8 2 3 4" xfId="37874"/>
    <cellStyle name="Total 6 8 2 4" xfId="12759"/>
    <cellStyle name="Total 6 8 2 4 2" xfId="26348"/>
    <cellStyle name="Total 6 8 2 4 2 2" xfId="55527"/>
    <cellStyle name="Total 6 8 2 4 3" xfId="41940"/>
    <cellStyle name="Total 6 8 2 5" xfId="21920"/>
    <cellStyle name="Total 6 8 2 5 2" xfId="51099"/>
    <cellStyle name="Total 6 8 2 6" xfId="32423"/>
    <cellStyle name="Total 6 8 3" xfId="4851"/>
    <cellStyle name="Total 6 8 3 2" xfId="13950"/>
    <cellStyle name="Total 6 8 3 2 2" xfId="27068"/>
    <cellStyle name="Total 6 8 3 2 2 2" xfId="56247"/>
    <cellStyle name="Total 6 8 3 2 3" xfId="43131"/>
    <cellStyle name="Total 6 8 3 3" xfId="22640"/>
    <cellStyle name="Total 6 8 3 3 2" xfId="51819"/>
    <cellStyle name="Total 6 8 3 4" xfId="34034"/>
    <cellStyle name="Total 6 8 4" xfId="8476"/>
    <cellStyle name="Total 6 8 4 2" xfId="16662"/>
    <cellStyle name="Total 6 8 4 2 2" xfId="28736"/>
    <cellStyle name="Total 6 8 4 2 2 2" xfId="57915"/>
    <cellStyle name="Total 6 8 4 2 3" xfId="45843"/>
    <cellStyle name="Total 6 8 4 3" xfId="24308"/>
    <cellStyle name="Total 6 8 4 3 2" xfId="53487"/>
    <cellStyle name="Total 6 8 4 4" xfId="37659"/>
    <cellStyle name="Total 6 8 5" xfId="11488"/>
    <cellStyle name="Total 6 8 5 2" xfId="25628"/>
    <cellStyle name="Total 6 8 5 2 2" xfId="54807"/>
    <cellStyle name="Total 6 8 5 3" xfId="40669"/>
    <cellStyle name="Total 6 8 6" xfId="21200"/>
    <cellStyle name="Total 6 8 6 2" xfId="50379"/>
    <cellStyle name="Total 6 8 7" xfId="30623"/>
    <cellStyle name="Total 6 9" xfId="2340"/>
    <cellStyle name="Total 6 9 2" xfId="5571"/>
    <cellStyle name="Total 6 9 2 2" xfId="14516"/>
    <cellStyle name="Total 6 9 2 2 2" xfId="27428"/>
    <cellStyle name="Total 6 9 2 2 2 2" xfId="56607"/>
    <cellStyle name="Total 6 9 2 2 3" xfId="43697"/>
    <cellStyle name="Total 6 9 2 3" xfId="23000"/>
    <cellStyle name="Total 6 9 2 3 2" xfId="52179"/>
    <cellStyle name="Total 6 9 2 4" xfId="34754"/>
    <cellStyle name="Total 6 9 3" xfId="7522"/>
    <cellStyle name="Total 6 9 3 2" xfId="15990"/>
    <cellStyle name="Total 6 9 3 2 2" xfId="28373"/>
    <cellStyle name="Total 6 9 3 2 2 2" xfId="57552"/>
    <cellStyle name="Total 6 9 3 2 3" xfId="45171"/>
    <cellStyle name="Total 6 9 3 3" xfId="23945"/>
    <cellStyle name="Total 6 9 3 3 2" xfId="53124"/>
    <cellStyle name="Total 6 9 3 4" xfId="36705"/>
    <cellStyle name="Total 6 9 4" xfId="12120"/>
    <cellStyle name="Total 6 9 4 2" xfId="25988"/>
    <cellStyle name="Total 6 9 4 2 2" xfId="55167"/>
    <cellStyle name="Total 6 9 4 3" xfId="41301"/>
    <cellStyle name="Total 6 9 5" xfId="21560"/>
    <cellStyle name="Total 6 9 5 2" xfId="50739"/>
    <cellStyle name="Total 6 9 6" xfId="31523"/>
    <cellStyle name="Total 7" xfId="418"/>
    <cellStyle name="Total 7 10" xfId="4132"/>
    <cellStyle name="Total 7 10 2" xfId="13396"/>
    <cellStyle name="Total 7 10 2 2" xfId="26709"/>
    <cellStyle name="Total 7 10 2 2 2" xfId="55888"/>
    <cellStyle name="Total 7 10 2 3" xfId="42577"/>
    <cellStyle name="Total 7 10 3" xfId="22281"/>
    <cellStyle name="Total 7 10 3 2" xfId="51460"/>
    <cellStyle name="Total 7 10 4" xfId="33315"/>
    <cellStyle name="Total 7 11" xfId="10743"/>
    <cellStyle name="Total 7 11 2" xfId="25169"/>
    <cellStyle name="Total 7 11 2 2" xfId="54348"/>
    <cellStyle name="Total 7 11 3" xfId="39924"/>
    <cellStyle name="Total 7 12" xfId="20741"/>
    <cellStyle name="Total 7 12 2" xfId="49920"/>
    <cellStyle name="Total 7 13" xfId="58761"/>
    <cellStyle name="Total 7 14" xfId="29624"/>
    <cellStyle name="Total 7 2" xfId="463"/>
    <cellStyle name="Total 7 2 10" xfId="8997"/>
    <cellStyle name="Total 7 2 10 2" xfId="17050"/>
    <cellStyle name="Total 7 2 10 2 2" xfId="28950"/>
    <cellStyle name="Total 7 2 10 2 2 2" xfId="58129"/>
    <cellStyle name="Total 7 2 10 2 3" xfId="46231"/>
    <cellStyle name="Total 7 2 10 3" xfId="24522"/>
    <cellStyle name="Total 7 2 10 3 2" xfId="53701"/>
    <cellStyle name="Total 7 2 10 4" xfId="38180"/>
    <cellStyle name="Total 7 2 11" xfId="10777"/>
    <cellStyle name="Total 7 2 11 2" xfId="25187"/>
    <cellStyle name="Total 7 2 11 2 2" xfId="54366"/>
    <cellStyle name="Total 7 2 11 3" xfId="39958"/>
    <cellStyle name="Total 7 2 12" xfId="20759"/>
    <cellStyle name="Total 7 2 12 2" xfId="49938"/>
    <cellStyle name="Total 7 2 13" xfId="58806"/>
    <cellStyle name="Total 7 2 14" xfId="29669"/>
    <cellStyle name="Total 7 2 2" xfId="553"/>
    <cellStyle name="Total 7 2 2 10" xfId="10840"/>
    <cellStyle name="Total 7 2 2 10 2" xfId="25223"/>
    <cellStyle name="Total 7 2 2 10 2 2" xfId="54402"/>
    <cellStyle name="Total 7 2 2 10 3" xfId="40021"/>
    <cellStyle name="Total 7 2 2 11" xfId="20795"/>
    <cellStyle name="Total 7 2 2 11 2" xfId="49974"/>
    <cellStyle name="Total 7 2 2 12" xfId="29759"/>
    <cellStyle name="Total 7 2 2 2" xfId="906"/>
    <cellStyle name="Total 7 2 2 2 2" xfId="1844"/>
    <cellStyle name="Total 7 2 2 2 2 2" xfId="3644"/>
    <cellStyle name="Total 7 2 2 2 2 2 2" xfId="6614"/>
    <cellStyle name="Total 7 2 2 2 2 2 2 2" xfId="15326"/>
    <cellStyle name="Total 7 2 2 2 2 2 2 2 2" xfId="27931"/>
    <cellStyle name="Total 7 2 2 2 2 2 2 2 2 2" xfId="57110"/>
    <cellStyle name="Total 7 2 2 2 2 2 2 2 3" xfId="44507"/>
    <cellStyle name="Total 7 2 2 2 2 2 2 3" xfId="23503"/>
    <cellStyle name="Total 7 2 2 2 2 2 2 3 2" xfId="52682"/>
    <cellStyle name="Total 7 2 2 2 2 2 2 4" xfId="35797"/>
    <cellStyle name="Total 7 2 2 2 2 2 3" xfId="8547"/>
    <cellStyle name="Total 7 2 2 2 2 2 3 2" xfId="16712"/>
    <cellStyle name="Total 7 2 2 2 2 2 3 2 2" xfId="28763"/>
    <cellStyle name="Total 7 2 2 2 2 2 3 2 2 2" xfId="57942"/>
    <cellStyle name="Total 7 2 2 2 2 2 3 2 3" xfId="45893"/>
    <cellStyle name="Total 7 2 2 2 2 2 3 3" xfId="24335"/>
    <cellStyle name="Total 7 2 2 2 2 2 3 3 2" xfId="53514"/>
    <cellStyle name="Total 7 2 2 2 2 2 3 4" xfId="37730"/>
    <cellStyle name="Total 7 2 2 2 2 2 4" xfId="13045"/>
    <cellStyle name="Total 7 2 2 2 2 2 4 2" xfId="26491"/>
    <cellStyle name="Total 7 2 2 2 2 2 4 2 2" xfId="55670"/>
    <cellStyle name="Total 7 2 2 2 2 2 4 3" xfId="42226"/>
    <cellStyle name="Total 7 2 2 2 2 2 5" xfId="22063"/>
    <cellStyle name="Total 7 2 2 2 2 2 5 2" xfId="51242"/>
    <cellStyle name="Total 7 2 2 2 2 2 6" xfId="32827"/>
    <cellStyle name="Total 7 2 2 2 2 3" xfId="5174"/>
    <cellStyle name="Total 7 2 2 2 2 3 2" xfId="14204"/>
    <cellStyle name="Total 7 2 2 2 2 3 2 2" xfId="27211"/>
    <cellStyle name="Total 7 2 2 2 2 3 2 2 2" xfId="56390"/>
    <cellStyle name="Total 7 2 2 2 2 3 2 3" xfId="43385"/>
    <cellStyle name="Total 7 2 2 2 2 3 3" xfId="22783"/>
    <cellStyle name="Total 7 2 2 2 2 3 3 2" xfId="51962"/>
    <cellStyle name="Total 7 2 2 2 2 3 4" xfId="34357"/>
    <cellStyle name="Total 7 2 2 2 2 4" xfId="8489"/>
    <cellStyle name="Total 7 2 2 2 2 4 2" xfId="16673"/>
    <cellStyle name="Total 7 2 2 2 2 4 2 2" xfId="28741"/>
    <cellStyle name="Total 7 2 2 2 2 4 2 2 2" xfId="57920"/>
    <cellStyle name="Total 7 2 2 2 2 4 2 3" xfId="45854"/>
    <cellStyle name="Total 7 2 2 2 2 4 3" xfId="24313"/>
    <cellStyle name="Total 7 2 2 2 2 4 3 2" xfId="53492"/>
    <cellStyle name="Total 7 2 2 2 2 4 4" xfId="37672"/>
    <cellStyle name="Total 7 2 2 2 2 5" xfId="11769"/>
    <cellStyle name="Total 7 2 2 2 2 5 2" xfId="25771"/>
    <cellStyle name="Total 7 2 2 2 2 5 2 2" xfId="54950"/>
    <cellStyle name="Total 7 2 2 2 2 5 3" xfId="40950"/>
    <cellStyle name="Total 7 2 2 2 2 6" xfId="21343"/>
    <cellStyle name="Total 7 2 2 2 2 6 2" xfId="50522"/>
    <cellStyle name="Total 7 2 2 2 2 7" xfId="31027"/>
    <cellStyle name="Total 7 2 2 2 3" xfId="2744"/>
    <cellStyle name="Total 7 2 2 2 3 2" xfId="5894"/>
    <cellStyle name="Total 7 2 2 2 3 2 2" xfId="14769"/>
    <cellStyle name="Total 7 2 2 2 3 2 2 2" xfId="27571"/>
    <cellStyle name="Total 7 2 2 2 3 2 2 2 2" xfId="56750"/>
    <cellStyle name="Total 7 2 2 2 3 2 2 3" xfId="43950"/>
    <cellStyle name="Total 7 2 2 2 3 2 3" xfId="23143"/>
    <cellStyle name="Total 7 2 2 2 3 2 3 2" xfId="52322"/>
    <cellStyle name="Total 7 2 2 2 3 2 4" xfId="35077"/>
    <cellStyle name="Total 7 2 2 2 3 3" xfId="9998"/>
    <cellStyle name="Total 7 2 2 2 3 3 2" xfId="17761"/>
    <cellStyle name="Total 7 2 2 2 3 3 2 2" xfId="29345"/>
    <cellStyle name="Total 7 2 2 2 3 3 2 2 2" xfId="58524"/>
    <cellStyle name="Total 7 2 2 2 3 3 2 3" xfId="46942"/>
    <cellStyle name="Total 7 2 2 2 3 3 3" xfId="24917"/>
    <cellStyle name="Total 7 2 2 2 3 3 3 2" xfId="54096"/>
    <cellStyle name="Total 7 2 2 2 3 3 4" xfId="39181"/>
    <cellStyle name="Total 7 2 2 2 3 4" xfId="12410"/>
    <cellStyle name="Total 7 2 2 2 3 4 2" xfId="26131"/>
    <cellStyle name="Total 7 2 2 2 3 4 2 2" xfId="55310"/>
    <cellStyle name="Total 7 2 2 2 3 4 3" xfId="41591"/>
    <cellStyle name="Total 7 2 2 2 3 5" xfId="21703"/>
    <cellStyle name="Total 7 2 2 2 3 5 2" xfId="50882"/>
    <cellStyle name="Total 7 2 2 2 3 6" xfId="31927"/>
    <cellStyle name="Total 7 2 2 2 4" xfId="4454"/>
    <cellStyle name="Total 7 2 2 2 4 2" xfId="13647"/>
    <cellStyle name="Total 7 2 2 2 4 2 2" xfId="26851"/>
    <cellStyle name="Total 7 2 2 2 4 2 2 2" xfId="56030"/>
    <cellStyle name="Total 7 2 2 2 4 2 3" xfId="42828"/>
    <cellStyle name="Total 7 2 2 2 4 3" xfId="22423"/>
    <cellStyle name="Total 7 2 2 2 4 3 2" xfId="51602"/>
    <cellStyle name="Total 7 2 2 2 4 4" xfId="33637"/>
    <cellStyle name="Total 7 2 2 2 5" xfId="10451"/>
    <cellStyle name="Total 7 2 2 2 5 2" xfId="18073"/>
    <cellStyle name="Total 7 2 2 2 5 2 2" xfId="29524"/>
    <cellStyle name="Total 7 2 2 2 5 2 2 2" xfId="58703"/>
    <cellStyle name="Total 7 2 2 2 5 2 3" xfId="47254"/>
    <cellStyle name="Total 7 2 2 2 5 3" xfId="25096"/>
    <cellStyle name="Total 7 2 2 2 5 3 2" xfId="54275"/>
    <cellStyle name="Total 7 2 2 2 5 4" xfId="39634"/>
    <cellStyle name="Total 7 2 2 2 6" xfId="11110"/>
    <cellStyle name="Total 7 2 2 2 6 2" xfId="25387"/>
    <cellStyle name="Total 7 2 2 2 6 2 2" xfId="54566"/>
    <cellStyle name="Total 7 2 2 2 6 3" xfId="40291"/>
    <cellStyle name="Total 7 2 2 2 7" xfId="20959"/>
    <cellStyle name="Total 7 2 2 2 7 2" xfId="50138"/>
    <cellStyle name="Total 7 2 2 2 8" xfId="30103"/>
    <cellStyle name="Total 7 2 2 3" xfId="1098"/>
    <cellStyle name="Total 7 2 2 3 2" xfId="2008"/>
    <cellStyle name="Total 7 2 2 3 2 2" xfId="3808"/>
    <cellStyle name="Total 7 2 2 3 2 2 2" xfId="6742"/>
    <cellStyle name="Total 7 2 2 3 2 2 2 2" xfId="15428"/>
    <cellStyle name="Total 7 2 2 3 2 2 2 2 2" xfId="28005"/>
    <cellStyle name="Total 7 2 2 3 2 2 2 2 2 2" xfId="57184"/>
    <cellStyle name="Total 7 2 2 3 2 2 2 2 3" xfId="44609"/>
    <cellStyle name="Total 7 2 2 3 2 2 2 3" xfId="23577"/>
    <cellStyle name="Total 7 2 2 3 2 2 2 3 2" xfId="52756"/>
    <cellStyle name="Total 7 2 2 3 2 2 2 4" xfId="35925"/>
    <cellStyle name="Total 7 2 2 3 2 2 3" xfId="9803"/>
    <cellStyle name="Total 7 2 2 3 2 2 3 2" xfId="17624"/>
    <cellStyle name="Total 7 2 2 3 2 2 3 2 2" xfId="29273"/>
    <cellStyle name="Total 7 2 2 3 2 2 3 2 2 2" xfId="58452"/>
    <cellStyle name="Total 7 2 2 3 2 2 3 2 3" xfId="46805"/>
    <cellStyle name="Total 7 2 2 3 2 2 3 3" xfId="24845"/>
    <cellStyle name="Total 7 2 2 3 2 2 3 3 2" xfId="54024"/>
    <cellStyle name="Total 7 2 2 3 2 2 3 4" xfId="38986"/>
    <cellStyle name="Total 7 2 2 3 2 2 4" xfId="13165"/>
    <cellStyle name="Total 7 2 2 3 2 2 4 2" xfId="26565"/>
    <cellStyle name="Total 7 2 2 3 2 2 4 2 2" xfId="55744"/>
    <cellStyle name="Total 7 2 2 3 2 2 4 3" xfId="42346"/>
    <cellStyle name="Total 7 2 2 3 2 2 5" xfId="22137"/>
    <cellStyle name="Total 7 2 2 3 2 2 5 2" xfId="51316"/>
    <cellStyle name="Total 7 2 2 3 2 2 6" xfId="32991"/>
    <cellStyle name="Total 7 2 2 3 2 3" xfId="5302"/>
    <cellStyle name="Total 7 2 2 3 2 3 2" xfId="14307"/>
    <cellStyle name="Total 7 2 2 3 2 3 2 2" xfId="27285"/>
    <cellStyle name="Total 7 2 2 3 2 3 2 2 2" xfId="56464"/>
    <cellStyle name="Total 7 2 2 3 2 3 2 3" xfId="43488"/>
    <cellStyle name="Total 7 2 2 3 2 3 3" xfId="22857"/>
    <cellStyle name="Total 7 2 2 3 2 3 3 2" xfId="52036"/>
    <cellStyle name="Total 7 2 2 3 2 3 4" xfId="34485"/>
    <cellStyle name="Total 7 2 2 3 2 4" xfId="8392"/>
    <cellStyle name="Total 7 2 2 3 2 4 2" xfId="16607"/>
    <cellStyle name="Total 7 2 2 3 2 4 2 2" xfId="28709"/>
    <cellStyle name="Total 7 2 2 3 2 4 2 2 2" xfId="57888"/>
    <cellStyle name="Total 7 2 2 3 2 4 2 3" xfId="45788"/>
    <cellStyle name="Total 7 2 2 3 2 4 3" xfId="24281"/>
    <cellStyle name="Total 7 2 2 3 2 4 3 2" xfId="53460"/>
    <cellStyle name="Total 7 2 2 3 2 4 4" xfId="37575"/>
    <cellStyle name="Total 7 2 2 3 2 5" xfId="11889"/>
    <cellStyle name="Total 7 2 2 3 2 5 2" xfId="25845"/>
    <cellStyle name="Total 7 2 2 3 2 5 2 2" xfId="55024"/>
    <cellStyle name="Total 7 2 2 3 2 5 3" xfId="41070"/>
    <cellStyle name="Total 7 2 2 3 2 6" xfId="21417"/>
    <cellStyle name="Total 7 2 2 3 2 6 2" xfId="50596"/>
    <cellStyle name="Total 7 2 2 3 2 7" xfId="31191"/>
    <cellStyle name="Total 7 2 2 3 3" xfId="2908"/>
    <cellStyle name="Total 7 2 2 3 3 2" xfId="6022"/>
    <cellStyle name="Total 7 2 2 3 3 2 2" xfId="14868"/>
    <cellStyle name="Total 7 2 2 3 3 2 2 2" xfId="27645"/>
    <cellStyle name="Total 7 2 2 3 3 2 2 2 2" xfId="56824"/>
    <cellStyle name="Total 7 2 2 3 3 2 2 3" xfId="44049"/>
    <cellStyle name="Total 7 2 2 3 3 2 3" xfId="23217"/>
    <cellStyle name="Total 7 2 2 3 3 2 3 2" xfId="52396"/>
    <cellStyle name="Total 7 2 2 3 3 2 4" xfId="35205"/>
    <cellStyle name="Total 7 2 2 3 3 3" xfId="9946"/>
    <cellStyle name="Total 7 2 2 3 3 3 2" xfId="17726"/>
    <cellStyle name="Total 7 2 2 3 3 3 2 2" xfId="29329"/>
    <cellStyle name="Total 7 2 2 3 3 3 2 2 2" xfId="58508"/>
    <cellStyle name="Total 7 2 2 3 3 3 2 3" xfId="46907"/>
    <cellStyle name="Total 7 2 2 3 3 3 3" xfId="24901"/>
    <cellStyle name="Total 7 2 2 3 3 3 3 2" xfId="54080"/>
    <cellStyle name="Total 7 2 2 3 3 3 4" xfId="39129"/>
    <cellStyle name="Total 7 2 2 3 3 4" xfId="12525"/>
    <cellStyle name="Total 7 2 2 3 3 4 2" xfId="26205"/>
    <cellStyle name="Total 7 2 2 3 3 4 2 2" xfId="55384"/>
    <cellStyle name="Total 7 2 2 3 3 4 3" xfId="41706"/>
    <cellStyle name="Total 7 2 2 3 3 5" xfId="21777"/>
    <cellStyle name="Total 7 2 2 3 3 5 2" xfId="50956"/>
    <cellStyle name="Total 7 2 2 3 3 6" xfId="32091"/>
    <cellStyle name="Total 7 2 2 3 4" xfId="4582"/>
    <cellStyle name="Total 7 2 2 3 4 2" xfId="13748"/>
    <cellStyle name="Total 7 2 2 3 4 2 2" xfId="26925"/>
    <cellStyle name="Total 7 2 2 3 4 2 2 2" xfId="56104"/>
    <cellStyle name="Total 7 2 2 3 4 2 3" xfId="42929"/>
    <cellStyle name="Total 7 2 2 3 4 3" xfId="22497"/>
    <cellStyle name="Total 7 2 2 3 4 3 2" xfId="51676"/>
    <cellStyle name="Total 7 2 2 3 4 4" xfId="33765"/>
    <cellStyle name="Total 7 2 2 3 5" xfId="8614"/>
    <cellStyle name="Total 7 2 2 3 5 2" xfId="16760"/>
    <cellStyle name="Total 7 2 2 3 5 2 2" xfId="28791"/>
    <cellStyle name="Total 7 2 2 3 5 2 2 2" xfId="57970"/>
    <cellStyle name="Total 7 2 2 3 5 2 3" xfId="45941"/>
    <cellStyle name="Total 7 2 2 3 5 3" xfId="24363"/>
    <cellStyle name="Total 7 2 2 3 5 3 2" xfId="53542"/>
    <cellStyle name="Total 7 2 2 3 5 4" xfId="37797"/>
    <cellStyle name="Total 7 2 2 3 6" xfId="11253"/>
    <cellStyle name="Total 7 2 2 3 6 2" xfId="25482"/>
    <cellStyle name="Total 7 2 2 3 6 2 2" xfId="54661"/>
    <cellStyle name="Total 7 2 2 3 6 3" xfId="40434"/>
    <cellStyle name="Total 7 2 2 3 7" xfId="21054"/>
    <cellStyle name="Total 7 2 2 3 7 2" xfId="50233"/>
    <cellStyle name="Total 7 2 2 3 8" xfId="30288"/>
    <cellStyle name="Total 7 2 2 4" xfId="1248"/>
    <cellStyle name="Total 7 2 2 4 2" xfId="2152"/>
    <cellStyle name="Total 7 2 2 4 2 2" xfId="3952"/>
    <cellStyle name="Total 7 2 2 4 2 2 2" xfId="6859"/>
    <cellStyle name="Total 7 2 2 4 2 2 2 2" xfId="15518"/>
    <cellStyle name="Total 7 2 2 4 2 2 2 2 2" xfId="28068"/>
    <cellStyle name="Total 7 2 2 4 2 2 2 2 2 2" xfId="57247"/>
    <cellStyle name="Total 7 2 2 4 2 2 2 2 3" xfId="44699"/>
    <cellStyle name="Total 7 2 2 4 2 2 2 3" xfId="23640"/>
    <cellStyle name="Total 7 2 2 4 2 2 2 3 2" xfId="52819"/>
    <cellStyle name="Total 7 2 2 4 2 2 2 4" xfId="36042"/>
    <cellStyle name="Total 7 2 2 4 2 2 3" xfId="7128"/>
    <cellStyle name="Total 7 2 2 4 2 2 3 2" xfId="15718"/>
    <cellStyle name="Total 7 2 2 4 2 2 3 2 2" xfId="28200"/>
    <cellStyle name="Total 7 2 2 4 2 2 3 2 2 2" xfId="57379"/>
    <cellStyle name="Total 7 2 2 4 2 2 3 2 3" xfId="44899"/>
    <cellStyle name="Total 7 2 2 4 2 2 3 3" xfId="23772"/>
    <cellStyle name="Total 7 2 2 4 2 2 3 3 2" xfId="52951"/>
    <cellStyle name="Total 7 2 2 4 2 2 3 4" xfId="36311"/>
    <cellStyle name="Total 7 2 2 4 2 2 4" xfId="13263"/>
    <cellStyle name="Total 7 2 2 4 2 2 4 2" xfId="26628"/>
    <cellStyle name="Total 7 2 2 4 2 2 4 2 2" xfId="55807"/>
    <cellStyle name="Total 7 2 2 4 2 2 4 3" xfId="42444"/>
    <cellStyle name="Total 7 2 2 4 2 2 5" xfId="22200"/>
    <cellStyle name="Total 7 2 2 4 2 2 5 2" xfId="51379"/>
    <cellStyle name="Total 7 2 2 4 2 2 6" xfId="33135"/>
    <cellStyle name="Total 7 2 2 4 2 3" xfId="5419"/>
    <cellStyle name="Total 7 2 2 4 2 3 2" xfId="14396"/>
    <cellStyle name="Total 7 2 2 4 2 3 2 2" xfId="27348"/>
    <cellStyle name="Total 7 2 2 4 2 3 2 2 2" xfId="56527"/>
    <cellStyle name="Total 7 2 2 4 2 3 2 3" xfId="43577"/>
    <cellStyle name="Total 7 2 2 4 2 3 3" xfId="22920"/>
    <cellStyle name="Total 7 2 2 4 2 3 3 2" xfId="52099"/>
    <cellStyle name="Total 7 2 2 4 2 3 4" xfId="34602"/>
    <cellStyle name="Total 7 2 2 4 2 4" xfId="7465"/>
    <cellStyle name="Total 7 2 2 4 2 4 2" xfId="15952"/>
    <cellStyle name="Total 7 2 2 4 2 4 2 2" xfId="28351"/>
    <cellStyle name="Total 7 2 2 4 2 4 2 2 2" xfId="57530"/>
    <cellStyle name="Total 7 2 2 4 2 4 2 3" xfId="45133"/>
    <cellStyle name="Total 7 2 2 4 2 4 3" xfId="23923"/>
    <cellStyle name="Total 7 2 2 4 2 4 3 2" xfId="53102"/>
    <cellStyle name="Total 7 2 2 4 2 4 4" xfId="36648"/>
    <cellStyle name="Total 7 2 2 4 2 5" xfId="11988"/>
    <cellStyle name="Total 7 2 2 4 2 5 2" xfId="25908"/>
    <cellStyle name="Total 7 2 2 4 2 5 2 2" xfId="55087"/>
    <cellStyle name="Total 7 2 2 4 2 5 3" xfId="41169"/>
    <cellStyle name="Total 7 2 2 4 2 6" xfId="21480"/>
    <cellStyle name="Total 7 2 2 4 2 6 2" xfId="50659"/>
    <cellStyle name="Total 7 2 2 4 2 7" xfId="31335"/>
    <cellStyle name="Total 7 2 2 4 3" xfId="3052"/>
    <cellStyle name="Total 7 2 2 4 3 2" xfId="6139"/>
    <cellStyle name="Total 7 2 2 4 3 2 2" xfId="14957"/>
    <cellStyle name="Total 7 2 2 4 3 2 2 2" xfId="27708"/>
    <cellStyle name="Total 7 2 2 4 3 2 2 2 2" xfId="56887"/>
    <cellStyle name="Total 7 2 2 4 3 2 2 3" xfId="44138"/>
    <cellStyle name="Total 7 2 2 4 3 2 3" xfId="23280"/>
    <cellStyle name="Total 7 2 2 4 3 2 3 2" xfId="52459"/>
    <cellStyle name="Total 7 2 2 4 3 2 4" xfId="35322"/>
    <cellStyle name="Total 7 2 2 4 3 3" xfId="7783"/>
    <cellStyle name="Total 7 2 2 4 3 3 2" xfId="16172"/>
    <cellStyle name="Total 7 2 2 4 3 3 2 2" xfId="28470"/>
    <cellStyle name="Total 7 2 2 4 3 3 2 2 2" xfId="57649"/>
    <cellStyle name="Total 7 2 2 4 3 3 2 3" xfId="45353"/>
    <cellStyle name="Total 7 2 2 4 3 3 3" xfId="24042"/>
    <cellStyle name="Total 7 2 2 4 3 3 3 2" xfId="53221"/>
    <cellStyle name="Total 7 2 2 4 3 3 4" xfId="36966"/>
    <cellStyle name="Total 7 2 2 4 3 4" xfId="12624"/>
    <cellStyle name="Total 7 2 2 4 3 4 2" xfId="26268"/>
    <cellStyle name="Total 7 2 2 4 3 4 2 2" xfId="55447"/>
    <cellStyle name="Total 7 2 2 4 3 4 3" xfId="41805"/>
    <cellStyle name="Total 7 2 2 4 3 5" xfId="21840"/>
    <cellStyle name="Total 7 2 2 4 3 5 2" xfId="51019"/>
    <cellStyle name="Total 7 2 2 4 3 6" xfId="32235"/>
    <cellStyle name="Total 7 2 2 4 4" xfId="4699"/>
    <cellStyle name="Total 7 2 2 4 4 2" xfId="13837"/>
    <cellStyle name="Total 7 2 2 4 4 2 2" xfId="26988"/>
    <cellStyle name="Total 7 2 2 4 4 2 2 2" xfId="56167"/>
    <cellStyle name="Total 7 2 2 4 4 2 3" xfId="43018"/>
    <cellStyle name="Total 7 2 2 4 4 3" xfId="22560"/>
    <cellStyle name="Total 7 2 2 4 4 3 2" xfId="51739"/>
    <cellStyle name="Total 7 2 2 4 4 4" xfId="33882"/>
    <cellStyle name="Total 7 2 2 4 5" xfId="9637"/>
    <cellStyle name="Total 7 2 2 4 5 2" xfId="17497"/>
    <cellStyle name="Total 7 2 2 4 5 2 2" xfId="29205"/>
    <cellStyle name="Total 7 2 2 4 5 2 2 2" xfId="58384"/>
    <cellStyle name="Total 7 2 2 4 5 2 3" xfId="46678"/>
    <cellStyle name="Total 7 2 2 4 5 3" xfId="24777"/>
    <cellStyle name="Total 7 2 2 4 5 3 2" xfId="53956"/>
    <cellStyle name="Total 7 2 2 4 5 4" xfId="38820"/>
    <cellStyle name="Total 7 2 2 4 6" xfId="11358"/>
    <cellStyle name="Total 7 2 2 4 6 2" xfId="25548"/>
    <cellStyle name="Total 7 2 2 4 6 2 2" xfId="54727"/>
    <cellStyle name="Total 7 2 2 4 6 3" xfId="40539"/>
    <cellStyle name="Total 7 2 2 4 7" xfId="21120"/>
    <cellStyle name="Total 7 2 2 4 7 2" xfId="50299"/>
    <cellStyle name="Total 7 2 2 4 8" xfId="30435"/>
    <cellStyle name="Total 7 2 2 5" xfId="1394"/>
    <cellStyle name="Total 7 2 2 5 2" xfId="2296"/>
    <cellStyle name="Total 7 2 2 5 2 2" xfId="4096"/>
    <cellStyle name="Total 7 2 2 5 2 2 2" xfId="6976"/>
    <cellStyle name="Total 7 2 2 5 2 2 2 2" xfId="15608"/>
    <cellStyle name="Total 7 2 2 5 2 2 2 2 2" xfId="28131"/>
    <cellStyle name="Total 7 2 2 5 2 2 2 2 2 2" xfId="57310"/>
    <cellStyle name="Total 7 2 2 5 2 2 2 2 3" xfId="44789"/>
    <cellStyle name="Total 7 2 2 5 2 2 2 3" xfId="23703"/>
    <cellStyle name="Total 7 2 2 5 2 2 2 3 2" xfId="52882"/>
    <cellStyle name="Total 7 2 2 5 2 2 2 4" xfId="36159"/>
    <cellStyle name="Total 7 2 2 5 2 2 3" xfId="6984"/>
    <cellStyle name="Total 7 2 2 5 2 2 3 2" xfId="15614"/>
    <cellStyle name="Total 7 2 2 5 2 2 3 2 2" xfId="28137"/>
    <cellStyle name="Total 7 2 2 5 2 2 3 2 2 2" xfId="57316"/>
    <cellStyle name="Total 7 2 2 5 2 2 3 2 3" xfId="44795"/>
    <cellStyle name="Total 7 2 2 5 2 2 3 3" xfId="23709"/>
    <cellStyle name="Total 7 2 2 5 2 2 3 3 2" xfId="52888"/>
    <cellStyle name="Total 7 2 2 5 2 2 3 4" xfId="36167"/>
    <cellStyle name="Total 7 2 2 5 2 2 4" xfId="13368"/>
    <cellStyle name="Total 7 2 2 5 2 2 4 2" xfId="26691"/>
    <cellStyle name="Total 7 2 2 5 2 2 4 2 2" xfId="55870"/>
    <cellStyle name="Total 7 2 2 5 2 2 4 3" xfId="42549"/>
    <cellStyle name="Total 7 2 2 5 2 2 5" xfId="22263"/>
    <cellStyle name="Total 7 2 2 5 2 2 5 2" xfId="51442"/>
    <cellStyle name="Total 7 2 2 5 2 2 6" xfId="33279"/>
    <cellStyle name="Total 7 2 2 5 2 3" xfId="5536"/>
    <cellStyle name="Total 7 2 2 5 2 3 2" xfId="14489"/>
    <cellStyle name="Total 7 2 2 5 2 3 2 2" xfId="27411"/>
    <cellStyle name="Total 7 2 2 5 2 3 2 2 2" xfId="56590"/>
    <cellStyle name="Total 7 2 2 5 2 3 2 3" xfId="43670"/>
    <cellStyle name="Total 7 2 2 5 2 3 3" xfId="22983"/>
    <cellStyle name="Total 7 2 2 5 2 3 3 2" xfId="52162"/>
    <cellStyle name="Total 7 2 2 5 2 3 4" xfId="34719"/>
    <cellStyle name="Total 7 2 2 5 2 4" xfId="7284"/>
    <cellStyle name="Total 7 2 2 5 2 4 2" xfId="15827"/>
    <cellStyle name="Total 7 2 2 5 2 4 2 2" xfId="28269"/>
    <cellStyle name="Total 7 2 2 5 2 4 2 2 2" xfId="57448"/>
    <cellStyle name="Total 7 2 2 5 2 4 2 3" xfId="45008"/>
    <cellStyle name="Total 7 2 2 5 2 4 3" xfId="23841"/>
    <cellStyle name="Total 7 2 2 5 2 4 3 2" xfId="53020"/>
    <cellStyle name="Total 7 2 2 5 2 4 4" xfId="36467"/>
    <cellStyle name="Total 7 2 2 5 2 5" xfId="12089"/>
    <cellStyle name="Total 7 2 2 5 2 5 2" xfId="25971"/>
    <cellStyle name="Total 7 2 2 5 2 5 2 2" xfId="55150"/>
    <cellStyle name="Total 7 2 2 5 2 5 3" xfId="41270"/>
    <cellStyle name="Total 7 2 2 5 2 6" xfId="21543"/>
    <cellStyle name="Total 7 2 2 5 2 6 2" xfId="50722"/>
    <cellStyle name="Total 7 2 2 5 2 7" xfId="31479"/>
    <cellStyle name="Total 7 2 2 5 3" xfId="3196"/>
    <cellStyle name="Total 7 2 2 5 3 2" xfId="6256"/>
    <cellStyle name="Total 7 2 2 5 3 2 2" xfId="15049"/>
    <cellStyle name="Total 7 2 2 5 3 2 2 2" xfId="27771"/>
    <cellStyle name="Total 7 2 2 5 3 2 2 2 2" xfId="56950"/>
    <cellStyle name="Total 7 2 2 5 3 2 2 3" xfId="44230"/>
    <cellStyle name="Total 7 2 2 5 3 2 3" xfId="23343"/>
    <cellStyle name="Total 7 2 2 5 3 2 3 2" xfId="52522"/>
    <cellStyle name="Total 7 2 2 5 3 2 4" xfId="35439"/>
    <cellStyle name="Total 7 2 2 5 3 3" xfId="7173"/>
    <cellStyle name="Total 7 2 2 5 3 3 2" xfId="15749"/>
    <cellStyle name="Total 7 2 2 5 3 3 2 2" xfId="28221"/>
    <cellStyle name="Total 7 2 2 5 3 3 2 2 2" xfId="57400"/>
    <cellStyle name="Total 7 2 2 5 3 3 2 3" xfId="44930"/>
    <cellStyle name="Total 7 2 2 5 3 3 3" xfId="23793"/>
    <cellStyle name="Total 7 2 2 5 3 3 3 2" xfId="52972"/>
    <cellStyle name="Total 7 2 2 5 3 3 4" xfId="36356"/>
    <cellStyle name="Total 7 2 2 5 3 4" xfId="12730"/>
    <cellStyle name="Total 7 2 2 5 3 4 2" xfId="26331"/>
    <cellStyle name="Total 7 2 2 5 3 4 2 2" xfId="55510"/>
    <cellStyle name="Total 7 2 2 5 3 4 3" xfId="41911"/>
    <cellStyle name="Total 7 2 2 5 3 5" xfId="21903"/>
    <cellStyle name="Total 7 2 2 5 3 5 2" xfId="51082"/>
    <cellStyle name="Total 7 2 2 5 3 6" xfId="32379"/>
    <cellStyle name="Total 7 2 2 5 4" xfId="4816"/>
    <cellStyle name="Total 7 2 2 5 4 2" xfId="13925"/>
    <cellStyle name="Total 7 2 2 5 4 2 2" xfId="27051"/>
    <cellStyle name="Total 7 2 2 5 4 2 2 2" xfId="56230"/>
    <cellStyle name="Total 7 2 2 5 4 2 3" xfId="43106"/>
    <cellStyle name="Total 7 2 2 5 4 3" xfId="22623"/>
    <cellStyle name="Total 7 2 2 5 4 3 2" xfId="51802"/>
    <cellStyle name="Total 7 2 2 5 4 4" xfId="33999"/>
    <cellStyle name="Total 7 2 2 5 5" xfId="10208"/>
    <cellStyle name="Total 7 2 2 5 5 2" xfId="17905"/>
    <cellStyle name="Total 7 2 2 5 5 2 2" xfId="29431"/>
    <cellStyle name="Total 7 2 2 5 5 2 2 2" xfId="58610"/>
    <cellStyle name="Total 7 2 2 5 5 2 3" xfId="47086"/>
    <cellStyle name="Total 7 2 2 5 5 3" xfId="25003"/>
    <cellStyle name="Total 7 2 2 5 5 3 2" xfId="54182"/>
    <cellStyle name="Total 7 2 2 5 5 4" xfId="39391"/>
    <cellStyle name="Total 7 2 2 5 6" xfId="11458"/>
    <cellStyle name="Total 7 2 2 5 6 2" xfId="25611"/>
    <cellStyle name="Total 7 2 2 5 6 2 2" xfId="54790"/>
    <cellStyle name="Total 7 2 2 5 6 3" xfId="40639"/>
    <cellStyle name="Total 7 2 2 5 7" xfId="21183"/>
    <cellStyle name="Total 7 2 2 5 7 2" xfId="50362"/>
    <cellStyle name="Total 7 2 2 5 8" xfId="30579"/>
    <cellStyle name="Total 7 2 2 6" xfId="1576"/>
    <cellStyle name="Total 7 2 2 6 2" xfId="3376"/>
    <cellStyle name="Total 7 2 2 6 2 2" xfId="6400"/>
    <cellStyle name="Total 7 2 2 6 2 2 2" xfId="15155"/>
    <cellStyle name="Total 7 2 2 6 2 2 2 2" xfId="27843"/>
    <cellStyle name="Total 7 2 2 6 2 2 2 2 2" xfId="57022"/>
    <cellStyle name="Total 7 2 2 6 2 2 2 3" xfId="44336"/>
    <cellStyle name="Total 7 2 2 6 2 2 3" xfId="23415"/>
    <cellStyle name="Total 7 2 2 6 2 2 3 2" xfId="52594"/>
    <cellStyle name="Total 7 2 2 6 2 2 4" xfId="35583"/>
    <cellStyle name="Total 7 2 2 6 2 3" xfId="9977"/>
    <cellStyle name="Total 7 2 2 6 2 3 2" xfId="17748"/>
    <cellStyle name="Total 7 2 2 6 2 3 2 2" xfId="29339"/>
    <cellStyle name="Total 7 2 2 6 2 3 2 2 2" xfId="58518"/>
    <cellStyle name="Total 7 2 2 6 2 3 2 3" xfId="46929"/>
    <cellStyle name="Total 7 2 2 6 2 3 3" xfId="24911"/>
    <cellStyle name="Total 7 2 2 6 2 3 3 2" xfId="54090"/>
    <cellStyle name="Total 7 2 2 6 2 3 4" xfId="39160"/>
    <cellStyle name="Total 7 2 2 6 2 4" xfId="12852"/>
    <cellStyle name="Total 7 2 2 6 2 4 2" xfId="26403"/>
    <cellStyle name="Total 7 2 2 6 2 4 2 2" xfId="55582"/>
    <cellStyle name="Total 7 2 2 6 2 4 3" xfId="42033"/>
    <cellStyle name="Total 7 2 2 6 2 5" xfId="21975"/>
    <cellStyle name="Total 7 2 2 6 2 5 2" xfId="51154"/>
    <cellStyle name="Total 7 2 2 6 2 6" xfId="32559"/>
    <cellStyle name="Total 7 2 2 6 3" xfId="4960"/>
    <cellStyle name="Total 7 2 2 6 3 2" xfId="14034"/>
    <cellStyle name="Total 7 2 2 6 3 2 2" xfId="27123"/>
    <cellStyle name="Total 7 2 2 6 3 2 2 2" xfId="56302"/>
    <cellStyle name="Total 7 2 2 6 3 2 3" xfId="43215"/>
    <cellStyle name="Total 7 2 2 6 3 3" xfId="22695"/>
    <cellStyle name="Total 7 2 2 6 3 3 2" xfId="51874"/>
    <cellStyle name="Total 7 2 2 6 3 4" xfId="34143"/>
    <cellStyle name="Total 7 2 2 6 4" xfId="9752"/>
    <cellStyle name="Total 7 2 2 6 4 2" xfId="17585"/>
    <cellStyle name="Total 7 2 2 6 4 2 2" xfId="29249"/>
    <cellStyle name="Total 7 2 2 6 4 2 2 2" xfId="58428"/>
    <cellStyle name="Total 7 2 2 6 4 2 3" xfId="46766"/>
    <cellStyle name="Total 7 2 2 6 4 3" xfId="24821"/>
    <cellStyle name="Total 7 2 2 6 4 3 2" xfId="54000"/>
    <cellStyle name="Total 7 2 2 6 4 4" xfId="38935"/>
    <cellStyle name="Total 7 2 2 6 5" xfId="11581"/>
    <cellStyle name="Total 7 2 2 6 5 2" xfId="25683"/>
    <cellStyle name="Total 7 2 2 6 5 2 2" xfId="54862"/>
    <cellStyle name="Total 7 2 2 6 5 3" xfId="40762"/>
    <cellStyle name="Total 7 2 2 6 6" xfId="21255"/>
    <cellStyle name="Total 7 2 2 6 6 2" xfId="50434"/>
    <cellStyle name="Total 7 2 2 6 7" xfId="30759"/>
    <cellStyle name="Total 7 2 2 7" xfId="2476"/>
    <cellStyle name="Total 7 2 2 7 2" xfId="5680"/>
    <cellStyle name="Total 7 2 2 7 2 2" xfId="14602"/>
    <cellStyle name="Total 7 2 2 7 2 2 2" xfId="27483"/>
    <cellStyle name="Total 7 2 2 7 2 2 2 2" xfId="56662"/>
    <cellStyle name="Total 7 2 2 7 2 2 3" xfId="43783"/>
    <cellStyle name="Total 7 2 2 7 2 3" xfId="23055"/>
    <cellStyle name="Total 7 2 2 7 2 3 2" xfId="52234"/>
    <cellStyle name="Total 7 2 2 7 2 4" xfId="34863"/>
    <cellStyle name="Total 7 2 2 7 3" xfId="8358"/>
    <cellStyle name="Total 7 2 2 7 3 2" xfId="16585"/>
    <cellStyle name="Total 7 2 2 7 3 2 2" xfId="28696"/>
    <cellStyle name="Total 7 2 2 7 3 2 2 2" xfId="57875"/>
    <cellStyle name="Total 7 2 2 7 3 2 3" xfId="45766"/>
    <cellStyle name="Total 7 2 2 7 3 3" xfId="24268"/>
    <cellStyle name="Total 7 2 2 7 3 3 2" xfId="53447"/>
    <cellStyle name="Total 7 2 2 7 3 4" xfId="37541"/>
    <cellStyle name="Total 7 2 2 7 4" xfId="12218"/>
    <cellStyle name="Total 7 2 2 7 4 2" xfId="26043"/>
    <cellStyle name="Total 7 2 2 7 4 2 2" xfId="55222"/>
    <cellStyle name="Total 7 2 2 7 4 3" xfId="41399"/>
    <cellStyle name="Total 7 2 2 7 5" xfId="21615"/>
    <cellStyle name="Total 7 2 2 7 5 2" xfId="50794"/>
    <cellStyle name="Total 7 2 2 7 6" xfId="31659"/>
    <cellStyle name="Total 7 2 2 8" xfId="4240"/>
    <cellStyle name="Total 7 2 2 8 2" xfId="13483"/>
    <cellStyle name="Total 7 2 2 8 2 2" xfId="26763"/>
    <cellStyle name="Total 7 2 2 8 2 2 2" xfId="55942"/>
    <cellStyle name="Total 7 2 2 8 2 3" xfId="42664"/>
    <cellStyle name="Total 7 2 2 8 3" xfId="22335"/>
    <cellStyle name="Total 7 2 2 8 3 2" xfId="51514"/>
    <cellStyle name="Total 7 2 2 8 4" xfId="33423"/>
    <cellStyle name="Total 7 2 2 9" xfId="9389"/>
    <cellStyle name="Total 7 2 2 9 2" xfId="17326"/>
    <cellStyle name="Total 7 2 2 9 2 2" xfId="29105"/>
    <cellStyle name="Total 7 2 2 9 2 2 2" xfId="58284"/>
    <cellStyle name="Total 7 2 2 9 2 3" xfId="46507"/>
    <cellStyle name="Total 7 2 2 9 3" xfId="24677"/>
    <cellStyle name="Total 7 2 2 9 3 2" xfId="53856"/>
    <cellStyle name="Total 7 2 2 9 4" xfId="38572"/>
    <cellStyle name="Total 7 2 3" xfId="816"/>
    <cellStyle name="Total 7 2 3 2" xfId="1754"/>
    <cellStyle name="Total 7 2 3 2 2" xfId="3554"/>
    <cellStyle name="Total 7 2 3 2 2 2" xfId="6542"/>
    <cellStyle name="Total 7 2 3 2 2 2 2" xfId="15271"/>
    <cellStyle name="Total 7 2 3 2 2 2 2 2" xfId="27895"/>
    <cellStyle name="Total 7 2 3 2 2 2 2 2 2" xfId="57074"/>
    <cellStyle name="Total 7 2 3 2 2 2 2 3" xfId="44452"/>
    <cellStyle name="Total 7 2 3 2 2 2 3" xfId="23467"/>
    <cellStyle name="Total 7 2 3 2 2 2 3 2" xfId="52646"/>
    <cellStyle name="Total 7 2 3 2 2 2 4" xfId="35725"/>
    <cellStyle name="Total 7 2 3 2 2 3" xfId="9572"/>
    <cellStyle name="Total 7 2 3 2 2 3 2" xfId="17454"/>
    <cellStyle name="Total 7 2 3 2 2 3 2 2" xfId="29180"/>
    <cellStyle name="Total 7 2 3 2 2 3 2 2 2" xfId="58359"/>
    <cellStyle name="Total 7 2 3 2 2 3 2 3" xfId="46635"/>
    <cellStyle name="Total 7 2 3 2 2 3 3" xfId="24752"/>
    <cellStyle name="Total 7 2 3 2 2 3 3 2" xfId="53931"/>
    <cellStyle name="Total 7 2 3 2 2 3 4" xfId="38755"/>
    <cellStyle name="Total 7 2 3 2 2 4" xfId="12982"/>
    <cellStyle name="Total 7 2 3 2 2 4 2" xfId="26455"/>
    <cellStyle name="Total 7 2 3 2 2 4 2 2" xfId="55634"/>
    <cellStyle name="Total 7 2 3 2 2 4 3" xfId="42163"/>
    <cellStyle name="Total 7 2 3 2 2 5" xfId="22027"/>
    <cellStyle name="Total 7 2 3 2 2 5 2" xfId="51206"/>
    <cellStyle name="Total 7 2 3 2 2 6" xfId="32737"/>
    <cellStyle name="Total 7 2 3 2 3" xfId="5102"/>
    <cellStyle name="Total 7 2 3 2 3 2" xfId="14147"/>
    <cellStyle name="Total 7 2 3 2 3 2 2" xfId="27175"/>
    <cellStyle name="Total 7 2 3 2 3 2 2 2" xfId="56354"/>
    <cellStyle name="Total 7 2 3 2 3 2 3" xfId="43328"/>
    <cellStyle name="Total 7 2 3 2 3 3" xfId="22747"/>
    <cellStyle name="Total 7 2 3 2 3 3 2" xfId="51926"/>
    <cellStyle name="Total 7 2 3 2 3 4" xfId="34285"/>
    <cellStyle name="Total 7 2 3 2 4" xfId="7311"/>
    <cellStyle name="Total 7 2 3 2 4 2" xfId="15849"/>
    <cellStyle name="Total 7 2 3 2 4 2 2" xfId="28287"/>
    <cellStyle name="Total 7 2 3 2 4 2 2 2" xfId="57466"/>
    <cellStyle name="Total 7 2 3 2 4 2 3" xfId="45030"/>
    <cellStyle name="Total 7 2 3 2 4 3" xfId="23859"/>
    <cellStyle name="Total 7 2 3 2 4 3 2" xfId="53038"/>
    <cellStyle name="Total 7 2 3 2 4 4" xfId="36494"/>
    <cellStyle name="Total 7 2 3 2 5" xfId="11708"/>
    <cellStyle name="Total 7 2 3 2 5 2" xfId="25735"/>
    <cellStyle name="Total 7 2 3 2 5 2 2" xfId="54914"/>
    <cellStyle name="Total 7 2 3 2 5 3" xfId="40889"/>
    <cellStyle name="Total 7 2 3 2 6" xfId="21307"/>
    <cellStyle name="Total 7 2 3 2 6 2" xfId="50486"/>
    <cellStyle name="Total 7 2 3 2 7" xfId="30937"/>
    <cellStyle name="Total 7 2 3 3" xfId="2654"/>
    <cellStyle name="Total 7 2 3 3 2" xfId="5822"/>
    <cellStyle name="Total 7 2 3 3 2 2" xfId="14712"/>
    <cellStyle name="Total 7 2 3 3 2 2 2" xfId="27535"/>
    <cellStyle name="Total 7 2 3 3 2 2 2 2" xfId="56714"/>
    <cellStyle name="Total 7 2 3 3 2 2 3" xfId="43893"/>
    <cellStyle name="Total 7 2 3 3 2 3" xfId="23107"/>
    <cellStyle name="Total 7 2 3 3 2 3 2" xfId="52286"/>
    <cellStyle name="Total 7 2 3 3 2 4" xfId="35005"/>
    <cellStyle name="Total 7 2 3 3 3" xfId="7384"/>
    <cellStyle name="Total 7 2 3 3 3 2" xfId="15898"/>
    <cellStyle name="Total 7 2 3 3 3 2 2" xfId="28318"/>
    <cellStyle name="Total 7 2 3 3 3 2 2 2" xfId="57497"/>
    <cellStyle name="Total 7 2 3 3 3 2 3" xfId="45079"/>
    <cellStyle name="Total 7 2 3 3 3 3" xfId="23890"/>
    <cellStyle name="Total 7 2 3 3 3 3 2" xfId="53069"/>
    <cellStyle name="Total 7 2 3 3 3 4" xfId="36567"/>
    <cellStyle name="Total 7 2 3 3 4" xfId="12344"/>
    <cellStyle name="Total 7 2 3 3 4 2" xfId="26095"/>
    <cellStyle name="Total 7 2 3 3 4 2 2" xfId="55274"/>
    <cellStyle name="Total 7 2 3 3 4 3" xfId="41525"/>
    <cellStyle name="Total 7 2 3 3 5" xfId="21667"/>
    <cellStyle name="Total 7 2 3 3 5 2" xfId="50846"/>
    <cellStyle name="Total 7 2 3 3 6" xfId="31837"/>
    <cellStyle name="Total 7 2 3 4" xfId="4382"/>
    <cellStyle name="Total 7 2 3 4 2" xfId="13588"/>
    <cellStyle name="Total 7 2 3 4 2 2" xfId="26815"/>
    <cellStyle name="Total 7 2 3 4 2 2 2" xfId="55994"/>
    <cellStyle name="Total 7 2 3 4 2 3" xfId="42769"/>
    <cellStyle name="Total 7 2 3 4 3" xfId="22387"/>
    <cellStyle name="Total 7 2 3 4 3 2" xfId="51566"/>
    <cellStyle name="Total 7 2 3 4 4" xfId="33565"/>
    <cellStyle name="Total 7 2 3 5" xfId="7936"/>
    <cellStyle name="Total 7 2 3 5 2" xfId="16280"/>
    <cellStyle name="Total 7 2 3 5 2 2" xfId="28534"/>
    <cellStyle name="Total 7 2 3 5 2 2 2" xfId="57713"/>
    <cellStyle name="Total 7 2 3 5 2 3" xfId="45461"/>
    <cellStyle name="Total 7 2 3 5 3" xfId="24106"/>
    <cellStyle name="Total 7 2 3 5 3 2" xfId="53285"/>
    <cellStyle name="Total 7 2 3 5 4" xfId="37119"/>
    <cellStyle name="Total 7 2 3 6" xfId="11047"/>
    <cellStyle name="Total 7 2 3 6 2" xfId="25351"/>
    <cellStyle name="Total 7 2 3 6 2 2" xfId="54530"/>
    <cellStyle name="Total 7 2 3 6 3" xfId="40228"/>
    <cellStyle name="Total 7 2 3 7" xfId="20923"/>
    <cellStyle name="Total 7 2 3 7 2" xfId="50102"/>
    <cellStyle name="Total 7 2 3 8" xfId="30013"/>
    <cellStyle name="Total 7 2 4" xfId="1008"/>
    <cellStyle name="Total 7 2 4 2" xfId="1918"/>
    <cellStyle name="Total 7 2 4 2 2" xfId="3718"/>
    <cellStyle name="Total 7 2 4 2 2 2" xfId="6670"/>
    <cellStyle name="Total 7 2 4 2 2 2 2" xfId="15371"/>
    <cellStyle name="Total 7 2 4 2 2 2 2 2" xfId="27969"/>
    <cellStyle name="Total 7 2 4 2 2 2 2 2 2" xfId="57148"/>
    <cellStyle name="Total 7 2 4 2 2 2 2 3" xfId="44552"/>
    <cellStyle name="Total 7 2 4 2 2 2 3" xfId="23541"/>
    <cellStyle name="Total 7 2 4 2 2 2 3 2" xfId="52720"/>
    <cellStyle name="Total 7 2 4 2 2 2 4" xfId="35853"/>
    <cellStyle name="Total 7 2 4 2 2 3" xfId="9454"/>
    <cellStyle name="Total 7 2 4 2 2 3 2" xfId="17369"/>
    <cellStyle name="Total 7 2 4 2 2 3 2 2" xfId="29132"/>
    <cellStyle name="Total 7 2 4 2 2 3 2 2 2" xfId="58311"/>
    <cellStyle name="Total 7 2 4 2 2 3 2 3" xfId="46550"/>
    <cellStyle name="Total 7 2 4 2 2 3 3" xfId="24704"/>
    <cellStyle name="Total 7 2 4 2 2 3 3 2" xfId="53883"/>
    <cellStyle name="Total 7 2 4 2 2 3 4" xfId="38637"/>
    <cellStyle name="Total 7 2 4 2 2 4" xfId="13102"/>
    <cellStyle name="Total 7 2 4 2 2 4 2" xfId="26529"/>
    <cellStyle name="Total 7 2 4 2 2 4 2 2" xfId="55708"/>
    <cellStyle name="Total 7 2 4 2 2 4 3" xfId="42283"/>
    <cellStyle name="Total 7 2 4 2 2 5" xfId="22101"/>
    <cellStyle name="Total 7 2 4 2 2 5 2" xfId="51280"/>
    <cellStyle name="Total 7 2 4 2 2 6" xfId="32901"/>
    <cellStyle name="Total 7 2 4 2 3" xfId="5230"/>
    <cellStyle name="Total 7 2 4 2 3 2" xfId="14249"/>
    <cellStyle name="Total 7 2 4 2 3 2 2" xfId="27249"/>
    <cellStyle name="Total 7 2 4 2 3 2 2 2" xfId="56428"/>
    <cellStyle name="Total 7 2 4 2 3 2 3" xfId="43430"/>
    <cellStyle name="Total 7 2 4 2 3 3" xfId="22821"/>
    <cellStyle name="Total 7 2 4 2 3 3 2" xfId="52000"/>
    <cellStyle name="Total 7 2 4 2 3 4" xfId="34413"/>
    <cellStyle name="Total 7 2 4 2 4" xfId="9396"/>
    <cellStyle name="Total 7 2 4 2 4 2" xfId="17332"/>
    <cellStyle name="Total 7 2 4 2 4 2 2" xfId="29108"/>
    <cellStyle name="Total 7 2 4 2 4 2 2 2" xfId="58287"/>
    <cellStyle name="Total 7 2 4 2 4 2 3" xfId="46513"/>
    <cellStyle name="Total 7 2 4 2 4 3" xfId="24680"/>
    <cellStyle name="Total 7 2 4 2 4 3 2" xfId="53859"/>
    <cellStyle name="Total 7 2 4 2 4 4" xfId="38579"/>
    <cellStyle name="Total 7 2 4 2 5" xfId="11826"/>
    <cellStyle name="Total 7 2 4 2 5 2" xfId="25809"/>
    <cellStyle name="Total 7 2 4 2 5 2 2" xfId="54988"/>
    <cellStyle name="Total 7 2 4 2 5 3" xfId="41007"/>
    <cellStyle name="Total 7 2 4 2 6" xfId="21381"/>
    <cellStyle name="Total 7 2 4 2 6 2" xfId="50560"/>
    <cellStyle name="Total 7 2 4 2 7" xfId="31101"/>
    <cellStyle name="Total 7 2 4 3" xfId="2818"/>
    <cellStyle name="Total 7 2 4 3 2" xfId="5950"/>
    <cellStyle name="Total 7 2 4 3 2 2" xfId="14813"/>
    <cellStyle name="Total 7 2 4 3 2 2 2" xfId="27609"/>
    <cellStyle name="Total 7 2 4 3 2 2 2 2" xfId="56788"/>
    <cellStyle name="Total 7 2 4 3 2 2 3" xfId="43994"/>
    <cellStyle name="Total 7 2 4 3 2 3" xfId="23181"/>
    <cellStyle name="Total 7 2 4 3 2 3 2" xfId="52360"/>
    <cellStyle name="Total 7 2 4 3 2 4" xfId="35133"/>
    <cellStyle name="Total 7 2 4 3 3" xfId="8238"/>
    <cellStyle name="Total 7 2 4 3 3 2" xfId="16496"/>
    <cellStyle name="Total 7 2 4 3 3 2 2" xfId="28650"/>
    <cellStyle name="Total 7 2 4 3 3 2 2 2" xfId="57829"/>
    <cellStyle name="Total 7 2 4 3 3 2 3" xfId="45677"/>
    <cellStyle name="Total 7 2 4 3 3 3" xfId="24222"/>
    <cellStyle name="Total 7 2 4 3 3 3 2" xfId="53401"/>
    <cellStyle name="Total 7 2 4 3 3 4" xfId="37421"/>
    <cellStyle name="Total 7 2 4 3 4" xfId="12463"/>
    <cellStyle name="Total 7 2 4 3 4 2" xfId="26169"/>
    <cellStyle name="Total 7 2 4 3 4 2 2" xfId="55348"/>
    <cellStyle name="Total 7 2 4 3 4 3" xfId="41644"/>
    <cellStyle name="Total 7 2 4 3 5" xfId="21741"/>
    <cellStyle name="Total 7 2 4 3 5 2" xfId="50920"/>
    <cellStyle name="Total 7 2 4 3 6" xfId="32001"/>
    <cellStyle name="Total 7 2 4 4" xfId="4510"/>
    <cellStyle name="Total 7 2 4 4 2" xfId="13692"/>
    <cellStyle name="Total 7 2 4 4 2 2" xfId="26889"/>
    <cellStyle name="Total 7 2 4 4 2 2 2" xfId="56068"/>
    <cellStyle name="Total 7 2 4 4 2 3" xfId="42873"/>
    <cellStyle name="Total 7 2 4 4 3" xfId="22461"/>
    <cellStyle name="Total 7 2 4 4 3 2" xfId="51640"/>
    <cellStyle name="Total 7 2 4 4 4" xfId="33693"/>
    <cellStyle name="Total 7 2 4 5" xfId="9640"/>
    <cellStyle name="Total 7 2 4 5 2" xfId="17500"/>
    <cellStyle name="Total 7 2 4 5 2 2" xfId="29207"/>
    <cellStyle name="Total 7 2 4 5 2 2 2" xfId="58386"/>
    <cellStyle name="Total 7 2 4 5 2 3" xfId="46681"/>
    <cellStyle name="Total 7 2 4 5 3" xfId="24779"/>
    <cellStyle name="Total 7 2 4 5 3 2" xfId="53958"/>
    <cellStyle name="Total 7 2 4 5 4" xfId="38823"/>
    <cellStyle name="Total 7 2 4 6" xfId="11189"/>
    <cellStyle name="Total 7 2 4 6 2" xfId="25446"/>
    <cellStyle name="Total 7 2 4 6 2 2" xfId="54625"/>
    <cellStyle name="Total 7 2 4 6 3" xfId="40370"/>
    <cellStyle name="Total 7 2 4 7" xfId="21018"/>
    <cellStyle name="Total 7 2 4 7 2" xfId="50197"/>
    <cellStyle name="Total 7 2 4 8" xfId="30198"/>
    <cellStyle name="Total 7 2 5" xfId="1158"/>
    <cellStyle name="Total 7 2 5 2" xfId="2062"/>
    <cellStyle name="Total 7 2 5 2 2" xfId="3862"/>
    <cellStyle name="Total 7 2 5 2 2 2" xfId="6787"/>
    <cellStyle name="Total 7 2 5 2 2 2 2" xfId="15463"/>
    <cellStyle name="Total 7 2 5 2 2 2 2 2" xfId="28032"/>
    <cellStyle name="Total 7 2 5 2 2 2 2 2 2" xfId="57211"/>
    <cellStyle name="Total 7 2 5 2 2 2 2 3" xfId="44644"/>
    <cellStyle name="Total 7 2 5 2 2 2 3" xfId="23604"/>
    <cellStyle name="Total 7 2 5 2 2 2 3 2" xfId="52783"/>
    <cellStyle name="Total 7 2 5 2 2 2 4" xfId="35970"/>
    <cellStyle name="Total 7 2 5 2 2 3" xfId="7576"/>
    <cellStyle name="Total 7 2 5 2 2 3 2" xfId="16031"/>
    <cellStyle name="Total 7 2 5 2 2 3 2 2" xfId="28392"/>
    <cellStyle name="Total 7 2 5 2 2 3 2 2 2" xfId="57571"/>
    <cellStyle name="Total 7 2 5 2 2 3 2 3" xfId="45212"/>
    <cellStyle name="Total 7 2 5 2 2 3 3" xfId="23964"/>
    <cellStyle name="Total 7 2 5 2 2 3 3 2" xfId="53143"/>
    <cellStyle name="Total 7 2 5 2 2 3 4" xfId="36759"/>
    <cellStyle name="Total 7 2 5 2 2 4" xfId="13202"/>
    <cellStyle name="Total 7 2 5 2 2 4 2" xfId="26592"/>
    <cellStyle name="Total 7 2 5 2 2 4 2 2" xfId="55771"/>
    <cellStyle name="Total 7 2 5 2 2 4 3" xfId="42383"/>
    <cellStyle name="Total 7 2 5 2 2 5" xfId="22164"/>
    <cellStyle name="Total 7 2 5 2 2 5 2" xfId="51343"/>
    <cellStyle name="Total 7 2 5 2 2 6" xfId="33045"/>
    <cellStyle name="Total 7 2 5 2 3" xfId="5347"/>
    <cellStyle name="Total 7 2 5 2 3 2" xfId="14342"/>
    <cellStyle name="Total 7 2 5 2 3 2 2" xfId="27312"/>
    <cellStyle name="Total 7 2 5 2 3 2 2 2" xfId="56491"/>
    <cellStyle name="Total 7 2 5 2 3 2 3" xfId="43523"/>
    <cellStyle name="Total 7 2 5 2 3 3" xfId="22884"/>
    <cellStyle name="Total 7 2 5 2 3 3 2" xfId="52063"/>
    <cellStyle name="Total 7 2 5 2 3 4" xfId="34530"/>
    <cellStyle name="Total 7 2 5 2 4" xfId="8859"/>
    <cellStyle name="Total 7 2 5 2 4 2" xfId="16949"/>
    <cellStyle name="Total 7 2 5 2 4 2 2" xfId="28897"/>
    <cellStyle name="Total 7 2 5 2 4 2 2 2" xfId="58076"/>
    <cellStyle name="Total 7 2 5 2 4 2 3" xfId="46130"/>
    <cellStyle name="Total 7 2 5 2 4 3" xfId="24469"/>
    <cellStyle name="Total 7 2 5 2 4 3 2" xfId="53648"/>
    <cellStyle name="Total 7 2 5 2 4 4" xfId="38042"/>
    <cellStyle name="Total 7 2 5 2 5" xfId="11927"/>
    <cellStyle name="Total 7 2 5 2 5 2" xfId="25872"/>
    <cellStyle name="Total 7 2 5 2 5 2 2" xfId="55051"/>
    <cellStyle name="Total 7 2 5 2 5 3" xfId="41108"/>
    <cellStyle name="Total 7 2 5 2 6" xfId="21444"/>
    <cellStyle name="Total 7 2 5 2 6 2" xfId="50623"/>
    <cellStyle name="Total 7 2 5 2 7" xfId="31245"/>
    <cellStyle name="Total 7 2 5 3" xfId="2962"/>
    <cellStyle name="Total 7 2 5 3 2" xfId="6067"/>
    <cellStyle name="Total 7 2 5 3 2 2" xfId="14904"/>
    <cellStyle name="Total 7 2 5 3 2 2 2" xfId="27672"/>
    <cellStyle name="Total 7 2 5 3 2 2 2 2" xfId="56851"/>
    <cellStyle name="Total 7 2 5 3 2 2 3" xfId="44085"/>
    <cellStyle name="Total 7 2 5 3 2 3" xfId="23244"/>
    <cellStyle name="Total 7 2 5 3 2 3 2" xfId="52423"/>
    <cellStyle name="Total 7 2 5 3 2 4" xfId="35250"/>
    <cellStyle name="Total 7 2 5 3 3" xfId="10386"/>
    <cellStyle name="Total 7 2 5 3 3 2" xfId="18027"/>
    <cellStyle name="Total 7 2 5 3 3 2 2" xfId="29500"/>
    <cellStyle name="Total 7 2 5 3 3 2 2 2" xfId="58679"/>
    <cellStyle name="Total 7 2 5 3 3 2 3" xfId="47208"/>
    <cellStyle name="Total 7 2 5 3 3 3" xfId="25072"/>
    <cellStyle name="Total 7 2 5 3 3 3 2" xfId="54251"/>
    <cellStyle name="Total 7 2 5 3 3 4" xfId="39569"/>
    <cellStyle name="Total 7 2 5 3 4" xfId="12566"/>
    <cellStyle name="Total 7 2 5 3 4 2" xfId="26232"/>
    <cellStyle name="Total 7 2 5 3 4 2 2" xfId="55411"/>
    <cellStyle name="Total 7 2 5 3 4 3" xfId="41747"/>
    <cellStyle name="Total 7 2 5 3 5" xfId="21804"/>
    <cellStyle name="Total 7 2 5 3 5 2" xfId="50983"/>
    <cellStyle name="Total 7 2 5 3 6" xfId="32145"/>
    <cellStyle name="Total 7 2 5 4" xfId="4627"/>
    <cellStyle name="Total 7 2 5 4 2" xfId="13785"/>
    <cellStyle name="Total 7 2 5 4 2 2" xfId="26952"/>
    <cellStyle name="Total 7 2 5 4 2 2 2" xfId="56131"/>
    <cellStyle name="Total 7 2 5 4 2 3" xfId="42966"/>
    <cellStyle name="Total 7 2 5 4 3" xfId="22524"/>
    <cellStyle name="Total 7 2 5 4 3 2" xfId="51703"/>
    <cellStyle name="Total 7 2 5 4 4" xfId="33810"/>
    <cellStyle name="Total 7 2 5 5" xfId="10072"/>
    <cellStyle name="Total 7 2 5 5 2" xfId="17807"/>
    <cellStyle name="Total 7 2 5 5 2 2" xfId="29374"/>
    <cellStyle name="Total 7 2 5 5 2 2 2" xfId="58553"/>
    <cellStyle name="Total 7 2 5 5 2 3" xfId="46988"/>
    <cellStyle name="Total 7 2 5 5 3" xfId="24946"/>
    <cellStyle name="Total 7 2 5 5 3 2" xfId="54125"/>
    <cellStyle name="Total 7 2 5 5 4" xfId="39255"/>
    <cellStyle name="Total 7 2 5 6" xfId="11295"/>
    <cellStyle name="Total 7 2 5 6 2" xfId="25512"/>
    <cellStyle name="Total 7 2 5 6 2 2" xfId="54691"/>
    <cellStyle name="Total 7 2 5 6 3" xfId="40476"/>
    <cellStyle name="Total 7 2 5 7" xfId="21084"/>
    <cellStyle name="Total 7 2 5 7 2" xfId="50263"/>
    <cellStyle name="Total 7 2 5 8" xfId="30345"/>
    <cellStyle name="Total 7 2 6" xfId="1304"/>
    <cellStyle name="Total 7 2 6 2" xfId="2206"/>
    <cellStyle name="Total 7 2 6 2 2" xfId="4006"/>
    <cellStyle name="Total 7 2 6 2 2 2" xfId="6904"/>
    <cellStyle name="Total 7 2 6 2 2 2 2" xfId="15558"/>
    <cellStyle name="Total 7 2 6 2 2 2 2 2" xfId="28095"/>
    <cellStyle name="Total 7 2 6 2 2 2 2 2 2" xfId="57274"/>
    <cellStyle name="Total 7 2 6 2 2 2 2 3" xfId="44739"/>
    <cellStyle name="Total 7 2 6 2 2 2 3" xfId="23667"/>
    <cellStyle name="Total 7 2 6 2 2 2 3 2" xfId="52846"/>
    <cellStyle name="Total 7 2 6 2 2 2 4" xfId="36087"/>
    <cellStyle name="Total 7 2 6 2 2 3" xfId="7074"/>
    <cellStyle name="Total 7 2 6 2 2 3 2" xfId="15674"/>
    <cellStyle name="Total 7 2 6 2 2 3 2 2" xfId="28173"/>
    <cellStyle name="Total 7 2 6 2 2 3 2 2 2" xfId="57352"/>
    <cellStyle name="Total 7 2 6 2 2 3 2 3" xfId="44855"/>
    <cellStyle name="Total 7 2 6 2 2 3 3" xfId="23745"/>
    <cellStyle name="Total 7 2 6 2 2 3 3 2" xfId="52924"/>
    <cellStyle name="Total 7 2 6 2 2 3 4" xfId="36257"/>
    <cellStyle name="Total 7 2 6 2 2 4" xfId="13307"/>
    <cellStyle name="Total 7 2 6 2 2 4 2" xfId="26655"/>
    <cellStyle name="Total 7 2 6 2 2 4 2 2" xfId="55834"/>
    <cellStyle name="Total 7 2 6 2 2 4 3" xfId="42488"/>
    <cellStyle name="Total 7 2 6 2 2 5" xfId="22227"/>
    <cellStyle name="Total 7 2 6 2 2 5 2" xfId="51406"/>
    <cellStyle name="Total 7 2 6 2 2 6" xfId="33189"/>
    <cellStyle name="Total 7 2 6 2 3" xfId="5464"/>
    <cellStyle name="Total 7 2 6 2 3 2" xfId="14438"/>
    <cellStyle name="Total 7 2 6 2 3 2 2" xfId="27375"/>
    <cellStyle name="Total 7 2 6 2 3 2 2 2" xfId="56554"/>
    <cellStyle name="Total 7 2 6 2 3 2 3" xfId="43619"/>
    <cellStyle name="Total 7 2 6 2 3 3" xfId="22947"/>
    <cellStyle name="Total 7 2 6 2 3 3 2" xfId="52126"/>
    <cellStyle name="Total 7 2 6 2 3 4" xfId="34647"/>
    <cellStyle name="Total 7 2 6 2 4" xfId="10198"/>
    <cellStyle name="Total 7 2 6 2 4 2" xfId="17900"/>
    <cellStyle name="Total 7 2 6 2 4 2 2" xfId="29428"/>
    <cellStyle name="Total 7 2 6 2 4 2 2 2" xfId="58607"/>
    <cellStyle name="Total 7 2 6 2 4 2 3" xfId="47081"/>
    <cellStyle name="Total 7 2 6 2 4 3" xfId="25000"/>
    <cellStyle name="Total 7 2 6 2 4 3 2" xfId="54179"/>
    <cellStyle name="Total 7 2 6 2 4 4" xfId="39381"/>
    <cellStyle name="Total 7 2 6 2 5" xfId="12031"/>
    <cellStyle name="Total 7 2 6 2 5 2" xfId="25935"/>
    <cellStyle name="Total 7 2 6 2 5 2 2" xfId="55114"/>
    <cellStyle name="Total 7 2 6 2 5 3" xfId="41212"/>
    <cellStyle name="Total 7 2 6 2 6" xfId="21507"/>
    <cellStyle name="Total 7 2 6 2 6 2" xfId="50686"/>
    <cellStyle name="Total 7 2 6 2 7" xfId="31389"/>
    <cellStyle name="Total 7 2 6 3" xfId="3106"/>
    <cellStyle name="Total 7 2 6 3 2" xfId="6184"/>
    <cellStyle name="Total 7 2 6 3 2 2" xfId="14999"/>
    <cellStyle name="Total 7 2 6 3 2 2 2" xfId="27735"/>
    <cellStyle name="Total 7 2 6 3 2 2 2 2" xfId="56914"/>
    <cellStyle name="Total 7 2 6 3 2 2 3" xfId="44180"/>
    <cellStyle name="Total 7 2 6 3 2 3" xfId="23307"/>
    <cellStyle name="Total 7 2 6 3 2 3 2" xfId="52486"/>
    <cellStyle name="Total 7 2 6 3 2 4" xfId="35367"/>
    <cellStyle name="Total 7 2 6 3 3" xfId="9422"/>
    <cellStyle name="Total 7 2 6 3 3 2" xfId="17350"/>
    <cellStyle name="Total 7 2 6 3 3 2 2" xfId="29119"/>
    <cellStyle name="Total 7 2 6 3 3 2 2 2" xfId="58298"/>
    <cellStyle name="Total 7 2 6 3 3 2 3" xfId="46531"/>
    <cellStyle name="Total 7 2 6 3 3 3" xfId="24691"/>
    <cellStyle name="Total 7 2 6 3 3 3 2" xfId="53870"/>
    <cellStyle name="Total 7 2 6 3 3 4" xfId="38605"/>
    <cellStyle name="Total 7 2 6 3 4" xfId="12669"/>
    <cellStyle name="Total 7 2 6 3 4 2" xfId="26295"/>
    <cellStyle name="Total 7 2 6 3 4 2 2" xfId="55474"/>
    <cellStyle name="Total 7 2 6 3 4 3" xfId="41850"/>
    <cellStyle name="Total 7 2 6 3 5" xfId="21867"/>
    <cellStyle name="Total 7 2 6 3 5 2" xfId="51046"/>
    <cellStyle name="Total 7 2 6 3 6" xfId="32289"/>
    <cellStyle name="Total 7 2 6 4" xfId="4744"/>
    <cellStyle name="Total 7 2 6 4 2" xfId="13876"/>
    <cellStyle name="Total 7 2 6 4 2 2" xfId="27015"/>
    <cellStyle name="Total 7 2 6 4 2 2 2" xfId="56194"/>
    <cellStyle name="Total 7 2 6 4 2 3" xfId="43057"/>
    <cellStyle name="Total 7 2 6 4 3" xfId="22587"/>
    <cellStyle name="Total 7 2 6 4 3 2" xfId="51766"/>
    <cellStyle name="Total 7 2 6 4 4" xfId="33927"/>
    <cellStyle name="Total 7 2 6 5" xfId="8293"/>
    <cellStyle name="Total 7 2 6 5 2" xfId="16536"/>
    <cellStyle name="Total 7 2 6 5 2 2" xfId="28672"/>
    <cellStyle name="Total 7 2 6 5 2 2 2" xfId="57851"/>
    <cellStyle name="Total 7 2 6 5 2 3" xfId="45717"/>
    <cellStyle name="Total 7 2 6 5 3" xfId="24244"/>
    <cellStyle name="Total 7 2 6 5 3 2" xfId="53423"/>
    <cellStyle name="Total 7 2 6 5 4" xfId="37476"/>
    <cellStyle name="Total 7 2 6 6" xfId="11401"/>
    <cellStyle name="Total 7 2 6 6 2" xfId="25575"/>
    <cellStyle name="Total 7 2 6 6 2 2" xfId="54754"/>
    <cellStyle name="Total 7 2 6 6 3" xfId="40582"/>
    <cellStyle name="Total 7 2 6 7" xfId="21147"/>
    <cellStyle name="Total 7 2 6 7 2" xfId="50326"/>
    <cellStyle name="Total 7 2 6 8" xfId="30489"/>
    <cellStyle name="Total 7 2 7" xfId="1486"/>
    <cellStyle name="Total 7 2 7 2" xfId="3286"/>
    <cellStyle name="Total 7 2 7 2 2" xfId="6328"/>
    <cellStyle name="Total 7 2 7 2 2 2" xfId="15102"/>
    <cellStyle name="Total 7 2 7 2 2 2 2" xfId="27807"/>
    <cellStyle name="Total 7 2 7 2 2 2 2 2" xfId="56986"/>
    <cellStyle name="Total 7 2 7 2 2 2 3" xfId="44283"/>
    <cellStyle name="Total 7 2 7 2 2 3" xfId="23379"/>
    <cellStyle name="Total 7 2 7 2 2 3 2" xfId="52558"/>
    <cellStyle name="Total 7 2 7 2 2 4" xfId="35511"/>
    <cellStyle name="Total 7 2 7 2 3" xfId="7377"/>
    <cellStyle name="Total 7 2 7 2 3 2" xfId="15893"/>
    <cellStyle name="Total 7 2 7 2 3 2 2" xfId="28313"/>
    <cellStyle name="Total 7 2 7 2 3 2 2 2" xfId="57492"/>
    <cellStyle name="Total 7 2 7 2 3 2 3" xfId="45074"/>
    <cellStyle name="Total 7 2 7 2 3 3" xfId="23885"/>
    <cellStyle name="Total 7 2 7 2 3 3 2" xfId="53064"/>
    <cellStyle name="Total 7 2 7 2 3 4" xfId="36560"/>
    <cellStyle name="Total 7 2 7 2 4" xfId="12793"/>
    <cellStyle name="Total 7 2 7 2 4 2" xfId="26367"/>
    <cellStyle name="Total 7 2 7 2 4 2 2" xfId="55546"/>
    <cellStyle name="Total 7 2 7 2 4 3" xfId="41974"/>
    <cellStyle name="Total 7 2 7 2 5" xfId="21939"/>
    <cellStyle name="Total 7 2 7 2 5 2" xfId="51118"/>
    <cellStyle name="Total 7 2 7 2 6" xfId="32469"/>
    <cellStyle name="Total 7 2 7 3" xfId="4888"/>
    <cellStyle name="Total 7 2 7 3 2" xfId="13978"/>
    <cellStyle name="Total 7 2 7 3 2 2" xfId="27087"/>
    <cellStyle name="Total 7 2 7 3 2 2 2" xfId="56266"/>
    <cellStyle name="Total 7 2 7 3 2 3" xfId="43159"/>
    <cellStyle name="Total 7 2 7 3 3" xfId="22659"/>
    <cellStyle name="Total 7 2 7 3 3 2" xfId="51838"/>
    <cellStyle name="Total 7 2 7 3 4" xfId="34071"/>
    <cellStyle name="Total 7 2 7 4" xfId="8986"/>
    <cellStyle name="Total 7 2 7 4 2" xfId="17041"/>
    <cellStyle name="Total 7 2 7 4 2 2" xfId="28944"/>
    <cellStyle name="Total 7 2 7 4 2 2 2" xfId="58123"/>
    <cellStyle name="Total 7 2 7 4 2 3" xfId="46222"/>
    <cellStyle name="Total 7 2 7 4 3" xfId="24516"/>
    <cellStyle name="Total 7 2 7 4 3 2" xfId="53695"/>
    <cellStyle name="Total 7 2 7 4 4" xfId="38169"/>
    <cellStyle name="Total 7 2 7 5" xfId="11523"/>
    <cellStyle name="Total 7 2 7 5 2" xfId="25647"/>
    <cellStyle name="Total 7 2 7 5 2 2" xfId="54826"/>
    <cellStyle name="Total 7 2 7 5 3" xfId="40704"/>
    <cellStyle name="Total 7 2 7 6" xfId="21219"/>
    <cellStyle name="Total 7 2 7 6 2" xfId="50398"/>
    <cellStyle name="Total 7 2 7 7" xfId="30669"/>
    <cellStyle name="Total 7 2 8" xfId="2386"/>
    <cellStyle name="Total 7 2 8 2" xfId="5608"/>
    <cellStyle name="Total 7 2 8 2 2" xfId="14543"/>
    <cellStyle name="Total 7 2 8 2 2 2" xfId="27447"/>
    <cellStyle name="Total 7 2 8 2 2 2 2" xfId="56626"/>
    <cellStyle name="Total 7 2 8 2 2 3" xfId="43724"/>
    <cellStyle name="Total 7 2 8 2 3" xfId="23019"/>
    <cellStyle name="Total 7 2 8 2 3 2" xfId="52198"/>
    <cellStyle name="Total 7 2 8 2 4" xfId="34791"/>
    <cellStyle name="Total 7 2 8 3" xfId="7265"/>
    <cellStyle name="Total 7 2 8 3 2" xfId="15814"/>
    <cellStyle name="Total 7 2 8 3 2 2" xfId="28261"/>
    <cellStyle name="Total 7 2 8 3 2 2 2" xfId="57440"/>
    <cellStyle name="Total 7 2 8 3 2 3" xfId="44995"/>
    <cellStyle name="Total 7 2 8 3 3" xfId="23833"/>
    <cellStyle name="Total 7 2 8 3 3 2" xfId="53012"/>
    <cellStyle name="Total 7 2 8 3 4" xfId="36448"/>
    <cellStyle name="Total 7 2 8 4" xfId="12152"/>
    <cellStyle name="Total 7 2 8 4 2" xfId="26007"/>
    <cellStyle name="Total 7 2 8 4 2 2" xfId="55186"/>
    <cellStyle name="Total 7 2 8 4 3" xfId="41333"/>
    <cellStyle name="Total 7 2 8 5" xfId="21579"/>
    <cellStyle name="Total 7 2 8 5 2" xfId="50758"/>
    <cellStyle name="Total 7 2 8 6" xfId="31569"/>
    <cellStyle name="Total 7 2 9" xfId="4168"/>
    <cellStyle name="Total 7 2 9 2" xfId="13421"/>
    <cellStyle name="Total 7 2 9 2 2" xfId="26727"/>
    <cellStyle name="Total 7 2 9 2 2 2" xfId="55906"/>
    <cellStyle name="Total 7 2 9 2 3" xfId="42602"/>
    <cellStyle name="Total 7 2 9 3" xfId="22299"/>
    <cellStyle name="Total 7 2 9 3 2" xfId="51478"/>
    <cellStyle name="Total 7 2 9 4" xfId="33351"/>
    <cellStyle name="Total 7 3" xfId="508"/>
    <cellStyle name="Total 7 3 10" xfId="10806"/>
    <cellStyle name="Total 7 3 10 2" xfId="25205"/>
    <cellStyle name="Total 7 3 10 2 2" xfId="54384"/>
    <cellStyle name="Total 7 3 10 3" xfId="39987"/>
    <cellStyle name="Total 7 3 11" xfId="20777"/>
    <cellStyle name="Total 7 3 11 2" xfId="49956"/>
    <cellStyle name="Total 7 3 12" xfId="29714"/>
    <cellStyle name="Total 7 3 2" xfId="861"/>
    <cellStyle name="Total 7 3 2 2" xfId="1799"/>
    <cellStyle name="Total 7 3 2 2 2" xfId="3599"/>
    <cellStyle name="Total 7 3 2 2 2 2" xfId="6578"/>
    <cellStyle name="Total 7 3 2 2 2 2 2" xfId="15295"/>
    <cellStyle name="Total 7 3 2 2 2 2 2 2" xfId="27913"/>
    <cellStyle name="Total 7 3 2 2 2 2 2 2 2" xfId="57092"/>
    <cellStyle name="Total 7 3 2 2 2 2 2 3" xfId="44476"/>
    <cellStyle name="Total 7 3 2 2 2 2 3" xfId="23485"/>
    <cellStyle name="Total 7 3 2 2 2 2 3 2" xfId="52664"/>
    <cellStyle name="Total 7 3 2 2 2 2 4" xfId="35761"/>
    <cellStyle name="Total 7 3 2 2 2 3" xfId="8726"/>
    <cellStyle name="Total 7 3 2 2 2 3 2" xfId="16845"/>
    <cellStyle name="Total 7 3 2 2 2 3 2 2" xfId="28842"/>
    <cellStyle name="Total 7 3 2 2 2 3 2 2 2" xfId="58021"/>
    <cellStyle name="Total 7 3 2 2 2 3 2 3" xfId="46026"/>
    <cellStyle name="Total 7 3 2 2 2 3 3" xfId="24414"/>
    <cellStyle name="Total 7 3 2 2 2 3 3 2" xfId="53593"/>
    <cellStyle name="Total 7 3 2 2 2 3 4" xfId="37909"/>
    <cellStyle name="Total 7 3 2 2 2 4" xfId="13011"/>
    <cellStyle name="Total 7 3 2 2 2 4 2" xfId="26473"/>
    <cellStyle name="Total 7 3 2 2 2 4 2 2" xfId="55652"/>
    <cellStyle name="Total 7 3 2 2 2 4 3" xfId="42192"/>
    <cellStyle name="Total 7 3 2 2 2 5" xfId="22045"/>
    <cellStyle name="Total 7 3 2 2 2 5 2" xfId="51224"/>
    <cellStyle name="Total 7 3 2 2 2 6" xfId="32782"/>
    <cellStyle name="Total 7 3 2 2 3" xfId="5138"/>
    <cellStyle name="Total 7 3 2 2 3 2" xfId="14172"/>
    <cellStyle name="Total 7 3 2 2 3 2 2" xfId="27193"/>
    <cellStyle name="Total 7 3 2 2 3 2 2 2" xfId="56372"/>
    <cellStyle name="Total 7 3 2 2 3 2 3" xfId="43353"/>
    <cellStyle name="Total 7 3 2 2 3 3" xfId="22765"/>
    <cellStyle name="Total 7 3 2 2 3 3 2" xfId="51944"/>
    <cellStyle name="Total 7 3 2 2 3 4" xfId="34321"/>
    <cellStyle name="Total 7 3 2 2 4" xfId="8904"/>
    <cellStyle name="Total 7 3 2 2 4 2" xfId="16981"/>
    <cellStyle name="Total 7 3 2 2 4 2 2" xfId="28914"/>
    <cellStyle name="Total 7 3 2 2 4 2 2 2" xfId="58093"/>
    <cellStyle name="Total 7 3 2 2 4 2 3" xfId="46162"/>
    <cellStyle name="Total 7 3 2 2 4 3" xfId="24486"/>
    <cellStyle name="Total 7 3 2 2 4 3 2" xfId="53665"/>
    <cellStyle name="Total 7 3 2 2 4 4" xfId="38087"/>
    <cellStyle name="Total 7 3 2 2 5" xfId="11737"/>
    <cellStyle name="Total 7 3 2 2 5 2" xfId="25753"/>
    <cellStyle name="Total 7 3 2 2 5 2 2" xfId="54932"/>
    <cellStyle name="Total 7 3 2 2 5 3" xfId="40918"/>
    <cellStyle name="Total 7 3 2 2 6" xfId="21325"/>
    <cellStyle name="Total 7 3 2 2 6 2" xfId="50504"/>
    <cellStyle name="Total 7 3 2 2 7" xfId="30982"/>
    <cellStyle name="Total 7 3 2 3" xfId="2699"/>
    <cellStyle name="Total 7 3 2 3 2" xfId="5858"/>
    <cellStyle name="Total 7 3 2 3 2 2" xfId="14739"/>
    <cellStyle name="Total 7 3 2 3 2 2 2" xfId="27553"/>
    <cellStyle name="Total 7 3 2 3 2 2 2 2" xfId="56732"/>
    <cellStyle name="Total 7 3 2 3 2 2 3" xfId="43920"/>
    <cellStyle name="Total 7 3 2 3 2 3" xfId="23125"/>
    <cellStyle name="Total 7 3 2 3 2 3 2" xfId="52304"/>
    <cellStyle name="Total 7 3 2 3 2 4" xfId="35041"/>
    <cellStyle name="Total 7 3 2 3 3" xfId="10431"/>
    <cellStyle name="Total 7 3 2 3 3 2" xfId="18059"/>
    <cellStyle name="Total 7 3 2 3 3 2 2" xfId="29517"/>
    <cellStyle name="Total 7 3 2 3 3 2 2 2" xfId="58696"/>
    <cellStyle name="Total 7 3 2 3 3 2 3" xfId="47240"/>
    <cellStyle name="Total 7 3 2 3 3 3" xfId="25089"/>
    <cellStyle name="Total 7 3 2 3 3 3 2" xfId="54268"/>
    <cellStyle name="Total 7 3 2 3 3 4" xfId="39614"/>
    <cellStyle name="Total 7 3 2 3 4" xfId="12374"/>
    <cellStyle name="Total 7 3 2 3 4 2" xfId="26113"/>
    <cellStyle name="Total 7 3 2 3 4 2 2" xfId="55292"/>
    <cellStyle name="Total 7 3 2 3 4 3" xfId="41555"/>
    <cellStyle name="Total 7 3 2 3 5" xfId="21685"/>
    <cellStyle name="Total 7 3 2 3 5 2" xfId="50864"/>
    <cellStyle name="Total 7 3 2 3 6" xfId="31882"/>
    <cellStyle name="Total 7 3 2 4" xfId="4418"/>
    <cellStyle name="Total 7 3 2 4 2" xfId="13616"/>
    <cellStyle name="Total 7 3 2 4 2 2" xfId="26833"/>
    <cellStyle name="Total 7 3 2 4 2 2 2" xfId="56012"/>
    <cellStyle name="Total 7 3 2 4 2 3" xfId="42797"/>
    <cellStyle name="Total 7 3 2 4 3" xfId="22405"/>
    <cellStyle name="Total 7 3 2 4 3 2" xfId="51584"/>
    <cellStyle name="Total 7 3 2 4 4" xfId="33601"/>
    <cellStyle name="Total 7 3 2 5" xfId="7403"/>
    <cellStyle name="Total 7 3 2 5 2" xfId="15913"/>
    <cellStyle name="Total 7 3 2 5 2 2" xfId="28326"/>
    <cellStyle name="Total 7 3 2 5 2 2 2" xfId="57505"/>
    <cellStyle name="Total 7 3 2 5 2 3" xfId="45094"/>
    <cellStyle name="Total 7 3 2 5 3" xfId="23898"/>
    <cellStyle name="Total 7 3 2 5 3 2" xfId="53077"/>
    <cellStyle name="Total 7 3 2 5 4" xfId="36586"/>
    <cellStyle name="Total 7 3 2 6" xfId="11076"/>
    <cellStyle name="Total 7 3 2 6 2" xfId="25369"/>
    <cellStyle name="Total 7 3 2 6 2 2" xfId="54548"/>
    <cellStyle name="Total 7 3 2 6 3" xfId="40257"/>
    <cellStyle name="Total 7 3 2 7" xfId="20941"/>
    <cellStyle name="Total 7 3 2 7 2" xfId="50120"/>
    <cellStyle name="Total 7 3 2 8" xfId="30058"/>
    <cellStyle name="Total 7 3 3" xfId="1053"/>
    <cellStyle name="Total 7 3 3 2" xfId="1963"/>
    <cellStyle name="Total 7 3 3 2 2" xfId="3763"/>
    <cellStyle name="Total 7 3 3 2 2 2" xfId="6706"/>
    <cellStyle name="Total 7 3 3 2 2 2 2" xfId="15400"/>
    <cellStyle name="Total 7 3 3 2 2 2 2 2" xfId="27987"/>
    <cellStyle name="Total 7 3 3 2 2 2 2 2 2" xfId="57166"/>
    <cellStyle name="Total 7 3 3 2 2 2 2 3" xfId="44581"/>
    <cellStyle name="Total 7 3 3 2 2 2 3" xfId="23559"/>
    <cellStyle name="Total 7 3 3 2 2 2 3 2" xfId="52738"/>
    <cellStyle name="Total 7 3 3 2 2 2 4" xfId="35889"/>
    <cellStyle name="Total 7 3 3 2 2 3" xfId="8584"/>
    <cellStyle name="Total 7 3 3 2 2 3 2" xfId="16739"/>
    <cellStyle name="Total 7 3 3 2 2 3 2 2" xfId="28778"/>
    <cellStyle name="Total 7 3 3 2 2 3 2 2 2" xfId="57957"/>
    <cellStyle name="Total 7 3 3 2 2 3 2 3" xfId="45920"/>
    <cellStyle name="Total 7 3 3 2 2 3 3" xfId="24350"/>
    <cellStyle name="Total 7 3 3 2 2 3 3 2" xfId="53529"/>
    <cellStyle name="Total 7 3 3 2 2 3 4" xfId="37767"/>
    <cellStyle name="Total 7 3 3 2 2 4" xfId="13133"/>
    <cellStyle name="Total 7 3 3 2 2 4 2" xfId="26547"/>
    <cellStyle name="Total 7 3 3 2 2 4 2 2" xfId="55726"/>
    <cellStyle name="Total 7 3 3 2 2 4 3" xfId="42314"/>
    <cellStyle name="Total 7 3 3 2 2 5" xfId="22119"/>
    <cellStyle name="Total 7 3 3 2 2 5 2" xfId="51298"/>
    <cellStyle name="Total 7 3 3 2 2 6" xfId="32946"/>
    <cellStyle name="Total 7 3 3 2 3" xfId="5266"/>
    <cellStyle name="Total 7 3 3 2 3 2" xfId="14279"/>
    <cellStyle name="Total 7 3 3 2 3 2 2" xfId="27267"/>
    <cellStyle name="Total 7 3 3 2 3 2 2 2" xfId="56446"/>
    <cellStyle name="Total 7 3 3 2 3 2 3" xfId="43460"/>
    <cellStyle name="Total 7 3 3 2 3 3" xfId="22839"/>
    <cellStyle name="Total 7 3 3 2 3 3 2" xfId="52018"/>
    <cellStyle name="Total 7 3 3 2 3 4" xfId="34449"/>
    <cellStyle name="Total 7 3 3 2 4" xfId="8783"/>
    <cellStyle name="Total 7 3 3 2 4 2" xfId="16888"/>
    <cellStyle name="Total 7 3 3 2 4 2 2" xfId="28862"/>
    <cellStyle name="Total 7 3 3 2 4 2 2 2" xfId="58041"/>
    <cellStyle name="Total 7 3 3 2 4 2 3" xfId="46069"/>
    <cellStyle name="Total 7 3 3 2 4 3" xfId="24434"/>
    <cellStyle name="Total 7 3 3 2 4 3 2" xfId="53613"/>
    <cellStyle name="Total 7 3 3 2 4 4" xfId="37966"/>
    <cellStyle name="Total 7 3 3 2 5" xfId="11857"/>
    <cellStyle name="Total 7 3 3 2 5 2" xfId="25827"/>
    <cellStyle name="Total 7 3 3 2 5 2 2" xfId="55006"/>
    <cellStyle name="Total 7 3 3 2 5 3" xfId="41038"/>
    <cellStyle name="Total 7 3 3 2 6" xfId="21399"/>
    <cellStyle name="Total 7 3 3 2 6 2" xfId="50578"/>
    <cellStyle name="Total 7 3 3 2 7" xfId="31146"/>
    <cellStyle name="Total 7 3 3 3" xfId="2863"/>
    <cellStyle name="Total 7 3 3 3 2" xfId="5986"/>
    <cellStyle name="Total 7 3 3 3 2 2" xfId="14843"/>
    <cellStyle name="Total 7 3 3 3 2 2 2" xfId="27627"/>
    <cellStyle name="Total 7 3 3 3 2 2 2 2" xfId="56806"/>
    <cellStyle name="Total 7 3 3 3 2 2 3" xfId="44024"/>
    <cellStyle name="Total 7 3 3 3 2 3" xfId="23199"/>
    <cellStyle name="Total 7 3 3 3 2 3 2" xfId="52378"/>
    <cellStyle name="Total 7 3 3 3 2 4" xfId="35169"/>
    <cellStyle name="Total 7 3 3 3 3" xfId="10310"/>
    <cellStyle name="Total 7 3 3 3 3 2" xfId="17977"/>
    <cellStyle name="Total 7 3 3 3 3 2 2" xfId="29473"/>
    <cellStyle name="Total 7 3 3 3 3 2 2 2" xfId="58652"/>
    <cellStyle name="Total 7 3 3 3 3 2 3" xfId="47158"/>
    <cellStyle name="Total 7 3 3 3 3 3" xfId="25045"/>
    <cellStyle name="Total 7 3 3 3 3 3 2" xfId="54224"/>
    <cellStyle name="Total 7 3 3 3 3 4" xfId="39493"/>
    <cellStyle name="Total 7 3 3 3 4" xfId="12496"/>
    <cellStyle name="Total 7 3 3 3 4 2" xfId="26187"/>
    <cellStyle name="Total 7 3 3 3 4 2 2" xfId="55366"/>
    <cellStyle name="Total 7 3 3 3 4 3" xfId="41677"/>
    <cellStyle name="Total 7 3 3 3 5" xfId="21759"/>
    <cellStyle name="Total 7 3 3 3 5 2" xfId="50938"/>
    <cellStyle name="Total 7 3 3 3 6" xfId="32046"/>
    <cellStyle name="Total 7 3 3 4" xfId="4546"/>
    <cellStyle name="Total 7 3 3 4 2" xfId="13722"/>
    <cellStyle name="Total 7 3 3 4 2 2" xfId="26907"/>
    <cellStyle name="Total 7 3 3 4 2 2 2" xfId="56086"/>
    <cellStyle name="Total 7 3 3 4 2 3" xfId="42903"/>
    <cellStyle name="Total 7 3 3 4 3" xfId="22479"/>
    <cellStyle name="Total 7 3 3 4 3 2" xfId="51658"/>
    <cellStyle name="Total 7 3 3 4 4" xfId="33729"/>
    <cellStyle name="Total 7 3 3 5" xfId="9484"/>
    <cellStyle name="Total 7 3 3 5 2" xfId="17390"/>
    <cellStyle name="Total 7 3 3 5 2 2" xfId="29146"/>
    <cellStyle name="Total 7 3 3 5 2 2 2" xfId="58325"/>
    <cellStyle name="Total 7 3 3 5 2 3" xfId="46571"/>
    <cellStyle name="Total 7 3 3 5 3" xfId="24718"/>
    <cellStyle name="Total 7 3 3 5 3 2" xfId="53897"/>
    <cellStyle name="Total 7 3 3 5 4" xfId="38667"/>
    <cellStyle name="Total 7 3 3 6" xfId="11220"/>
    <cellStyle name="Total 7 3 3 6 2" xfId="25464"/>
    <cellStyle name="Total 7 3 3 6 2 2" xfId="54643"/>
    <cellStyle name="Total 7 3 3 6 3" xfId="40401"/>
    <cellStyle name="Total 7 3 3 7" xfId="21036"/>
    <cellStyle name="Total 7 3 3 7 2" xfId="50215"/>
    <cellStyle name="Total 7 3 3 8" xfId="30243"/>
    <cellStyle name="Total 7 3 4" xfId="1203"/>
    <cellStyle name="Total 7 3 4 2" xfId="2107"/>
    <cellStyle name="Total 7 3 4 2 2" xfId="3907"/>
    <cellStyle name="Total 7 3 4 2 2 2" xfId="6823"/>
    <cellStyle name="Total 7 3 4 2 2 2 2" xfId="15493"/>
    <cellStyle name="Total 7 3 4 2 2 2 2 2" xfId="28050"/>
    <cellStyle name="Total 7 3 4 2 2 2 2 2 2" xfId="57229"/>
    <cellStyle name="Total 7 3 4 2 2 2 2 3" xfId="44674"/>
    <cellStyle name="Total 7 3 4 2 2 2 3" xfId="23622"/>
    <cellStyle name="Total 7 3 4 2 2 2 3 2" xfId="52801"/>
    <cellStyle name="Total 7 3 4 2 2 2 4" xfId="36006"/>
    <cellStyle name="Total 7 3 4 2 2 3" xfId="9878"/>
    <cellStyle name="Total 7 3 4 2 2 3 2" xfId="17677"/>
    <cellStyle name="Total 7 3 4 2 2 3 2 2" xfId="29302"/>
    <cellStyle name="Total 7 3 4 2 2 3 2 2 2" xfId="58481"/>
    <cellStyle name="Total 7 3 4 2 2 3 2 3" xfId="46858"/>
    <cellStyle name="Total 7 3 4 2 2 3 3" xfId="24874"/>
    <cellStyle name="Total 7 3 4 2 2 3 3 2" xfId="54053"/>
    <cellStyle name="Total 7 3 4 2 2 3 4" xfId="39061"/>
    <cellStyle name="Total 7 3 4 2 2 4" xfId="13235"/>
    <cellStyle name="Total 7 3 4 2 2 4 2" xfId="26610"/>
    <cellStyle name="Total 7 3 4 2 2 4 2 2" xfId="55789"/>
    <cellStyle name="Total 7 3 4 2 2 4 3" xfId="42416"/>
    <cellStyle name="Total 7 3 4 2 2 5" xfId="22182"/>
    <cellStyle name="Total 7 3 4 2 2 5 2" xfId="51361"/>
    <cellStyle name="Total 7 3 4 2 2 6" xfId="33090"/>
    <cellStyle name="Total 7 3 4 2 3" xfId="5383"/>
    <cellStyle name="Total 7 3 4 2 3 2" xfId="14371"/>
    <cellStyle name="Total 7 3 4 2 3 2 2" xfId="27330"/>
    <cellStyle name="Total 7 3 4 2 3 2 2 2" xfId="56509"/>
    <cellStyle name="Total 7 3 4 2 3 2 3" xfId="43552"/>
    <cellStyle name="Total 7 3 4 2 3 3" xfId="22902"/>
    <cellStyle name="Total 7 3 4 2 3 3 2" xfId="52081"/>
    <cellStyle name="Total 7 3 4 2 3 4" xfId="34566"/>
    <cellStyle name="Total 7 3 4 2 4" xfId="8702"/>
    <cellStyle name="Total 7 3 4 2 4 2" xfId="16829"/>
    <cellStyle name="Total 7 3 4 2 4 2 2" xfId="28833"/>
    <cellStyle name="Total 7 3 4 2 4 2 2 2" xfId="58012"/>
    <cellStyle name="Total 7 3 4 2 4 2 3" xfId="46010"/>
    <cellStyle name="Total 7 3 4 2 4 3" xfId="24405"/>
    <cellStyle name="Total 7 3 4 2 4 3 2" xfId="53584"/>
    <cellStyle name="Total 7 3 4 2 4 4" xfId="37885"/>
    <cellStyle name="Total 7 3 4 2 5" xfId="11961"/>
    <cellStyle name="Total 7 3 4 2 5 2" xfId="25890"/>
    <cellStyle name="Total 7 3 4 2 5 2 2" xfId="55069"/>
    <cellStyle name="Total 7 3 4 2 5 3" xfId="41142"/>
    <cellStyle name="Total 7 3 4 2 6" xfId="21462"/>
    <cellStyle name="Total 7 3 4 2 6 2" xfId="50641"/>
    <cellStyle name="Total 7 3 4 2 7" xfId="31290"/>
    <cellStyle name="Total 7 3 4 3" xfId="3007"/>
    <cellStyle name="Total 7 3 4 3 2" xfId="6103"/>
    <cellStyle name="Total 7 3 4 3 2 2" xfId="14932"/>
    <cellStyle name="Total 7 3 4 3 2 2 2" xfId="27690"/>
    <cellStyle name="Total 7 3 4 3 2 2 2 2" xfId="56869"/>
    <cellStyle name="Total 7 3 4 3 2 2 3" xfId="44113"/>
    <cellStyle name="Total 7 3 4 3 2 3" xfId="23262"/>
    <cellStyle name="Total 7 3 4 3 2 3 2" xfId="52441"/>
    <cellStyle name="Total 7 3 4 3 2 4" xfId="35286"/>
    <cellStyle name="Total 7 3 4 3 3" xfId="10229"/>
    <cellStyle name="Total 7 3 4 3 3 2" xfId="17922"/>
    <cellStyle name="Total 7 3 4 3 3 2 2" xfId="29443"/>
    <cellStyle name="Total 7 3 4 3 3 2 2 2" xfId="58622"/>
    <cellStyle name="Total 7 3 4 3 3 2 3" xfId="47103"/>
    <cellStyle name="Total 7 3 4 3 3 3" xfId="25015"/>
    <cellStyle name="Total 7 3 4 3 3 3 2" xfId="54194"/>
    <cellStyle name="Total 7 3 4 3 3 4" xfId="39412"/>
    <cellStyle name="Total 7 3 4 3 4" xfId="12596"/>
    <cellStyle name="Total 7 3 4 3 4 2" xfId="26250"/>
    <cellStyle name="Total 7 3 4 3 4 2 2" xfId="55429"/>
    <cellStyle name="Total 7 3 4 3 4 3" xfId="41777"/>
    <cellStyle name="Total 7 3 4 3 5" xfId="21822"/>
    <cellStyle name="Total 7 3 4 3 5 2" xfId="51001"/>
    <cellStyle name="Total 7 3 4 3 6" xfId="32190"/>
    <cellStyle name="Total 7 3 4 4" xfId="4663"/>
    <cellStyle name="Total 7 3 4 4 2" xfId="13812"/>
    <cellStyle name="Total 7 3 4 4 2 2" xfId="26970"/>
    <cellStyle name="Total 7 3 4 4 2 2 2" xfId="56149"/>
    <cellStyle name="Total 7 3 4 4 2 3" xfId="42993"/>
    <cellStyle name="Total 7 3 4 4 3" xfId="22542"/>
    <cellStyle name="Total 7 3 4 4 3 2" xfId="51721"/>
    <cellStyle name="Total 7 3 4 4 4" xfId="33846"/>
    <cellStyle name="Total 7 3 4 5" xfId="9870"/>
    <cellStyle name="Total 7 3 4 5 2" xfId="17670"/>
    <cellStyle name="Total 7 3 4 5 2 2" xfId="29297"/>
    <cellStyle name="Total 7 3 4 5 2 2 2" xfId="58476"/>
    <cellStyle name="Total 7 3 4 5 2 3" xfId="46851"/>
    <cellStyle name="Total 7 3 4 5 3" xfId="24869"/>
    <cellStyle name="Total 7 3 4 5 3 2" xfId="54048"/>
    <cellStyle name="Total 7 3 4 5 4" xfId="39053"/>
    <cellStyle name="Total 7 3 4 6" xfId="11330"/>
    <cellStyle name="Total 7 3 4 6 2" xfId="25530"/>
    <cellStyle name="Total 7 3 4 6 2 2" xfId="54709"/>
    <cellStyle name="Total 7 3 4 6 3" xfId="40511"/>
    <cellStyle name="Total 7 3 4 7" xfId="21102"/>
    <cellStyle name="Total 7 3 4 7 2" xfId="50281"/>
    <cellStyle name="Total 7 3 4 8" xfId="30390"/>
    <cellStyle name="Total 7 3 5" xfId="1349"/>
    <cellStyle name="Total 7 3 5 2" xfId="2251"/>
    <cellStyle name="Total 7 3 5 2 2" xfId="4051"/>
    <cellStyle name="Total 7 3 5 2 2 2" xfId="6940"/>
    <cellStyle name="Total 7 3 5 2 2 2 2" xfId="15583"/>
    <cellStyle name="Total 7 3 5 2 2 2 2 2" xfId="28113"/>
    <cellStyle name="Total 7 3 5 2 2 2 2 2 2" xfId="57292"/>
    <cellStyle name="Total 7 3 5 2 2 2 2 3" xfId="44764"/>
    <cellStyle name="Total 7 3 5 2 2 2 3" xfId="23685"/>
    <cellStyle name="Total 7 3 5 2 2 2 3 2" xfId="52864"/>
    <cellStyle name="Total 7 3 5 2 2 2 4" xfId="36123"/>
    <cellStyle name="Total 7 3 5 2 2 3" xfId="7029"/>
    <cellStyle name="Total 7 3 5 2 2 3 2" xfId="15646"/>
    <cellStyle name="Total 7 3 5 2 2 3 2 2" xfId="28155"/>
    <cellStyle name="Total 7 3 5 2 2 3 2 2 2" xfId="57334"/>
    <cellStyle name="Total 7 3 5 2 2 3 2 3" xfId="44827"/>
    <cellStyle name="Total 7 3 5 2 2 3 3" xfId="23727"/>
    <cellStyle name="Total 7 3 5 2 2 3 3 2" xfId="52906"/>
    <cellStyle name="Total 7 3 5 2 2 3 4" xfId="36212"/>
    <cellStyle name="Total 7 3 5 2 2 4" xfId="13337"/>
    <cellStyle name="Total 7 3 5 2 2 4 2" xfId="26673"/>
    <cellStyle name="Total 7 3 5 2 2 4 2 2" xfId="55852"/>
    <cellStyle name="Total 7 3 5 2 2 4 3" xfId="42518"/>
    <cellStyle name="Total 7 3 5 2 2 5" xfId="22245"/>
    <cellStyle name="Total 7 3 5 2 2 5 2" xfId="51424"/>
    <cellStyle name="Total 7 3 5 2 2 6" xfId="33234"/>
    <cellStyle name="Total 7 3 5 2 3" xfId="5500"/>
    <cellStyle name="Total 7 3 5 2 3 2" xfId="14463"/>
    <cellStyle name="Total 7 3 5 2 3 2 2" xfId="27393"/>
    <cellStyle name="Total 7 3 5 2 3 2 2 2" xfId="56572"/>
    <cellStyle name="Total 7 3 5 2 3 2 3" xfId="43644"/>
    <cellStyle name="Total 7 3 5 2 3 3" xfId="22965"/>
    <cellStyle name="Total 7 3 5 2 3 3 2" xfId="52144"/>
    <cellStyle name="Total 7 3 5 2 3 4" xfId="34683"/>
    <cellStyle name="Total 7 3 5 2 4" xfId="7691"/>
    <cellStyle name="Total 7 3 5 2 4 2" xfId="16111"/>
    <cellStyle name="Total 7 3 5 2 4 2 2" xfId="28437"/>
    <cellStyle name="Total 7 3 5 2 4 2 2 2" xfId="57616"/>
    <cellStyle name="Total 7 3 5 2 4 2 3" xfId="45292"/>
    <cellStyle name="Total 7 3 5 2 4 3" xfId="24009"/>
    <cellStyle name="Total 7 3 5 2 4 3 2" xfId="53188"/>
    <cellStyle name="Total 7 3 5 2 4 4" xfId="36874"/>
    <cellStyle name="Total 7 3 5 2 5" xfId="12060"/>
    <cellStyle name="Total 7 3 5 2 5 2" xfId="25953"/>
    <cellStyle name="Total 7 3 5 2 5 2 2" xfId="55132"/>
    <cellStyle name="Total 7 3 5 2 5 3" xfId="41241"/>
    <cellStyle name="Total 7 3 5 2 6" xfId="21525"/>
    <cellStyle name="Total 7 3 5 2 6 2" xfId="50704"/>
    <cellStyle name="Total 7 3 5 2 7" xfId="31434"/>
    <cellStyle name="Total 7 3 5 3" xfId="3151"/>
    <cellStyle name="Total 7 3 5 3 2" xfId="6220"/>
    <cellStyle name="Total 7 3 5 3 2 2" xfId="15023"/>
    <cellStyle name="Total 7 3 5 3 2 2 2" xfId="27753"/>
    <cellStyle name="Total 7 3 5 3 2 2 2 2" xfId="56932"/>
    <cellStyle name="Total 7 3 5 3 2 2 3" xfId="44204"/>
    <cellStyle name="Total 7 3 5 3 2 3" xfId="23325"/>
    <cellStyle name="Total 7 3 5 3 2 3 2" xfId="52504"/>
    <cellStyle name="Total 7 3 5 3 2 4" xfId="35403"/>
    <cellStyle name="Total 7 3 5 3 3" xfId="7218"/>
    <cellStyle name="Total 7 3 5 3 3 2" xfId="15780"/>
    <cellStyle name="Total 7 3 5 3 3 2 2" xfId="28239"/>
    <cellStyle name="Total 7 3 5 3 3 2 2 2" xfId="57418"/>
    <cellStyle name="Total 7 3 5 3 3 2 3" xfId="44961"/>
    <cellStyle name="Total 7 3 5 3 3 3" xfId="23811"/>
    <cellStyle name="Total 7 3 5 3 3 3 2" xfId="52990"/>
    <cellStyle name="Total 7 3 5 3 3 4" xfId="36401"/>
    <cellStyle name="Total 7 3 5 3 4" xfId="12698"/>
    <cellStyle name="Total 7 3 5 3 4 2" xfId="26313"/>
    <cellStyle name="Total 7 3 5 3 4 2 2" xfId="55492"/>
    <cellStyle name="Total 7 3 5 3 4 3" xfId="41879"/>
    <cellStyle name="Total 7 3 5 3 5" xfId="21885"/>
    <cellStyle name="Total 7 3 5 3 5 2" xfId="51064"/>
    <cellStyle name="Total 7 3 5 3 6" xfId="32334"/>
    <cellStyle name="Total 7 3 5 4" xfId="4780"/>
    <cellStyle name="Total 7 3 5 4 2" xfId="13900"/>
    <cellStyle name="Total 7 3 5 4 2 2" xfId="27033"/>
    <cellStyle name="Total 7 3 5 4 2 2 2" xfId="56212"/>
    <cellStyle name="Total 7 3 5 4 2 3" xfId="43081"/>
    <cellStyle name="Total 7 3 5 4 3" xfId="22605"/>
    <cellStyle name="Total 7 3 5 4 3 2" xfId="51784"/>
    <cellStyle name="Total 7 3 5 4 4" xfId="33963"/>
    <cellStyle name="Total 7 3 5 5" xfId="7849"/>
    <cellStyle name="Total 7 3 5 5 2" xfId="16217"/>
    <cellStyle name="Total 7 3 5 5 2 2" xfId="28496"/>
    <cellStyle name="Total 7 3 5 5 2 2 2" xfId="57675"/>
    <cellStyle name="Total 7 3 5 5 2 3" xfId="45398"/>
    <cellStyle name="Total 7 3 5 5 3" xfId="24068"/>
    <cellStyle name="Total 7 3 5 5 3 2" xfId="53247"/>
    <cellStyle name="Total 7 3 5 5 4" xfId="37032"/>
    <cellStyle name="Total 7 3 5 6" xfId="11429"/>
    <cellStyle name="Total 7 3 5 6 2" xfId="25593"/>
    <cellStyle name="Total 7 3 5 6 2 2" xfId="54772"/>
    <cellStyle name="Total 7 3 5 6 3" xfId="40610"/>
    <cellStyle name="Total 7 3 5 7" xfId="21165"/>
    <cellStyle name="Total 7 3 5 7 2" xfId="50344"/>
    <cellStyle name="Total 7 3 5 8" xfId="30534"/>
    <cellStyle name="Total 7 3 6" xfId="1531"/>
    <cellStyle name="Total 7 3 6 2" xfId="3331"/>
    <cellStyle name="Total 7 3 6 2 2" xfId="6364"/>
    <cellStyle name="Total 7 3 6 2 2 2" xfId="15126"/>
    <cellStyle name="Total 7 3 6 2 2 2 2" xfId="27825"/>
    <cellStyle name="Total 7 3 6 2 2 2 2 2" xfId="57004"/>
    <cellStyle name="Total 7 3 6 2 2 2 3" xfId="44307"/>
    <cellStyle name="Total 7 3 6 2 2 3" xfId="23397"/>
    <cellStyle name="Total 7 3 6 2 2 3 2" xfId="52576"/>
    <cellStyle name="Total 7 3 6 2 2 4" xfId="35547"/>
    <cellStyle name="Total 7 3 6 2 3" xfId="10424"/>
    <cellStyle name="Total 7 3 6 2 3 2" xfId="18054"/>
    <cellStyle name="Total 7 3 6 2 3 2 2" xfId="29514"/>
    <cellStyle name="Total 7 3 6 2 3 2 2 2" xfId="58693"/>
    <cellStyle name="Total 7 3 6 2 3 2 3" xfId="47235"/>
    <cellStyle name="Total 7 3 6 2 3 3" xfId="25086"/>
    <cellStyle name="Total 7 3 6 2 3 3 2" xfId="54265"/>
    <cellStyle name="Total 7 3 6 2 3 4" xfId="39607"/>
    <cellStyle name="Total 7 3 6 2 4" xfId="12822"/>
    <cellStyle name="Total 7 3 6 2 4 2" xfId="26385"/>
    <cellStyle name="Total 7 3 6 2 4 2 2" xfId="55564"/>
    <cellStyle name="Total 7 3 6 2 4 3" xfId="42003"/>
    <cellStyle name="Total 7 3 6 2 5" xfId="21957"/>
    <cellStyle name="Total 7 3 6 2 5 2" xfId="51136"/>
    <cellStyle name="Total 7 3 6 2 6" xfId="32514"/>
    <cellStyle name="Total 7 3 6 3" xfId="4924"/>
    <cellStyle name="Total 7 3 6 3 2" xfId="14005"/>
    <cellStyle name="Total 7 3 6 3 2 2" xfId="27105"/>
    <cellStyle name="Total 7 3 6 3 2 2 2" xfId="56284"/>
    <cellStyle name="Total 7 3 6 3 2 3" xfId="43186"/>
    <cellStyle name="Total 7 3 6 3 3" xfId="22677"/>
    <cellStyle name="Total 7 3 6 3 3 2" xfId="51856"/>
    <cellStyle name="Total 7 3 6 3 4" xfId="34107"/>
    <cellStyle name="Total 7 3 6 4" xfId="10011"/>
    <cellStyle name="Total 7 3 6 4 2" xfId="17767"/>
    <cellStyle name="Total 7 3 6 4 2 2" xfId="29349"/>
    <cellStyle name="Total 7 3 6 4 2 2 2" xfId="58528"/>
    <cellStyle name="Total 7 3 6 4 2 3" xfId="46948"/>
    <cellStyle name="Total 7 3 6 4 3" xfId="24921"/>
    <cellStyle name="Total 7 3 6 4 3 2" xfId="54100"/>
    <cellStyle name="Total 7 3 6 4 4" xfId="39194"/>
    <cellStyle name="Total 7 3 6 5" xfId="11550"/>
    <cellStyle name="Total 7 3 6 5 2" xfId="25665"/>
    <cellStyle name="Total 7 3 6 5 2 2" xfId="54844"/>
    <cellStyle name="Total 7 3 6 5 3" xfId="40731"/>
    <cellStyle name="Total 7 3 6 6" xfId="21237"/>
    <cellStyle name="Total 7 3 6 6 2" xfId="50416"/>
    <cellStyle name="Total 7 3 6 7" xfId="30714"/>
    <cellStyle name="Total 7 3 7" xfId="2431"/>
    <cellStyle name="Total 7 3 7 2" xfId="5644"/>
    <cellStyle name="Total 7 3 7 2 2" xfId="14572"/>
    <cellStyle name="Total 7 3 7 2 2 2" xfId="27465"/>
    <cellStyle name="Total 7 3 7 2 2 2 2" xfId="56644"/>
    <cellStyle name="Total 7 3 7 2 2 3" xfId="43753"/>
    <cellStyle name="Total 7 3 7 2 3" xfId="23037"/>
    <cellStyle name="Total 7 3 7 2 3 2" xfId="52216"/>
    <cellStyle name="Total 7 3 7 2 4" xfId="34827"/>
    <cellStyle name="Total 7 3 7 3" xfId="9227"/>
    <cellStyle name="Total 7 3 7 3 2" xfId="17212"/>
    <cellStyle name="Total 7 3 7 3 2 2" xfId="29038"/>
    <cellStyle name="Total 7 3 7 3 2 2 2" xfId="58217"/>
    <cellStyle name="Total 7 3 7 3 2 3" xfId="46393"/>
    <cellStyle name="Total 7 3 7 3 3" xfId="24610"/>
    <cellStyle name="Total 7 3 7 3 3 2" xfId="53789"/>
    <cellStyle name="Total 7 3 7 3 4" xfId="38410"/>
    <cellStyle name="Total 7 3 7 4" xfId="12184"/>
    <cellStyle name="Total 7 3 7 4 2" xfId="26025"/>
    <cellStyle name="Total 7 3 7 4 2 2" xfId="55204"/>
    <cellStyle name="Total 7 3 7 4 3" xfId="41365"/>
    <cellStyle name="Total 7 3 7 5" xfId="21597"/>
    <cellStyle name="Total 7 3 7 5 2" xfId="50776"/>
    <cellStyle name="Total 7 3 7 6" xfId="31614"/>
    <cellStyle name="Total 7 3 8" xfId="4204"/>
    <cellStyle name="Total 7 3 8 2" xfId="13453"/>
    <cellStyle name="Total 7 3 8 2 2" xfId="26745"/>
    <cellStyle name="Total 7 3 8 2 2 2" xfId="55924"/>
    <cellStyle name="Total 7 3 8 2 3" xfId="42634"/>
    <cellStyle name="Total 7 3 8 3" xfId="22317"/>
    <cellStyle name="Total 7 3 8 3 2" xfId="51496"/>
    <cellStyle name="Total 7 3 8 4" xfId="33387"/>
    <cellStyle name="Total 7 3 9" xfId="8837"/>
    <cellStyle name="Total 7 3 9 2" xfId="16928"/>
    <cellStyle name="Total 7 3 9 2 2" xfId="28886"/>
    <cellStyle name="Total 7 3 9 2 2 2" xfId="58065"/>
    <cellStyle name="Total 7 3 9 2 3" xfId="46109"/>
    <cellStyle name="Total 7 3 9 3" xfId="24458"/>
    <cellStyle name="Total 7 3 9 3 2" xfId="53637"/>
    <cellStyle name="Total 7 3 9 4" xfId="38020"/>
    <cellStyle name="Total 7 4" xfId="771"/>
    <cellStyle name="Total 7 4 2" xfId="1709"/>
    <cellStyle name="Total 7 4 2 2" xfId="3509"/>
    <cellStyle name="Total 7 4 2 2 2" xfId="6506"/>
    <cellStyle name="Total 7 4 2 2 2 2" xfId="15240"/>
    <cellStyle name="Total 7 4 2 2 2 2 2" xfId="27877"/>
    <cellStyle name="Total 7 4 2 2 2 2 2 2" xfId="57056"/>
    <cellStyle name="Total 7 4 2 2 2 2 3" xfId="44421"/>
    <cellStyle name="Total 7 4 2 2 2 3" xfId="23449"/>
    <cellStyle name="Total 7 4 2 2 2 3 2" xfId="52628"/>
    <cellStyle name="Total 7 4 2 2 2 4" xfId="35689"/>
    <cellStyle name="Total 7 4 2 2 3" xfId="9731"/>
    <cellStyle name="Total 7 4 2 2 3 2" xfId="17571"/>
    <cellStyle name="Total 7 4 2 2 3 2 2" xfId="29244"/>
    <cellStyle name="Total 7 4 2 2 3 2 2 2" xfId="58423"/>
    <cellStyle name="Total 7 4 2 2 3 2 3" xfId="46752"/>
    <cellStyle name="Total 7 4 2 2 3 3" xfId="24816"/>
    <cellStyle name="Total 7 4 2 2 3 3 2" xfId="53995"/>
    <cellStyle name="Total 7 4 2 2 3 4" xfId="38914"/>
    <cellStyle name="Total 7 4 2 2 4" xfId="12946"/>
    <cellStyle name="Total 7 4 2 2 4 2" xfId="26437"/>
    <cellStyle name="Total 7 4 2 2 4 2 2" xfId="55616"/>
    <cellStyle name="Total 7 4 2 2 4 3" xfId="42127"/>
    <cellStyle name="Total 7 4 2 2 5" xfId="22009"/>
    <cellStyle name="Total 7 4 2 2 5 2" xfId="51188"/>
    <cellStyle name="Total 7 4 2 2 6" xfId="32692"/>
    <cellStyle name="Total 7 4 2 3" xfId="5066"/>
    <cellStyle name="Total 7 4 2 3 2" xfId="14116"/>
    <cellStyle name="Total 7 4 2 3 2 2" xfId="27157"/>
    <cellStyle name="Total 7 4 2 3 2 2 2" xfId="56336"/>
    <cellStyle name="Total 7 4 2 3 2 3" xfId="43297"/>
    <cellStyle name="Total 7 4 2 3 3" xfId="22729"/>
    <cellStyle name="Total 7 4 2 3 3 2" xfId="51908"/>
    <cellStyle name="Total 7 4 2 3 4" xfId="34249"/>
    <cellStyle name="Total 7 4 2 4" xfId="9337"/>
    <cellStyle name="Total 7 4 2 4 2" xfId="17294"/>
    <cellStyle name="Total 7 4 2 4 2 2" xfId="29086"/>
    <cellStyle name="Total 7 4 2 4 2 2 2" xfId="58265"/>
    <cellStyle name="Total 7 4 2 4 2 3" xfId="46475"/>
    <cellStyle name="Total 7 4 2 4 3" xfId="24658"/>
    <cellStyle name="Total 7 4 2 4 3 2" xfId="53837"/>
    <cellStyle name="Total 7 4 2 4 4" xfId="38520"/>
    <cellStyle name="Total 7 4 2 5" xfId="11673"/>
    <cellStyle name="Total 7 4 2 5 2" xfId="25717"/>
    <cellStyle name="Total 7 4 2 5 2 2" xfId="54896"/>
    <cellStyle name="Total 7 4 2 5 3" xfId="40854"/>
    <cellStyle name="Total 7 4 2 6" xfId="21289"/>
    <cellStyle name="Total 7 4 2 6 2" xfId="50468"/>
    <cellStyle name="Total 7 4 2 7" xfId="30892"/>
    <cellStyle name="Total 7 4 3" xfId="2609"/>
    <cellStyle name="Total 7 4 3 2" xfId="5786"/>
    <cellStyle name="Total 7 4 3 2 2" xfId="14681"/>
    <cellStyle name="Total 7 4 3 2 2 2" xfId="27517"/>
    <cellStyle name="Total 7 4 3 2 2 2 2" xfId="56696"/>
    <cellStyle name="Total 7 4 3 2 2 3" xfId="43862"/>
    <cellStyle name="Total 7 4 3 2 3" xfId="23089"/>
    <cellStyle name="Total 7 4 3 2 3 2" xfId="52268"/>
    <cellStyle name="Total 7 4 3 2 4" xfId="34969"/>
    <cellStyle name="Total 7 4 3 3" xfId="7916"/>
    <cellStyle name="Total 7 4 3 3 2" xfId="16265"/>
    <cellStyle name="Total 7 4 3 3 2 2" xfId="28526"/>
    <cellStyle name="Total 7 4 3 3 2 2 2" xfId="57705"/>
    <cellStyle name="Total 7 4 3 3 2 3" xfId="45446"/>
    <cellStyle name="Total 7 4 3 3 3" xfId="24098"/>
    <cellStyle name="Total 7 4 3 3 3 2" xfId="53277"/>
    <cellStyle name="Total 7 4 3 3 4" xfId="37099"/>
    <cellStyle name="Total 7 4 3 4" xfId="12308"/>
    <cellStyle name="Total 7 4 3 4 2" xfId="26077"/>
    <cellStyle name="Total 7 4 3 4 2 2" xfId="55256"/>
    <cellStyle name="Total 7 4 3 4 3" xfId="41489"/>
    <cellStyle name="Total 7 4 3 5" xfId="21649"/>
    <cellStyle name="Total 7 4 3 5 2" xfId="50828"/>
    <cellStyle name="Total 7 4 3 6" xfId="31792"/>
    <cellStyle name="Total 7 4 4" xfId="4346"/>
    <cellStyle name="Total 7 4 4 2" xfId="13560"/>
    <cellStyle name="Total 7 4 4 2 2" xfId="26797"/>
    <cellStyle name="Total 7 4 4 2 2 2" xfId="55976"/>
    <cellStyle name="Total 7 4 4 2 3" xfId="42741"/>
    <cellStyle name="Total 7 4 4 3" xfId="22369"/>
    <cellStyle name="Total 7 4 4 3 2" xfId="51548"/>
    <cellStyle name="Total 7 4 4 4" xfId="33529"/>
    <cellStyle name="Total 7 4 5" xfId="7338"/>
    <cellStyle name="Total 7 4 5 2" xfId="15865"/>
    <cellStyle name="Total 7 4 5 2 2" xfId="28292"/>
    <cellStyle name="Total 7 4 5 2 2 2" xfId="57471"/>
    <cellStyle name="Total 7 4 5 2 3" xfId="45046"/>
    <cellStyle name="Total 7 4 5 3" xfId="23864"/>
    <cellStyle name="Total 7 4 5 3 2" xfId="53043"/>
    <cellStyle name="Total 7 4 5 4" xfId="36521"/>
    <cellStyle name="Total 7 4 6" xfId="11012"/>
    <cellStyle name="Total 7 4 6 2" xfId="25333"/>
    <cellStyle name="Total 7 4 6 2 2" xfId="54512"/>
    <cellStyle name="Total 7 4 6 3" xfId="40193"/>
    <cellStyle name="Total 7 4 7" xfId="20905"/>
    <cellStyle name="Total 7 4 7 2" xfId="50084"/>
    <cellStyle name="Total 7 4 8" xfId="29968"/>
    <cellStyle name="Total 7 5" xfId="963"/>
    <cellStyle name="Total 7 5 2" xfId="1873"/>
    <cellStyle name="Total 7 5 2 2" xfId="3673"/>
    <cellStyle name="Total 7 5 2 2 2" xfId="6634"/>
    <cellStyle name="Total 7 5 2 2 2 2" xfId="15346"/>
    <cellStyle name="Total 7 5 2 2 2 2 2" xfId="27951"/>
    <cellStyle name="Total 7 5 2 2 2 2 2 2" xfId="57130"/>
    <cellStyle name="Total 7 5 2 2 2 2 3" xfId="44527"/>
    <cellStyle name="Total 7 5 2 2 2 3" xfId="23523"/>
    <cellStyle name="Total 7 5 2 2 2 3 2" xfId="52702"/>
    <cellStyle name="Total 7 5 2 2 2 4" xfId="35817"/>
    <cellStyle name="Total 7 5 2 2 3" xfId="9610"/>
    <cellStyle name="Total 7 5 2 2 3 2" xfId="17473"/>
    <cellStyle name="Total 7 5 2 2 3 2 2" xfId="29193"/>
    <cellStyle name="Total 7 5 2 2 3 2 2 2" xfId="58372"/>
    <cellStyle name="Total 7 5 2 2 3 2 3" xfId="46654"/>
    <cellStyle name="Total 7 5 2 2 3 3" xfId="24765"/>
    <cellStyle name="Total 7 5 2 2 3 3 2" xfId="53944"/>
    <cellStyle name="Total 7 5 2 2 3 4" xfId="38793"/>
    <cellStyle name="Total 7 5 2 2 4" xfId="13067"/>
    <cellStyle name="Total 7 5 2 2 4 2" xfId="26511"/>
    <cellStyle name="Total 7 5 2 2 4 2 2" xfId="55690"/>
    <cellStyle name="Total 7 5 2 2 4 3" xfId="42248"/>
    <cellStyle name="Total 7 5 2 2 5" xfId="22083"/>
    <cellStyle name="Total 7 5 2 2 5 2" xfId="51262"/>
    <cellStyle name="Total 7 5 2 2 6" xfId="32856"/>
    <cellStyle name="Total 7 5 2 3" xfId="5194"/>
    <cellStyle name="Total 7 5 2 3 2" xfId="14224"/>
    <cellStyle name="Total 7 5 2 3 2 2" xfId="27231"/>
    <cellStyle name="Total 7 5 2 3 2 2 2" xfId="56410"/>
    <cellStyle name="Total 7 5 2 3 2 3" xfId="43405"/>
    <cellStyle name="Total 7 5 2 3 3" xfId="22803"/>
    <cellStyle name="Total 7 5 2 3 3 2" xfId="51982"/>
    <cellStyle name="Total 7 5 2 3 4" xfId="34377"/>
    <cellStyle name="Total 7 5 2 4" xfId="7430"/>
    <cellStyle name="Total 7 5 2 4 2" xfId="15931"/>
    <cellStyle name="Total 7 5 2 4 2 2" xfId="28338"/>
    <cellStyle name="Total 7 5 2 4 2 2 2" xfId="57517"/>
    <cellStyle name="Total 7 5 2 4 2 3" xfId="45112"/>
    <cellStyle name="Total 7 5 2 4 3" xfId="23910"/>
    <cellStyle name="Total 7 5 2 4 3 2" xfId="53089"/>
    <cellStyle name="Total 7 5 2 4 4" xfId="36613"/>
    <cellStyle name="Total 7 5 2 5" xfId="11792"/>
    <cellStyle name="Total 7 5 2 5 2" xfId="25791"/>
    <cellStyle name="Total 7 5 2 5 2 2" xfId="54970"/>
    <cellStyle name="Total 7 5 2 5 3" xfId="40973"/>
    <cellStyle name="Total 7 5 2 6" xfId="21363"/>
    <cellStyle name="Total 7 5 2 6 2" xfId="50542"/>
    <cellStyle name="Total 7 5 2 7" xfId="31056"/>
    <cellStyle name="Total 7 5 3" xfId="2773"/>
    <cellStyle name="Total 7 5 3 2" xfId="5914"/>
    <cellStyle name="Total 7 5 3 2 2" xfId="14789"/>
    <cellStyle name="Total 7 5 3 2 2 2" xfId="27591"/>
    <cellStyle name="Total 7 5 3 2 2 2 2" xfId="56770"/>
    <cellStyle name="Total 7 5 3 2 2 3" xfId="43970"/>
    <cellStyle name="Total 7 5 3 2 3" xfId="23163"/>
    <cellStyle name="Total 7 5 3 2 3 2" xfId="52342"/>
    <cellStyle name="Total 7 5 3 2 4" xfId="35097"/>
    <cellStyle name="Total 7 5 3 3" xfId="7748"/>
    <cellStyle name="Total 7 5 3 3 2" xfId="16148"/>
    <cellStyle name="Total 7 5 3 3 2 2" xfId="28458"/>
    <cellStyle name="Total 7 5 3 3 2 2 2" xfId="57637"/>
    <cellStyle name="Total 7 5 3 3 2 3" xfId="45329"/>
    <cellStyle name="Total 7 5 3 3 3" xfId="24030"/>
    <cellStyle name="Total 7 5 3 3 3 2" xfId="53209"/>
    <cellStyle name="Total 7 5 3 3 4" xfId="36931"/>
    <cellStyle name="Total 7 5 3 4" xfId="12432"/>
    <cellStyle name="Total 7 5 3 4 2" xfId="26151"/>
    <cellStyle name="Total 7 5 3 4 2 2" xfId="55330"/>
    <cellStyle name="Total 7 5 3 4 3" xfId="41613"/>
    <cellStyle name="Total 7 5 3 5" xfId="21723"/>
    <cellStyle name="Total 7 5 3 5 2" xfId="50902"/>
    <cellStyle name="Total 7 5 3 6" xfId="31956"/>
    <cellStyle name="Total 7 5 4" xfId="4474"/>
    <cellStyle name="Total 7 5 4 2" xfId="13667"/>
    <cellStyle name="Total 7 5 4 2 2" xfId="26871"/>
    <cellStyle name="Total 7 5 4 2 2 2" xfId="56050"/>
    <cellStyle name="Total 7 5 4 2 3" xfId="42848"/>
    <cellStyle name="Total 7 5 4 3" xfId="22443"/>
    <cellStyle name="Total 7 5 4 3 2" xfId="51622"/>
    <cellStyle name="Total 7 5 4 4" xfId="33657"/>
    <cellStyle name="Total 7 5 5" xfId="9873"/>
    <cellStyle name="Total 7 5 5 2" xfId="17672"/>
    <cellStyle name="Total 7 5 5 2 2" xfId="29299"/>
    <cellStyle name="Total 7 5 5 2 2 2" xfId="58478"/>
    <cellStyle name="Total 7 5 5 2 3" xfId="46853"/>
    <cellStyle name="Total 7 5 5 3" xfId="24871"/>
    <cellStyle name="Total 7 5 5 3 2" xfId="54050"/>
    <cellStyle name="Total 7 5 5 4" xfId="39056"/>
    <cellStyle name="Total 7 5 6" xfId="11157"/>
    <cellStyle name="Total 7 5 6 2" xfId="25428"/>
    <cellStyle name="Total 7 5 6 2 2" xfId="54607"/>
    <cellStyle name="Total 7 5 6 3" xfId="40338"/>
    <cellStyle name="Total 7 5 7" xfId="21000"/>
    <cellStyle name="Total 7 5 7 2" xfId="50179"/>
    <cellStyle name="Total 7 5 8" xfId="30153"/>
    <cellStyle name="Total 7 6" xfId="1113"/>
    <cellStyle name="Total 7 6 2" xfId="2017"/>
    <cellStyle name="Total 7 6 2 2" xfId="3817"/>
    <cellStyle name="Total 7 6 2 2 2" xfId="6751"/>
    <cellStyle name="Total 7 6 2 2 2 2" xfId="15437"/>
    <cellStyle name="Total 7 6 2 2 2 2 2" xfId="28014"/>
    <cellStyle name="Total 7 6 2 2 2 2 2 2" xfId="57193"/>
    <cellStyle name="Total 7 6 2 2 2 2 3" xfId="44618"/>
    <cellStyle name="Total 7 6 2 2 2 3" xfId="23586"/>
    <cellStyle name="Total 7 6 2 2 2 3 2" xfId="52765"/>
    <cellStyle name="Total 7 6 2 2 2 4" xfId="35934"/>
    <cellStyle name="Total 7 6 2 2 3" xfId="7989"/>
    <cellStyle name="Total 7 6 2 2 3 2" xfId="16319"/>
    <cellStyle name="Total 7 6 2 2 3 2 2" xfId="28553"/>
    <cellStyle name="Total 7 6 2 2 3 2 2 2" xfId="57732"/>
    <cellStyle name="Total 7 6 2 2 3 2 3" xfId="45500"/>
    <cellStyle name="Total 7 6 2 2 3 3" xfId="24125"/>
    <cellStyle name="Total 7 6 2 2 3 3 2" xfId="53304"/>
    <cellStyle name="Total 7 6 2 2 3 4" xfId="37172"/>
    <cellStyle name="Total 7 6 2 2 4" xfId="13174"/>
    <cellStyle name="Total 7 6 2 2 4 2" xfId="26574"/>
    <cellStyle name="Total 7 6 2 2 4 2 2" xfId="55753"/>
    <cellStyle name="Total 7 6 2 2 4 3" xfId="42355"/>
    <cellStyle name="Total 7 6 2 2 5" xfId="22146"/>
    <cellStyle name="Total 7 6 2 2 5 2" xfId="51325"/>
    <cellStyle name="Total 7 6 2 2 6" xfId="33000"/>
    <cellStyle name="Total 7 6 2 3" xfId="5311"/>
    <cellStyle name="Total 7 6 2 3 2" xfId="14316"/>
    <cellStyle name="Total 7 6 2 3 2 2" xfId="27294"/>
    <cellStyle name="Total 7 6 2 3 2 2 2" xfId="56473"/>
    <cellStyle name="Total 7 6 2 3 2 3" xfId="43497"/>
    <cellStyle name="Total 7 6 2 3 3" xfId="22866"/>
    <cellStyle name="Total 7 6 2 3 3 2" xfId="52045"/>
    <cellStyle name="Total 7 6 2 3 4" xfId="34494"/>
    <cellStyle name="Total 7 6 2 4" xfId="9707"/>
    <cellStyle name="Total 7 6 2 4 2" xfId="17549"/>
    <cellStyle name="Total 7 6 2 4 2 2" xfId="29233"/>
    <cellStyle name="Total 7 6 2 4 2 2 2" xfId="58412"/>
    <cellStyle name="Total 7 6 2 4 2 3" xfId="46730"/>
    <cellStyle name="Total 7 6 2 4 3" xfId="24805"/>
    <cellStyle name="Total 7 6 2 4 3 2" xfId="53984"/>
    <cellStyle name="Total 7 6 2 4 4" xfId="38890"/>
    <cellStyle name="Total 7 6 2 5" xfId="11898"/>
    <cellStyle name="Total 7 6 2 5 2" xfId="25854"/>
    <cellStyle name="Total 7 6 2 5 2 2" xfId="55033"/>
    <cellStyle name="Total 7 6 2 5 3" xfId="41079"/>
    <cellStyle name="Total 7 6 2 6" xfId="21426"/>
    <cellStyle name="Total 7 6 2 6 2" xfId="50605"/>
    <cellStyle name="Total 7 6 2 7" xfId="31200"/>
    <cellStyle name="Total 7 6 3" xfId="2917"/>
    <cellStyle name="Total 7 6 3 2" xfId="6031"/>
    <cellStyle name="Total 7 6 3 2 2" xfId="14877"/>
    <cellStyle name="Total 7 6 3 2 2 2" xfId="27654"/>
    <cellStyle name="Total 7 6 3 2 2 2 2" xfId="56833"/>
    <cellStyle name="Total 7 6 3 2 2 3" xfId="44058"/>
    <cellStyle name="Total 7 6 3 2 3" xfId="23226"/>
    <cellStyle name="Total 7 6 3 2 3 2" xfId="52405"/>
    <cellStyle name="Total 7 6 3 2 4" xfId="35214"/>
    <cellStyle name="Total 7 6 3 3" xfId="8313"/>
    <cellStyle name="Total 7 6 3 3 2" xfId="16550"/>
    <cellStyle name="Total 7 6 3 3 2 2" xfId="28680"/>
    <cellStyle name="Total 7 6 3 3 2 2 2" xfId="57859"/>
    <cellStyle name="Total 7 6 3 3 2 3" xfId="45731"/>
    <cellStyle name="Total 7 6 3 3 3" xfId="24252"/>
    <cellStyle name="Total 7 6 3 3 3 2" xfId="53431"/>
    <cellStyle name="Total 7 6 3 3 4" xfId="37496"/>
    <cellStyle name="Total 7 6 3 4" xfId="12534"/>
    <cellStyle name="Total 7 6 3 4 2" xfId="26214"/>
    <cellStyle name="Total 7 6 3 4 2 2" xfId="55393"/>
    <cellStyle name="Total 7 6 3 4 3" xfId="41715"/>
    <cellStyle name="Total 7 6 3 5" xfId="21786"/>
    <cellStyle name="Total 7 6 3 5 2" xfId="50965"/>
    <cellStyle name="Total 7 6 3 6" xfId="32100"/>
    <cellStyle name="Total 7 6 4" xfId="4591"/>
    <cellStyle name="Total 7 6 4 2" xfId="13757"/>
    <cellStyle name="Total 7 6 4 2 2" xfId="26934"/>
    <cellStyle name="Total 7 6 4 2 2 2" xfId="56113"/>
    <cellStyle name="Total 7 6 4 2 3" xfId="42938"/>
    <cellStyle name="Total 7 6 4 3" xfId="22506"/>
    <cellStyle name="Total 7 6 4 3 2" xfId="51685"/>
    <cellStyle name="Total 7 6 4 4" xfId="33774"/>
    <cellStyle name="Total 7 6 5" xfId="7686"/>
    <cellStyle name="Total 7 6 5 2" xfId="16108"/>
    <cellStyle name="Total 7 6 5 2 2" xfId="28435"/>
    <cellStyle name="Total 7 6 5 2 2 2" xfId="57614"/>
    <cellStyle name="Total 7 6 5 2 3" xfId="45289"/>
    <cellStyle name="Total 7 6 5 3" xfId="24007"/>
    <cellStyle name="Total 7 6 5 3 2" xfId="53186"/>
    <cellStyle name="Total 7 6 5 4" xfId="36869"/>
    <cellStyle name="Total 7 6 6" xfId="11266"/>
    <cellStyle name="Total 7 6 6 2" xfId="25494"/>
    <cellStyle name="Total 7 6 6 2 2" xfId="54673"/>
    <cellStyle name="Total 7 6 6 3" xfId="40447"/>
    <cellStyle name="Total 7 6 7" xfId="21066"/>
    <cellStyle name="Total 7 6 7 2" xfId="50245"/>
    <cellStyle name="Total 7 6 8" xfId="30300"/>
    <cellStyle name="Total 7 7" xfId="1259"/>
    <cellStyle name="Total 7 7 2" xfId="2161"/>
    <cellStyle name="Total 7 7 2 2" xfId="3961"/>
    <cellStyle name="Total 7 7 2 2 2" xfId="6868"/>
    <cellStyle name="Total 7 7 2 2 2 2" xfId="15527"/>
    <cellStyle name="Total 7 7 2 2 2 2 2" xfId="28077"/>
    <cellStyle name="Total 7 7 2 2 2 2 2 2" xfId="57256"/>
    <cellStyle name="Total 7 7 2 2 2 2 3" xfId="44708"/>
    <cellStyle name="Total 7 7 2 2 2 3" xfId="23649"/>
    <cellStyle name="Total 7 7 2 2 2 3 2" xfId="52828"/>
    <cellStyle name="Total 7 7 2 2 2 4" xfId="36051"/>
    <cellStyle name="Total 7 7 2 2 3" xfId="7119"/>
    <cellStyle name="Total 7 7 2 2 3 2" xfId="15709"/>
    <cellStyle name="Total 7 7 2 2 3 2 2" xfId="28191"/>
    <cellStyle name="Total 7 7 2 2 3 2 2 2" xfId="57370"/>
    <cellStyle name="Total 7 7 2 2 3 2 3" xfId="44890"/>
    <cellStyle name="Total 7 7 2 2 3 3" xfId="23763"/>
    <cellStyle name="Total 7 7 2 2 3 3 2" xfId="52942"/>
    <cellStyle name="Total 7 7 2 2 3 4" xfId="36302"/>
    <cellStyle name="Total 7 7 2 2 4" xfId="13272"/>
    <cellStyle name="Total 7 7 2 2 4 2" xfId="26637"/>
    <cellStyle name="Total 7 7 2 2 4 2 2" xfId="55816"/>
    <cellStyle name="Total 7 7 2 2 4 3" xfId="42453"/>
    <cellStyle name="Total 7 7 2 2 5" xfId="22209"/>
    <cellStyle name="Total 7 7 2 2 5 2" xfId="51388"/>
    <cellStyle name="Total 7 7 2 2 6" xfId="33144"/>
    <cellStyle name="Total 7 7 2 3" xfId="5428"/>
    <cellStyle name="Total 7 7 2 3 2" xfId="14405"/>
    <cellStyle name="Total 7 7 2 3 2 2" xfId="27357"/>
    <cellStyle name="Total 7 7 2 3 2 2 2" xfId="56536"/>
    <cellStyle name="Total 7 7 2 3 2 3" xfId="43586"/>
    <cellStyle name="Total 7 7 2 3 3" xfId="22929"/>
    <cellStyle name="Total 7 7 2 3 3 2" xfId="52108"/>
    <cellStyle name="Total 7 7 2 3 4" xfId="34611"/>
    <cellStyle name="Total 7 7 2 4" xfId="7838"/>
    <cellStyle name="Total 7 7 2 4 2" xfId="16209"/>
    <cellStyle name="Total 7 7 2 4 2 2" xfId="28490"/>
    <cellStyle name="Total 7 7 2 4 2 2 2" xfId="57669"/>
    <cellStyle name="Total 7 7 2 4 2 3" xfId="45390"/>
    <cellStyle name="Total 7 7 2 4 3" xfId="24062"/>
    <cellStyle name="Total 7 7 2 4 3 2" xfId="53241"/>
    <cellStyle name="Total 7 7 2 4 4" xfId="37021"/>
    <cellStyle name="Total 7 7 2 5" xfId="11997"/>
    <cellStyle name="Total 7 7 2 5 2" xfId="25917"/>
    <cellStyle name="Total 7 7 2 5 2 2" xfId="55096"/>
    <cellStyle name="Total 7 7 2 5 3" xfId="41178"/>
    <cellStyle name="Total 7 7 2 6" xfId="21489"/>
    <cellStyle name="Total 7 7 2 6 2" xfId="50668"/>
    <cellStyle name="Total 7 7 2 7" xfId="31344"/>
    <cellStyle name="Total 7 7 3" xfId="3061"/>
    <cellStyle name="Total 7 7 3 2" xfId="6148"/>
    <cellStyle name="Total 7 7 3 2 2" xfId="14966"/>
    <cellStyle name="Total 7 7 3 2 2 2" xfId="27717"/>
    <cellStyle name="Total 7 7 3 2 2 2 2" xfId="56896"/>
    <cellStyle name="Total 7 7 3 2 2 3" xfId="44147"/>
    <cellStyle name="Total 7 7 3 2 3" xfId="23289"/>
    <cellStyle name="Total 7 7 3 2 3 2" xfId="52468"/>
    <cellStyle name="Total 7 7 3 2 4" xfId="35331"/>
    <cellStyle name="Total 7 7 3 3" xfId="8403"/>
    <cellStyle name="Total 7 7 3 3 2" xfId="16615"/>
    <cellStyle name="Total 7 7 3 3 2 2" xfId="28714"/>
    <cellStyle name="Total 7 7 3 3 2 2 2" xfId="57893"/>
    <cellStyle name="Total 7 7 3 3 2 3" xfId="45796"/>
    <cellStyle name="Total 7 7 3 3 3" xfId="24286"/>
    <cellStyle name="Total 7 7 3 3 3 2" xfId="53465"/>
    <cellStyle name="Total 7 7 3 3 4" xfId="37586"/>
    <cellStyle name="Total 7 7 3 4" xfId="12633"/>
    <cellStyle name="Total 7 7 3 4 2" xfId="26277"/>
    <cellStyle name="Total 7 7 3 4 2 2" xfId="55456"/>
    <cellStyle name="Total 7 7 3 4 3" xfId="41814"/>
    <cellStyle name="Total 7 7 3 5" xfId="21849"/>
    <cellStyle name="Total 7 7 3 5 2" xfId="51028"/>
    <cellStyle name="Total 7 7 3 6" xfId="32244"/>
    <cellStyle name="Total 7 7 4" xfId="4708"/>
    <cellStyle name="Total 7 7 4 2" xfId="13846"/>
    <cellStyle name="Total 7 7 4 2 2" xfId="26997"/>
    <cellStyle name="Total 7 7 4 2 2 2" xfId="56176"/>
    <cellStyle name="Total 7 7 4 2 3" xfId="43027"/>
    <cellStyle name="Total 7 7 4 3" xfId="22569"/>
    <cellStyle name="Total 7 7 4 3 2" xfId="51748"/>
    <cellStyle name="Total 7 7 4 4" xfId="33891"/>
    <cellStyle name="Total 7 7 5" xfId="7803"/>
    <cellStyle name="Total 7 7 5 2" xfId="16186"/>
    <cellStyle name="Total 7 7 5 2 2" xfId="28479"/>
    <cellStyle name="Total 7 7 5 2 2 2" xfId="57658"/>
    <cellStyle name="Total 7 7 5 2 3" xfId="45367"/>
    <cellStyle name="Total 7 7 5 3" xfId="24051"/>
    <cellStyle name="Total 7 7 5 3 2" xfId="53230"/>
    <cellStyle name="Total 7 7 5 4" xfId="36986"/>
    <cellStyle name="Total 7 7 6" xfId="11368"/>
    <cellStyle name="Total 7 7 6 2" xfId="25557"/>
    <cellStyle name="Total 7 7 6 2 2" xfId="54736"/>
    <cellStyle name="Total 7 7 6 3" xfId="40549"/>
    <cellStyle name="Total 7 7 7" xfId="21129"/>
    <cellStyle name="Total 7 7 7 2" xfId="50308"/>
    <cellStyle name="Total 7 7 8" xfId="30444"/>
    <cellStyle name="Total 7 8" xfId="1441"/>
    <cellStyle name="Total 7 8 2" xfId="3241"/>
    <cellStyle name="Total 7 8 2 2" xfId="6292"/>
    <cellStyle name="Total 7 8 2 2 2" xfId="15075"/>
    <cellStyle name="Total 7 8 2 2 2 2" xfId="27789"/>
    <cellStyle name="Total 7 8 2 2 2 2 2" xfId="56968"/>
    <cellStyle name="Total 7 8 2 2 2 3" xfId="44256"/>
    <cellStyle name="Total 7 8 2 2 3" xfId="23361"/>
    <cellStyle name="Total 7 8 2 2 3 2" xfId="52540"/>
    <cellStyle name="Total 7 8 2 2 4" xfId="35475"/>
    <cellStyle name="Total 7 8 2 3" xfId="7909"/>
    <cellStyle name="Total 7 8 2 3 2" xfId="16259"/>
    <cellStyle name="Total 7 8 2 3 2 2" xfId="28521"/>
    <cellStyle name="Total 7 8 2 3 2 2 2" xfId="57700"/>
    <cellStyle name="Total 7 8 2 3 2 3" xfId="45440"/>
    <cellStyle name="Total 7 8 2 3 3" xfId="24093"/>
    <cellStyle name="Total 7 8 2 3 3 2" xfId="53272"/>
    <cellStyle name="Total 7 8 2 3 4" xfId="37092"/>
    <cellStyle name="Total 7 8 2 4" xfId="12760"/>
    <cellStyle name="Total 7 8 2 4 2" xfId="26349"/>
    <cellStyle name="Total 7 8 2 4 2 2" xfId="55528"/>
    <cellStyle name="Total 7 8 2 4 3" xfId="41941"/>
    <cellStyle name="Total 7 8 2 5" xfId="21921"/>
    <cellStyle name="Total 7 8 2 5 2" xfId="51100"/>
    <cellStyle name="Total 7 8 2 6" xfId="32424"/>
    <cellStyle name="Total 7 8 3" xfId="4852"/>
    <cellStyle name="Total 7 8 3 2" xfId="13951"/>
    <cellStyle name="Total 7 8 3 2 2" xfId="27069"/>
    <cellStyle name="Total 7 8 3 2 2 2" xfId="56248"/>
    <cellStyle name="Total 7 8 3 2 3" xfId="43132"/>
    <cellStyle name="Total 7 8 3 3" xfId="22641"/>
    <cellStyle name="Total 7 8 3 3 2" xfId="51820"/>
    <cellStyle name="Total 7 8 3 4" xfId="34035"/>
    <cellStyle name="Total 7 8 4" xfId="7643"/>
    <cellStyle name="Total 7 8 4 2" xfId="16076"/>
    <cellStyle name="Total 7 8 4 2 2" xfId="28418"/>
    <cellStyle name="Total 7 8 4 2 2 2" xfId="57597"/>
    <cellStyle name="Total 7 8 4 2 3" xfId="45257"/>
    <cellStyle name="Total 7 8 4 3" xfId="23990"/>
    <cellStyle name="Total 7 8 4 3 2" xfId="53169"/>
    <cellStyle name="Total 7 8 4 4" xfId="36826"/>
    <cellStyle name="Total 7 8 5" xfId="11489"/>
    <cellStyle name="Total 7 8 5 2" xfId="25629"/>
    <cellStyle name="Total 7 8 5 2 2" xfId="54808"/>
    <cellStyle name="Total 7 8 5 3" xfId="40670"/>
    <cellStyle name="Total 7 8 6" xfId="21201"/>
    <cellStyle name="Total 7 8 6 2" xfId="50380"/>
    <cellStyle name="Total 7 8 7" xfId="30624"/>
    <cellStyle name="Total 7 9" xfId="2341"/>
    <cellStyle name="Total 7 9 2" xfId="5572"/>
    <cellStyle name="Total 7 9 2 2" xfId="14517"/>
    <cellStyle name="Total 7 9 2 2 2" xfId="27429"/>
    <cellStyle name="Total 7 9 2 2 2 2" xfId="56608"/>
    <cellStyle name="Total 7 9 2 2 3" xfId="43698"/>
    <cellStyle name="Total 7 9 2 3" xfId="23001"/>
    <cellStyle name="Total 7 9 2 3 2" xfId="52180"/>
    <cellStyle name="Total 7 9 2 4" xfId="34755"/>
    <cellStyle name="Total 7 9 3" xfId="7613"/>
    <cellStyle name="Total 7 9 3 2" xfId="16055"/>
    <cellStyle name="Total 7 9 3 2 2" xfId="28405"/>
    <cellStyle name="Total 7 9 3 2 2 2" xfId="57584"/>
    <cellStyle name="Total 7 9 3 2 3" xfId="45236"/>
    <cellStyle name="Total 7 9 3 3" xfId="23977"/>
    <cellStyle name="Total 7 9 3 3 2" xfId="53156"/>
    <cellStyle name="Total 7 9 3 4" xfId="36796"/>
    <cellStyle name="Total 7 9 4" xfId="12121"/>
    <cellStyle name="Total 7 9 4 2" xfId="25989"/>
    <cellStyle name="Total 7 9 4 2 2" xfId="55168"/>
    <cellStyle name="Total 7 9 4 3" xfId="41302"/>
    <cellStyle name="Total 7 9 5" xfId="21561"/>
    <cellStyle name="Total 7 9 5 2" xfId="50740"/>
    <cellStyle name="Total 7 9 6" xfId="31524"/>
    <cellStyle name="Total 8" xfId="419"/>
    <cellStyle name="Total 8 10" xfId="4133"/>
    <cellStyle name="Total 8 10 2" xfId="13397"/>
    <cellStyle name="Total 8 10 2 2" xfId="26710"/>
    <cellStyle name="Total 8 10 2 2 2" xfId="55889"/>
    <cellStyle name="Total 8 10 2 3" xfId="42578"/>
    <cellStyle name="Total 8 10 3" xfId="22282"/>
    <cellStyle name="Total 8 10 3 2" xfId="51461"/>
    <cellStyle name="Total 8 10 4" xfId="33316"/>
    <cellStyle name="Total 8 11" xfId="10744"/>
    <cellStyle name="Total 8 11 2" xfId="25170"/>
    <cellStyle name="Total 8 11 2 2" xfId="54349"/>
    <cellStyle name="Total 8 11 3" xfId="39925"/>
    <cellStyle name="Total 8 12" xfId="20742"/>
    <cellStyle name="Total 8 12 2" xfId="49921"/>
    <cellStyle name="Total 8 13" xfId="58762"/>
    <cellStyle name="Total 8 14" xfId="29625"/>
    <cellStyle name="Total 8 2" xfId="464"/>
    <cellStyle name="Total 8 2 10" xfId="8223"/>
    <cellStyle name="Total 8 2 10 2" xfId="16485"/>
    <cellStyle name="Total 8 2 10 2 2" xfId="28645"/>
    <cellStyle name="Total 8 2 10 2 2 2" xfId="57824"/>
    <cellStyle name="Total 8 2 10 2 3" xfId="45666"/>
    <cellStyle name="Total 8 2 10 3" xfId="24217"/>
    <cellStyle name="Total 8 2 10 3 2" xfId="53396"/>
    <cellStyle name="Total 8 2 10 4" xfId="37406"/>
    <cellStyle name="Total 8 2 11" xfId="10778"/>
    <cellStyle name="Total 8 2 11 2" xfId="25188"/>
    <cellStyle name="Total 8 2 11 2 2" xfId="54367"/>
    <cellStyle name="Total 8 2 11 3" xfId="39959"/>
    <cellStyle name="Total 8 2 12" xfId="20760"/>
    <cellStyle name="Total 8 2 12 2" xfId="49939"/>
    <cellStyle name="Total 8 2 13" xfId="58807"/>
    <cellStyle name="Total 8 2 14" xfId="29670"/>
    <cellStyle name="Total 8 2 2" xfId="554"/>
    <cellStyle name="Total 8 2 2 10" xfId="10841"/>
    <cellStyle name="Total 8 2 2 10 2" xfId="25224"/>
    <cellStyle name="Total 8 2 2 10 2 2" xfId="54403"/>
    <cellStyle name="Total 8 2 2 10 3" xfId="40022"/>
    <cellStyle name="Total 8 2 2 11" xfId="20796"/>
    <cellStyle name="Total 8 2 2 11 2" xfId="49975"/>
    <cellStyle name="Total 8 2 2 12" xfId="29760"/>
    <cellStyle name="Total 8 2 2 2" xfId="907"/>
    <cellStyle name="Total 8 2 2 2 2" xfId="1845"/>
    <cellStyle name="Total 8 2 2 2 2 2" xfId="3645"/>
    <cellStyle name="Total 8 2 2 2 2 2 2" xfId="6615"/>
    <cellStyle name="Total 8 2 2 2 2 2 2 2" xfId="15327"/>
    <cellStyle name="Total 8 2 2 2 2 2 2 2 2" xfId="27932"/>
    <cellStyle name="Total 8 2 2 2 2 2 2 2 2 2" xfId="57111"/>
    <cellStyle name="Total 8 2 2 2 2 2 2 2 3" xfId="44508"/>
    <cellStyle name="Total 8 2 2 2 2 2 2 3" xfId="23504"/>
    <cellStyle name="Total 8 2 2 2 2 2 2 3 2" xfId="52683"/>
    <cellStyle name="Total 8 2 2 2 2 2 2 4" xfId="35798"/>
    <cellStyle name="Total 8 2 2 2 2 2 3" xfId="7738"/>
    <cellStyle name="Total 8 2 2 2 2 2 3 2" xfId="16141"/>
    <cellStyle name="Total 8 2 2 2 2 2 3 2 2" xfId="28454"/>
    <cellStyle name="Total 8 2 2 2 2 2 3 2 2 2" xfId="57633"/>
    <cellStyle name="Total 8 2 2 2 2 2 3 2 3" xfId="45322"/>
    <cellStyle name="Total 8 2 2 2 2 2 3 3" xfId="24026"/>
    <cellStyle name="Total 8 2 2 2 2 2 3 3 2" xfId="53205"/>
    <cellStyle name="Total 8 2 2 2 2 2 3 4" xfId="36921"/>
    <cellStyle name="Total 8 2 2 2 2 2 4" xfId="13046"/>
    <cellStyle name="Total 8 2 2 2 2 2 4 2" xfId="26492"/>
    <cellStyle name="Total 8 2 2 2 2 2 4 2 2" xfId="55671"/>
    <cellStyle name="Total 8 2 2 2 2 2 4 3" xfId="42227"/>
    <cellStyle name="Total 8 2 2 2 2 2 5" xfId="22064"/>
    <cellStyle name="Total 8 2 2 2 2 2 5 2" xfId="51243"/>
    <cellStyle name="Total 8 2 2 2 2 2 6" xfId="32828"/>
    <cellStyle name="Total 8 2 2 2 2 3" xfId="5175"/>
    <cellStyle name="Total 8 2 2 2 2 3 2" xfId="14205"/>
    <cellStyle name="Total 8 2 2 2 2 3 2 2" xfId="27212"/>
    <cellStyle name="Total 8 2 2 2 2 3 2 2 2" xfId="56391"/>
    <cellStyle name="Total 8 2 2 2 2 3 2 3" xfId="43386"/>
    <cellStyle name="Total 8 2 2 2 2 3 3" xfId="22784"/>
    <cellStyle name="Total 8 2 2 2 2 3 3 2" xfId="51963"/>
    <cellStyle name="Total 8 2 2 2 2 3 4" xfId="34358"/>
    <cellStyle name="Total 8 2 2 2 2 4" xfId="7676"/>
    <cellStyle name="Total 8 2 2 2 2 4 2" xfId="16102"/>
    <cellStyle name="Total 8 2 2 2 2 4 2 2" xfId="28431"/>
    <cellStyle name="Total 8 2 2 2 2 4 2 2 2" xfId="57610"/>
    <cellStyle name="Total 8 2 2 2 2 4 2 3" xfId="45283"/>
    <cellStyle name="Total 8 2 2 2 2 4 3" xfId="24003"/>
    <cellStyle name="Total 8 2 2 2 2 4 3 2" xfId="53182"/>
    <cellStyle name="Total 8 2 2 2 2 4 4" xfId="36859"/>
    <cellStyle name="Total 8 2 2 2 2 5" xfId="11770"/>
    <cellStyle name="Total 8 2 2 2 2 5 2" xfId="25772"/>
    <cellStyle name="Total 8 2 2 2 2 5 2 2" xfId="54951"/>
    <cellStyle name="Total 8 2 2 2 2 5 3" xfId="40951"/>
    <cellStyle name="Total 8 2 2 2 2 6" xfId="21344"/>
    <cellStyle name="Total 8 2 2 2 2 6 2" xfId="50523"/>
    <cellStyle name="Total 8 2 2 2 2 7" xfId="31028"/>
    <cellStyle name="Total 8 2 2 2 3" xfId="2745"/>
    <cellStyle name="Total 8 2 2 2 3 2" xfId="5895"/>
    <cellStyle name="Total 8 2 2 2 3 2 2" xfId="14770"/>
    <cellStyle name="Total 8 2 2 2 3 2 2 2" xfId="27572"/>
    <cellStyle name="Total 8 2 2 2 3 2 2 2 2" xfId="56751"/>
    <cellStyle name="Total 8 2 2 2 3 2 2 3" xfId="43951"/>
    <cellStyle name="Total 8 2 2 2 3 2 3" xfId="23144"/>
    <cellStyle name="Total 8 2 2 2 3 2 3 2" xfId="52323"/>
    <cellStyle name="Total 8 2 2 2 3 2 4" xfId="35078"/>
    <cellStyle name="Total 8 2 2 2 3 3" xfId="8462"/>
    <cellStyle name="Total 8 2 2 2 3 3 2" xfId="16653"/>
    <cellStyle name="Total 8 2 2 2 3 3 2 2" xfId="28731"/>
    <cellStyle name="Total 8 2 2 2 3 3 2 2 2" xfId="57910"/>
    <cellStyle name="Total 8 2 2 2 3 3 2 3" xfId="45834"/>
    <cellStyle name="Total 8 2 2 2 3 3 3" xfId="24303"/>
    <cellStyle name="Total 8 2 2 2 3 3 3 2" xfId="53482"/>
    <cellStyle name="Total 8 2 2 2 3 3 4" xfId="37645"/>
    <cellStyle name="Total 8 2 2 2 3 4" xfId="12411"/>
    <cellStyle name="Total 8 2 2 2 3 4 2" xfId="26132"/>
    <cellStyle name="Total 8 2 2 2 3 4 2 2" xfId="55311"/>
    <cellStyle name="Total 8 2 2 2 3 4 3" xfId="41592"/>
    <cellStyle name="Total 8 2 2 2 3 5" xfId="21704"/>
    <cellStyle name="Total 8 2 2 2 3 5 2" xfId="50883"/>
    <cellStyle name="Total 8 2 2 2 3 6" xfId="31928"/>
    <cellStyle name="Total 8 2 2 2 4" xfId="4455"/>
    <cellStyle name="Total 8 2 2 2 4 2" xfId="13648"/>
    <cellStyle name="Total 8 2 2 2 4 2 2" xfId="26852"/>
    <cellStyle name="Total 8 2 2 2 4 2 2 2" xfId="56031"/>
    <cellStyle name="Total 8 2 2 2 4 2 3" xfId="42829"/>
    <cellStyle name="Total 8 2 2 2 4 3" xfId="22424"/>
    <cellStyle name="Total 8 2 2 2 4 3 2" xfId="51603"/>
    <cellStyle name="Total 8 2 2 2 4 4" xfId="33638"/>
    <cellStyle name="Total 8 2 2 2 5" xfId="8915"/>
    <cellStyle name="Total 8 2 2 2 5 2" xfId="16987"/>
    <cellStyle name="Total 8 2 2 2 5 2 2" xfId="28917"/>
    <cellStyle name="Total 8 2 2 2 5 2 2 2" xfId="58096"/>
    <cellStyle name="Total 8 2 2 2 5 2 3" xfId="46168"/>
    <cellStyle name="Total 8 2 2 2 5 3" xfId="24489"/>
    <cellStyle name="Total 8 2 2 2 5 3 2" xfId="53668"/>
    <cellStyle name="Total 8 2 2 2 5 4" xfId="38098"/>
    <cellStyle name="Total 8 2 2 2 6" xfId="11111"/>
    <cellStyle name="Total 8 2 2 2 6 2" xfId="25388"/>
    <cellStyle name="Total 8 2 2 2 6 2 2" xfId="54567"/>
    <cellStyle name="Total 8 2 2 2 6 3" xfId="40292"/>
    <cellStyle name="Total 8 2 2 2 7" xfId="20960"/>
    <cellStyle name="Total 8 2 2 2 7 2" xfId="50139"/>
    <cellStyle name="Total 8 2 2 2 8" xfId="30104"/>
    <cellStyle name="Total 8 2 2 3" xfId="1099"/>
    <cellStyle name="Total 8 2 2 3 2" xfId="2009"/>
    <cellStyle name="Total 8 2 2 3 2 2" xfId="3809"/>
    <cellStyle name="Total 8 2 2 3 2 2 2" xfId="6743"/>
    <cellStyle name="Total 8 2 2 3 2 2 2 2" xfId="15429"/>
    <cellStyle name="Total 8 2 2 3 2 2 2 2 2" xfId="28006"/>
    <cellStyle name="Total 8 2 2 3 2 2 2 2 2 2" xfId="57185"/>
    <cellStyle name="Total 8 2 2 3 2 2 2 2 3" xfId="44610"/>
    <cellStyle name="Total 8 2 2 3 2 2 2 3" xfId="23578"/>
    <cellStyle name="Total 8 2 2 3 2 2 2 3 2" xfId="52757"/>
    <cellStyle name="Total 8 2 2 3 2 2 2 4" xfId="35926"/>
    <cellStyle name="Total 8 2 2 3 2 2 3" xfId="8265"/>
    <cellStyle name="Total 8 2 2 3 2 2 3 2" xfId="16517"/>
    <cellStyle name="Total 8 2 2 3 2 2 3 2 2" xfId="28663"/>
    <cellStyle name="Total 8 2 2 3 2 2 3 2 2 2" xfId="57842"/>
    <cellStyle name="Total 8 2 2 3 2 2 3 2 3" xfId="45698"/>
    <cellStyle name="Total 8 2 2 3 2 2 3 3" xfId="24235"/>
    <cellStyle name="Total 8 2 2 3 2 2 3 3 2" xfId="53414"/>
    <cellStyle name="Total 8 2 2 3 2 2 3 4" xfId="37448"/>
    <cellStyle name="Total 8 2 2 3 2 2 4" xfId="13166"/>
    <cellStyle name="Total 8 2 2 3 2 2 4 2" xfId="26566"/>
    <cellStyle name="Total 8 2 2 3 2 2 4 2 2" xfId="55745"/>
    <cellStyle name="Total 8 2 2 3 2 2 4 3" xfId="42347"/>
    <cellStyle name="Total 8 2 2 3 2 2 5" xfId="22138"/>
    <cellStyle name="Total 8 2 2 3 2 2 5 2" xfId="51317"/>
    <cellStyle name="Total 8 2 2 3 2 2 6" xfId="32992"/>
    <cellStyle name="Total 8 2 2 3 2 3" xfId="5303"/>
    <cellStyle name="Total 8 2 2 3 2 3 2" xfId="14308"/>
    <cellStyle name="Total 8 2 2 3 2 3 2 2" xfId="27286"/>
    <cellStyle name="Total 8 2 2 3 2 3 2 2 2" xfId="56465"/>
    <cellStyle name="Total 8 2 2 3 2 3 2 3" xfId="43489"/>
    <cellStyle name="Total 8 2 2 3 2 3 3" xfId="22858"/>
    <cellStyle name="Total 8 2 2 3 2 3 3 2" xfId="52037"/>
    <cellStyle name="Total 8 2 2 3 2 3 4" xfId="34486"/>
    <cellStyle name="Total 8 2 2 3 2 4" xfId="7505"/>
    <cellStyle name="Total 8 2 2 3 2 4 2" xfId="15979"/>
    <cellStyle name="Total 8 2 2 3 2 4 2 2" xfId="28367"/>
    <cellStyle name="Total 8 2 2 3 2 4 2 2 2" xfId="57546"/>
    <cellStyle name="Total 8 2 2 3 2 4 2 3" xfId="45160"/>
    <cellStyle name="Total 8 2 2 3 2 4 3" xfId="23939"/>
    <cellStyle name="Total 8 2 2 3 2 4 3 2" xfId="53118"/>
    <cellStyle name="Total 8 2 2 3 2 4 4" xfId="36688"/>
    <cellStyle name="Total 8 2 2 3 2 5" xfId="11890"/>
    <cellStyle name="Total 8 2 2 3 2 5 2" xfId="25846"/>
    <cellStyle name="Total 8 2 2 3 2 5 2 2" xfId="55025"/>
    <cellStyle name="Total 8 2 2 3 2 5 3" xfId="41071"/>
    <cellStyle name="Total 8 2 2 3 2 6" xfId="21418"/>
    <cellStyle name="Total 8 2 2 3 2 6 2" xfId="50597"/>
    <cellStyle name="Total 8 2 2 3 2 7" xfId="31192"/>
    <cellStyle name="Total 8 2 2 3 3" xfId="2909"/>
    <cellStyle name="Total 8 2 2 3 3 2" xfId="6023"/>
    <cellStyle name="Total 8 2 2 3 3 2 2" xfId="14869"/>
    <cellStyle name="Total 8 2 2 3 3 2 2 2" xfId="27646"/>
    <cellStyle name="Total 8 2 2 3 3 2 2 2 2" xfId="56825"/>
    <cellStyle name="Total 8 2 2 3 3 2 2 3" xfId="44050"/>
    <cellStyle name="Total 8 2 2 3 3 2 3" xfId="23218"/>
    <cellStyle name="Total 8 2 2 3 3 2 3 2" xfId="52397"/>
    <cellStyle name="Total 8 2 2 3 3 2 4" xfId="35206"/>
    <cellStyle name="Total 8 2 2 3 3 3" xfId="8410"/>
    <cellStyle name="Total 8 2 2 3 3 3 2" xfId="16619"/>
    <cellStyle name="Total 8 2 2 3 3 3 2 2" xfId="28716"/>
    <cellStyle name="Total 8 2 2 3 3 3 2 2 2" xfId="57895"/>
    <cellStyle name="Total 8 2 2 3 3 3 2 3" xfId="45800"/>
    <cellStyle name="Total 8 2 2 3 3 3 3" xfId="24288"/>
    <cellStyle name="Total 8 2 2 3 3 3 3 2" xfId="53467"/>
    <cellStyle name="Total 8 2 2 3 3 3 4" xfId="37593"/>
    <cellStyle name="Total 8 2 2 3 3 4" xfId="12526"/>
    <cellStyle name="Total 8 2 2 3 3 4 2" xfId="26206"/>
    <cellStyle name="Total 8 2 2 3 3 4 2 2" xfId="55385"/>
    <cellStyle name="Total 8 2 2 3 3 4 3" xfId="41707"/>
    <cellStyle name="Total 8 2 2 3 3 5" xfId="21778"/>
    <cellStyle name="Total 8 2 2 3 3 5 2" xfId="50957"/>
    <cellStyle name="Total 8 2 2 3 3 6" xfId="32092"/>
    <cellStyle name="Total 8 2 2 3 4" xfId="4583"/>
    <cellStyle name="Total 8 2 2 3 4 2" xfId="13749"/>
    <cellStyle name="Total 8 2 2 3 4 2 2" xfId="26926"/>
    <cellStyle name="Total 8 2 2 3 4 2 2 2" xfId="56105"/>
    <cellStyle name="Total 8 2 2 3 4 2 3" xfId="42930"/>
    <cellStyle name="Total 8 2 2 3 4 3" xfId="22498"/>
    <cellStyle name="Total 8 2 2 3 4 3 2" xfId="51677"/>
    <cellStyle name="Total 8 2 2 3 4 4" xfId="33766"/>
    <cellStyle name="Total 8 2 2 3 5" xfId="7805"/>
    <cellStyle name="Total 8 2 2 3 5 2" xfId="16187"/>
    <cellStyle name="Total 8 2 2 3 5 2 2" xfId="28480"/>
    <cellStyle name="Total 8 2 2 3 5 2 2 2" xfId="57659"/>
    <cellStyle name="Total 8 2 2 3 5 2 3" xfId="45368"/>
    <cellStyle name="Total 8 2 2 3 5 3" xfId="24052"/>
    <cellStyle name="Total 8 2 2 3 5 3 2" xfId="53231"/>
    <cellStyle name="Total 8 2 2 3 5 4" xfId="36988"/>
    <cellStyle name="Total 8 2 2 3 6" xfId="11254"/>
    <cellStyle name="Total 8 2 2 3 6 2" xfId="25483"/>
    <cellStyle name="Total 8 2 2 3 6 2 2" xfId="54662"/>
    <cellStyle name="Total 8 2 2 3 6 3" xfId="40435"/>
    <cellStyle name="Total 8 2 2 3 7" xfId="21055"/>
    <cellStyle name="Total 8 2 2 3 7 2" xfId="50234"/>
    <cellStyle name="Total 8 2 2 3 8" xfId="30289"/>
    <cellStyle name="Total 8 2 2 4" xfId="1249"/>
    <cellStyle name="Total 8 2 2 4 2" xfId="2153"/>
    <cellStyle name="Total 8 2 2 4 2 2" xfId="3953"/>
    <cellStyle name="Total 8 2 2 4 2 2 2" xfId="6860"/>
    <cellStyle name="Total 8 2 2 4 2 2 2 2" xfId="15519"/>
    <cellStyle name="Total 8 2 2 4 2 2 2 2 2" xfId="28069"/>
    <cellStyle name="Total 8 2 2 4 2 2 2 2 2 2" xfId="57248"/>
    <cellStyle name="Total 8 2 2 4 2 2 2 2 3" xfId="44700"/>
    <cellStyle name="Total 8 2 2 4 2 2 2 3" xfId="23641"/>
    <cellStyle name="Total 8 2 2 4 2 2 2 3 2" xfId="52820"/>
    <cellStyle name="Total 8 2 2 4 2 2 2 4" xfId="36043"/>
    <cellStyle name="Total 8 2 2 4 2 2 3" xfId="7127"/>
    <cellStyle name="Total 8 2 2 4 2 2 3 2" xfId="15717"/>
    <cellStyle name="Total 8 2 2 4 2 2 3 2 2" xfId="28199"/>
    <cellStyle name="Total 8 2 2 4 2 2 3 2 2 2" xfId="57378"/>
    <cellStyle name="Total 8 2 2 4 2 2 3 2 3" xfId="44898"/>
    <cellStyle name="Total 8 2 2 4 2 2 3 3" xfId="23771"/>
    <cellStyle name="Total 8 2 2 4 2 2 3 3 2" xfId="52950"/>
    <cellStyle name="Total 8 2 2 4 2 2 3 4" xfId="36310"/>
    <cellStyle name="Total 8 2 2 4 2 2 4" xfId="13264"/>
    <cellStyle name="Total 8 2 2 4 2 2 4 2" xfId="26629"/>
    <cellStyle name="Total 8 2 2 4 2 2 4 2 2" xfId="55808"/>
    <cellStyle name="Total 8 2 2 4 2 2 4 3" xfId="42445"/>
    <cellStyle name="Total 8 2 2 4 2 2 5" xfId="22201"/>
    <cellStyle name="Total 8 2 2 4 2 2 5 2" xfId="51380"/>
    <cellStyle name="Total 8 2 2 4 2 2 6" xfId="33136"/>
    <cellStyle name="Total 8 2 2 4 2 3" xfId="5420"/>
    <cellStyle name="Total 8 2 2 4 2 3 2" xfId="14397"/>
    <cellStyle name="Total 8 2 2 4 2 3 2 2" xfId="27349"/>
    <cellStyle name="Total 8 2 2 4 2 3 2 2 2" xfId="56528"/>
    <cellStyle name="Total 8 2 2 4 2 3 2 3" xfId="43578"/>
    <cellStyle name="Total 8 2 2 4 2 3 3" xfId="22921"/>
    <cellStyle name="Total 8 2 2 4 2 3 3 2" xfId="52100"/>
    <cellStyle name="Total 8 2 2 4 2 3 4" xfId="34603"/>
    <cellStyle name="Total 8 2 2 4 2 4" xfId="7388"/>
    <cellStyle name="Total 8 2 2 4 2 4 2" xfId="15902"/>
    <cellStyle name="Total 8 2 2 4 2 4 2 2" xfId="28319"/>
    <cellStyle name="Total 8 2 2 4 2 4 2 2 2" xfId="57498"/>
    <cellStyle name="Total 8 2 2 4 2 4 2 3" xfId="45083"/>
    <cellStyle name="Total 8 2 2 4 2 4 3" xfId="23891"/>
    <cellStyle name="Total 8 2 2 4 2 4 3 2" xfId="53070"/>
    <cellStyle name="Total 8 2 2 4 2 4 4" xfId="36571"/>
    <cellStyle name="Total 8 2 2 4 2 5" xfId="11989"/>
    <cellStyle name="Total 8 2 2 4 2 5 2" xfId="25909"/>
    <cellStyle name="Total 8 2 2 4 2 5 2 2" xfId="55088"/>
    <cellStyle name="Total 8 2 2 4 2 5 3" xfId="41170"/>
    <cellStyle name="Total 8 2 2 4 2 6" xfId="21481"/>
    <cellStyle name="Total 8 2 2 4 2 6 2" xfId="50660"/>
    <cellStyle name="Total 8 2 2 4 2 7" xfId="31336"/>
    <cellStyle name="Total 8 2 2 4 3" xfId="3053"/>
    <cellStyle name="Total 8 2 2 4 3 2" xfId="6140"/>
    <cellStyle name="Total 8 2 2 4 3 2 2" xfId="14958"/>
    <cellStyle name="Total 8 2 2 4 3 2 2 2" xfId="27709"/>
    <cellStyle name="Total 8 2 2 4 3 2 2 2 2" xfId="56888"/>
    <cellStyle name="Total 8 2 2 4 3 2 2 3" xfId="44139"/>
    <cellStyle name="Total 8 2 2 4 3 2 3" xfId="23281"/>
    <cellStyle name="Total 8 2 2 4 3 2 3 2" xfId="52460"/>
    <cellStyle name="Total 8 2 2 4 3 2 4" xfId="35323"/>
    <cellStyle name="Total 8 2 2 4 3 3" xfId="7456"/>
    <cellStyle name="Total 8 2 2 4 3 3 2" xfId="15946"/>
    <cellStyle name="Total 8 2 2 4 3 3 2 2" xfId="28346"/>
    <cellStyle name="Total 8 2 2 4 3 3 2 2 2" xfId="57525"/>
    <cellStyle name="Total 8 2 2 4 3 3 2 3" xfId="45127"/>
    <cellStyle name="Total 8 2 2 4 3 3 3" xfId="23918"/>
    <cellStyle name="Total 8 2 2 4 3 3 3 2" xfId="53097"/>
    <cellStyle name="Total 8 2 2 4 3 3 4" xfId="36639"/>
    <cellStyle name="Total 8 2 2 4 3 4" xfId="12625"/>
    <cellStyle name="Total 8 2 2 4 3 4 2" xfId="26269"/>
    <cellStyle name="Total 8 2 2 4 3 4 2 2" xfId="55448"/>
    <cellStyle name="Total 8 2 2 4 3 4 3" xfId="41806"/>
    <cellStyle name="Total 8 2 2 4 3 5" xfId="21841"/>
    <cellStyle name="Total 8 2 2 4 3 5 2" xfId="51020"/>
    <cellStyle name="Total 8 2 2 4 3 6" xfId="32236"/>
    <cellStyle name="Total 8 2 2 4 4" xfId="4700"/>
    <cellStyle name="Total 8 2 2 4 4 2" xfId="13838"/>
    <cellStyle name="Total 8 2 2 4 4 2 2" xfId="26989"/>
    <cellStyle name="Total 8 2 2 4 4 2 2 2" xfId="56168"/>
    <cellStyle name="Total 8 2 2 4 4 2 3" xfId="43019"/>
    <cellStyle name="Total 8 2 2 4 4 3" xfId="22561"/>
    <cellStyle name="Total 8 2 2 4 4 3 2" xfId="51740"/>
    <cellStyle name="Total 8 2 2 4 4 4" xfId="33883"/>
    <cellStyle name="Total 8 2 2 4 5" xfId="10405"/>
    <cellStyle name="Total 8 2 2 4 5 2" xfId="18042"/>
    <cellStyle name="Total 8 2 2 4 5 2 2" xfId="29507"/>
    <cellStyle name="Total 8 2 2 4 5 2 2 2" xfId="58686"/>
    <cellStyle name="Total 8 2 2 4 5 2 3" xfId="47223"/>
    <cellStyle name="Total 8 2 2 4 5 3" xfId="25079"/>
    <cellStyle name="Total 8 2 2 4 5 3 2" xfId="54258"/>
    <cellStyle name="Total 8 2 2 4 5 4" xfId="39588"/>
    <cellStyle name="Total 8 2 2 4 6" xfId="11359"/>
    <cellStyle name="Total 8 2 2 4 6 2" xfId="25549"/>
    <cellStyle name="Total 8 2 2 4 6 2 2" xfId="54728"/>
    <cellStyle name="Total 8 2 2 4 6 3" xfId="40540"/>
    <cellStyle name="Total 8 2 2 4 7" xfId="21121"/>
    <cellStyle name="Total 8 2 2 4 7 2" xfId="50300"/>
    <cellStyle name="Total 8 2 2 4 8" xfId="30436"/>
    <cellStyle name="Total 8 2 2 5" xfId="1395"/>
    <cellStyle name="Total 8 2 2 5 2" xfId="2297"/>
    <cellStyle name="Total 8 2 2 5 2 2" xfId="4097"/>
    <cellStyle name="Total 8 2 2 5 2 2 2" xfId="6977"/>
    <cellStyle name="Total 8 2 2 5 2 2 2 2" xfId="15609"/>
    <cellStyle name="Total 8 2 2 5 2 2 2 2 2" xfId="28132"/>
    <cellStyle name="Total 8 2 2 5 2 2 2 2 2 2" xfId="57311"/>
    <cellStyle name="Total 8 2 2 5 2 2 2 2 3" xfId="44790"/>
    <cellStyle name="Total 8 2 2 5 2 2 2 3" xfId="23704"/>
    <cellStyle name="Total 8 2 2 5 2 2 2 3 2" xfId="52883"/>
    <cellStyle name="Total 8 2 2 5 2 2 2 4" xfId="36160"/>
    <cellStyle name="Total 8 2 2 5 2 2 3" xfId="6983"/>
    <cellStyle name="Total 8 2 2 5 2 2 3 2" xfId="15613"/>
    <cellStyle name="Total 8 2 2 5 2 2 3 2 2" xfId="28136"/>
    <cellStyle name="Total 8 2 2 5 2 2 3 2 2 2" xfId="57315"/>
    <cellStyle name="Total 8 2 2 5 2 2 3 2 3" xfId="44794"/>
    <cellStyle name="Total 8 2 2 5 2 2 3 3" xfId="23708"/>
    <cellStyle name="Total 8 2 2 5 2 2 3 3 2" xfId="52887"/>
    <cellStyle name="Total 8 2 2 5 2 2 3 4" xfId="36166"/>
    <cellStyle name="Total 8 2 2 5 2 2 4" xfId="13369"/>
    <cellStyle name="Total 8 2 2 5 2 2 4 2" xfId="26692"/>
    <cellStyle name="Total 8 2 2 5 2 2 4 2 2" xfId="55871"/>
    <cellStyle name="Total 8 2 2 5 2 2 4 3" xfId="42550"/>
    <cellStyle name="Total 8 2 2 5 2 2 5" xfId="22264"/>
    <cellStyle name="Total 8 2 2 5 2 2 5 2" xfId="51443"/>
    <cellStyle name="Total 8 2 2 5 2 2 6" xfId="33280"/>
    <cellStyle name="Total 8 2 2 5 2 3" xfId="5537"/>
    <cellStyle name="Total 8 2 2 5 2 3 2" xfId="14490"/>
    <cellStyle name="Total 8 2 2 5 2 3 2 2" xfId="27412"/>
    <cellStyle name="Total 8 2 2 5 2 3 2 2 2" xfId="56591"/>
    <cellStyle name="Total 8 2 2 5 2 3 2 3" xfId="43671"/>
    <cellStyle name="Total 8 2 2 5 2 3 3" xfId="22984"/>
    <cellStyle name="Total 8 2 2 5 2 3 3 2" xfId="52163"/>
    <cellStyle name="Total 8 2 2 5 2 3 4" xfId="34720"/>
    <cellStyle name="Total 8 2 2 5 2 4" xfId="7283"/>
    <cellStyle name="Total 8 2 2 5 2 4 2" xfId="15826"/>
    <cellStyle name="Total 8 2 2 5 2 4 2 2" xfId="28268"/>
    <cellStyle name="Total 8 2 2 5 2 4 2 2 2" xfId="57447"/>
    <cellStyle name="Total 8 2 2 5 2 4 2 3" xfId="45007"/>
    <cellStyle name="Total 8 2 2 5 2 4 3" xfId="23840"/>
    <cellStyle name="Total 8 2 2 5 2 4 3 2" xfId="53019"/>
    <cellStyle name="Total 8 2 2 5 2 4 4" xfId="36466"/>
    <cellStyle name="Total 8 2 2 5 2 5" xfId="12090"/>
    <cellStyle name="Total 8 2 2 5 2 5 2" xfId="25972"/>
    <cellStyle name="Total 8 2 2 5 2 5 2 2" xfId="55151"/>
    <cellStyle name="Total 8 2 2 5 2 5 3" xfId="41271"/>
    <cellStyle name="Total 8 2 2 5 2 6" xfId="21544"/>
    <cellStyle name="Total 8 2 2 5 2 6 2" xfId="50723"/>
    <cellStyle name="Total 8 2 2 5 2 7" xfId="31480"/>
    <cellStyle name="Total 8 2 2 5 3" xfId="3197"/>
    <cellStyle name="Total 8 2 2 5 3 2" xfId="6257"/>
    <cellStyle name="Total 8 2 2 5 3 2 2" xfId="15050"/>
    <cellStyle name="Total 8 2 2 5 3 2 2 2" xfId="27772"/>
    <cellStyle name="Total 8 2 2 5 3 2 2 2 2" xfId="56951"/>
    <cellStyle name="Total 8 2 2 5 3 2 2 3" xfId="44231"/>
    <cellStyle name="Total 8 2 2 5 3 2 3" xfId="23344"/>
    <cellStyle name="Total 8 2 2 5 3 2 3 2" xfId="52523"/>
    <cellStyle name="Total 8 2 2 5 3 2 4" xfId="35440"/>
    <cellStyle name="Total 8 2 2 5 3 3" xfId="7172"/>
    <cellStyle name="Total 8 2 2 5 3 3 2" xfId="15748"/>
    <cellStyle name="Total 8 2 2 5 3 3 2 2" xfId="28220"/>
    <cellStyle name="Total 8 2 2 5 3 3 2 2 2" xfId="57399"/>
    <cellStyle name="Total 8 2 2 5 3 3 2 3" xfId="44929"/>
    <cellStyle name="Total 8 2 2 5 3 3 3" xfId="23792"/>
    <cellStyle name="Total 8 2 2 5 3 3 3 2" xfId="52971"/>
    <cellStyle name="Total 8 2 2 5 3 3 4" xfId="36355"/>
    <cellStyle name="Total 8 2 2 5 3 4" xfId="12731"/>
    <cellStyle name="Total 8 2 2 5 3 4 2" xfId="26332"/>
    <cellStyle name="Total 8 2 2 5 3 4 2 2" xfId="55511"/>
    <cellStyle name="Total 8 2 2 5 3 4 3" xfId="41912"/>
    <cellStyle name="Total 8 2 2 5 3 5" xfId="21904"/>
    <cellStyle name="Total 8 2 2 5 3 5 2" xfId="51083"/>
    <cellStyle name="Total 8 2 2 5 3 6" xfId="32380"/>
    <cellStyle name="Total 8 2 2 5 4" xfId="4817"/>
    <cellStyle name="Total 8 2 2 5 4 2" xfId="13926"/>
    <cellStyle name="Total 8 2 2 5 4 2 2" xfId="27052"/>
    <cellStyle name="Total 8 2 2 5 4 2 2 2" xfId="56231"/>
    <cellStyle name="Total 8 2 2 5 4 2 3" xfId="43107"/>
    <cellStyle name="Total 8 2 2 5 4 3" xfId="22624"/>
    <cellStyle name="Total 8 2 2 5 4 3 2" xfId="51803"/>
    <cellStyle name="Total 8 2 2 5 4 4" xfId="34000"/>
    <cellStyle name="Total 8 2 2 5 5" xfId="8673"/>
    <cellStyle name="Total 8 2 2 5 5 2" xfId="16805"/>
    <cellStyle name="Total 8 2 2 5 5 2 2" xfId="28817"/>
    <cellStyle name="Total 8 2 2 5 5 2 2 2" xfId="57996"/>
    <cellStyle name="Total 8 2 2 5 5 2 3" xfId="45986"/>
    <cellStyle name="Total 8 2 2 5 5 3" xfId="24389"/>
    <cellStyle name="Total 8 2 2 5 5 3 2" xfId="53568"/>
    <cellStyle name="Total 8 2 2 5 5 4" xfId="37856"/>
    <cellStyle name="Total 8 2 2 5 6" xfId="11459"/>
    <cellStyle name="Total 8 2 2 5 6 2" xfId="25612"/>
    <cellStyle name="Total 8 2 2 5 6 2 2" xfId="54791"/>
    <cellStyle name="Total 8 2 2 5 6 3" xfId="40640"/>
    <cellStyle name="Total 8 2 2 5 7" xfId="21184"/>
    <cellStyle name="Total 8 2 2 5 7 2" xfId="50363"/>
    <cellStyle name="Total 8 2 2 5 8" xfId="30580"/>
    <cellStyle name="Total 8 2 2 6" xfId="1577"/>
    <cellStyle name="Total 8 2 2 6 2" xfId="3377"/>
    <cellStyle name="Total 8 2 2 6 2 2" xfId="6401"/>
    <cellStyle name="Total 8 2 2 6 2 2 2" xfId="15156"/>
    <cellStyle name="Total 8 2 2 6 2 2 2 2" xfId="27844"/>
    <cellStyle name="Total 8 2 2 6 2 2 2 2 2" xfId="57023"/>
    <cellStyle name="Total 8 2 2 6 2 2 2 3" xfId="44337"/>
    <cellStyle name="Total 8 2 2 6 2 2 3" xfId="23416"/>
    <cellStyle name="Total 8 2 2 6 2 2 3 2" xfId="52595"/>
    <cellStyle name="Total 8 2 2 6 2 2 4" xfId="35584"/>
    <cellStyle name="Total 8 2 2 6 2 3" xfId="8441"/>
    <cellStyle name="Total 8 2 2 6 2 3 2" xfId="16641"/>
    <cellStyle name="Total 8 2 2 6 2 3 2 2" xfId="28725"/>
    <cellStyle name="Total 8 2 2 6 2 3 2 2 2" xfId="57904"/>
    <cellStyle name="Total 8 2 2 6 2 3 2 3" xfId="45822"/>
    <cellStyle name="Total 8 2 2 6 2 3 3" xfId="24297"/>
    <cellStyle name="Total 8 2 2 6 2 3 3 2" xfId="53476"/>
    <cellStyle name="Total 8 2 2 6 2 3 4" xfId="37624"/>
    <cellStyle name="Total 8 2 2 6 2 4" xfId="12853"/>
    <cellStyle name="Total 8 2 2 6 2 4 2" xfId="26404"/>
    <cellStyle name="Total 8 2 2 6 2 4 2 2" xfId="55583"/>
    <cellStyle name="Total 8 2 2 6 2 4 3" xfId="42034"/>
    <cellStyle name="Total 8 2 2 6 2 5" xfId="21976"/>
    <cellStyle name="Total 8 2 2 6 2 5 2" xfId="51155"/>
    <cellStyle name="Total 8 2 2 6 2 6" xfId="32560"/>
    <cellStyle name="Total 8 2 2 6 3" xfId="4961"/>
    <cellStyle name="Total 8 2 2 6 3 2" xfId="14035"/>
    <cellStyle name="Total 8 2 2 6 3 2 2" xfId="27124"/>
    <cellStyle name="Total 8 2 2 6 3 2 2 2" xfId="56303"/>
    <cellStyle name="Total 8 2 2 6 3 2 3" xfId="43216"/>
    <cellStyle name="Total 8 2 2 6 3 3" xfId="22696"/>
    <cellStyle name="Total 8 2 2 6 3 3 2" xfId="51875"/>
    <cellStyle name="Total 8 2 2 6 3 4" xfId="34144"/>
    <cellStyle name="Total 8 2 2 6 4" xfId="10521"/>
    <cellStyle name="Total 8 2 2 6 4 2" xfId="18122"/>
    <cellStyle name="Total 8 2 2 6 4 2 2" xfId="29549"/>
    <cellStyle name="Total 8 2 2 6 4 2 2 2" xfId="58728"/>
    <cellStyle name="Total 8 2 2 6 4 2 3" xfId="47303"/>
    <cellStyle name="Total 8 2 2 6 4 3" xfId="25121"/>
    <cellStyle name="Total 8 2 2 6 4 3 2" xfId="54300"/>
    <cellStyle name="Total 8 2 2 6 4 4" xfId="39704"/>
    <cellStyle name="Total 8 2 2 6 5" xfId="11582"/>
    <cellStyle name="Total 8 2 2 6 5 2" xfId="25684"/>
    <cellStyle name="Total 8 2 2 6 5 2 2" xfId="54863"/>
    <cellStyle name="Total 8 2 2 6 5 3" xfId="40763"/>
    <cellStyle name="Total 8 2 2 6 6" xfId="21256"/>
    <cellStyle name="Total 8 2 2 6 6 2" xfId="50435"/>
    <cellStyle name="Total 8 2 2 6 7" xfId="30760"/>
    <cellStyle name="Total 8 2 2 7" xfId="2477"/>
    <cellStyle name="Total 8 2 2 7 2" xfId="5681"/>
    <cellStyle name="Total 8 2 2 7 2 2" xfId="14603"/>
    <cellStyle name="Total 8 2 2 7 2 2 2" xfId="27484"/>
    <cellStyle name="Total 8 2 2 7 2 2 2 2" xfId="56663"/>
    <cellStyle name="Total 8 2 2 7 2 2 3" xfId="43784"/>
    <cellStyle name="Total 8 2 2 7 2 3" xfId="23056"/>
    <cellStyle name="Total 8 2 2 7 2 3 2" xfId="52235"/>
    <cellStyle name="Total 8 2 2 7 2 4" xfId="34864"/>
    <cellStyle name="Total 8 2 2 7 3" xfId="9743"/>
    <cellStyle name="Total 8 2 2 7 3 2" xfId="17579"/>
    <cellStyle name="Total 8 2 2 7 3 2 2" xfId="29247"/>
    <cellStyle name="Total 8 2 2 7 3 2 2 2" xfId="58426"/>
    <cellStyle name="Total 8 2 2 7 3 2 3" xfId="46760"/>
    <cellStyle name="Total 8 2 2 7 3 3" xfId="24819"/>
    <cellStyle name="Total 8 2 2 7 3 3 2" xfId="53998"/>
    <cellStyle name="Total 8 2 2 7 3 4" xfId="38926"/>
    <cellStyle name="Total 8 2 2 7 4" xfId="12219"/>
    <cellStyle name="Total 8 2 2 7 4 2" xfId="26044"/>
    <cellStyle name="Total 8 2 2 7 4 2 2" xfId="55223"/>
    <cellStyle name="Total 8 2 2 7 4 3" xfId="41400"/>
    <cellStyle name="Total 8 2 2 7 5" xfId="21616"/>
    <cellStyle name="Total 8 2 2 7 5 2" xfId="50795"/>
    <cellStyle name="Total 8 2 2 7 6" xfId="31660"/>
    <cellStyle name="Total 8 2 2 8" xfId="4241"/>
    <cellStyle name="Total 8 2 2 8 2" xfId="13484"/>
    <cellStyle name="Total 8 2 2 8 2 2" xfId="26764"/>
    <cellStyle name="Total 8 2 2 8 2 2 2" xfId="55943"/>
    <cellStyle name="Total 8 2 2 8 2 3" xfId="42665"/>
    <cellStyle name="Total 8 2 2 8 3" xfId="22336"/>
    <cellStyle name="Total 8 2 2 8 3 2" xfId="51515"/>
    <cellStyle name="Total 8 2 2 8 4" xfId="33424"/>
    <cellStyle name="Total 8 2 2 9" xfId="10155"/>
    <cellStyle name="Total 8 2 2 9 2" xfId="17865"/>
    <cellStyle name="Total 8 2 2 9 2 2" xfId="29410"/>
    <cellStyle name="Total 8 2 2 9 2 2 2" xfId="58589"/>
    <cellStyle name="Total 8 2 2 9 2 3" xfId="47046"/>
    <cellStyle name="Total 8 2 2 9 3" xfId="24982"/>
    <cellStyle name="Total 8 2 2 9 3 2" xfId="54161"/>
    <cellStyle name="Total 8 2 2 9 4" xfId="39338"/>
    <cellStyle name="Total 8 2 3" xfId="817"/>
    <cellStyle name="Total 8 2 3 2" xfId="1755"/>
    <cellStyle name="Total 8 2 3 2 2" xfId="3555"/>
    <cellStyle name="Total 8 2 3 2 2 2" xfId="6543"/>
    <cellStyle name="Total 8 2 3 2 2 2 2" xfId="15272"/>
    <cellStyle name="Total 8 2 3 2 2 2 2 2" xfId="27896"/>
    <cellStyle name="Total 8 2 3 2 2 2 2 2 2" xfId="57075"/>
    <cellStyle name="Total 8 2 3 2 2 2 2 3" xfId="44453"/>
    <cellStyle name="Total 8 2 3 2 2 2 3" xfId="23468"/>
    <cellStyle name="Total 8 2 3 2 2 2 3 2" xfId="52647"/>
    <cellStyle name="Total 8 2 3 2 2 2 4" xfId="35726"/>
    <cellStyle name="Total 8 2 3 2 2 3" xfId="10340"/>
    <cellStyle name="Total 8 2 3 2 2 3 2" xfId="17997"/>
    <cellStyle name="Total 8 2 3 2 2 3 2 2" xfId="29483"/>
    <cellStyle name="Total 8 2 3 2 2 3 2 2 2" xfId="58662"/>
    <cellStyle name="Total 8 2 3 2 2 3 2 3" xfId="47178"/>
    <cellStyle name="Total 8 2 3 2 2 3 3" xfId="25055"/>
    <cellStyle name="Total 8 2 3 2 2 3 3 2" xfId="54234"/>
    <cellStyle name="Total 8 2 3 2 2 3 4" xfId="39523"/>
    <cellStyle name="Total 8 2 3 2 2 4" xfId="12983"/>
    <cellStyle name="Total 8 2 3 2 2 4 2" xfId="26456"/>
    <cellStyle name="Total 8 2 3 2 2 4 2 2" xfId="55635"/>
    <cellStyle name="Total 8 2 3 2 2 4 3" xfId="42164"/>
    <cellStyle name="Total 8 2 3 2 2 5" xfId="22028"/>
    <cellStyle name="Total 8 2 3 2 2 5 2" xfId="51207"/>
    <cellStyle name="Total 8 2 3 2 2 6" xfId="32738"/>
    <cellStyle name="Total 8 2 3 2 3" xfId="5103"/>
    <cellStyle name="Total 8 2 3 2 3 2" xfId="14148"/>
    <cellStyle name="Total 8 2 3 2 3 2 2" xfId="27176"/>
    <cellStyle name="Total 8 2 3 2 3 2 2 2" xfId="56355"/>
    <cellStyle name="Total 8 2 3 2 3 2 3" xfId="43329"/>
    <cellStyle name="Total 8 2 3 2 3 3" xfId="22748"/>
    <cellStyle name="Total 8 2 3 2 3 3 2" xfId="51927"/>
    <cellStyle name="Total 8 2 3 2 3 4" xfId="34286"/>
    <cellStyle name="Total 8 2 3 2 4" xfId="9021"/>
    <cellStyle name="Total 8 2 3 2 4 2" xfId="17071"/>
    <cellStyle name="Total 8 2 3 2 4 2 2" xfId="28965"/>
    <cellStyle name="Total 8 2 3 2 4 2 2 2" xfId="58144"/>
    <cellStyle name="Total 8 2 3 2 4 2 3" xfId="46252"/>
    <cellStyle name="Total 8 2 3 2 4 3" xfId="24537"/>
    <cellStyle name="Total 8 2 3 2 4 3 2" xfId="53716"/>
    <cellStyle name="Total 8 2 3 2 4 4" xfId="38204"/>
    <cellStyle name="Total 8 2 3 2 5" xfId="11709"/>
    <cellStyle name="Total 8 2 3 2 5 2" xfId="25736"/>
    <cellStyle name="Total 8 2 3 2 5 2 2" xfId="54915"/>
    <cellStyle name="Total 8 2 3 2 5 3" xfId="40890"/>
    <cellStyle name="Total 8 2 3 2 6" xfId="21308"/>
    <cellStyle name="Total 8 2 3 2 6 2" xfId="50487"/>
    <cellStyle name="Total 8 2 3 2 7" xfId="30938"/>
    <cellStyle name="Total 8 2 3 3" xfId="2655"/>
    <cellStyle name="Total 8 2 3 3 2" xfId="5823"/>
    <cellStyle name="Total 8 2 3 3 2 2" xfId="14713"/>
    <cellStyle name="Total 8 2 3 3 2 2 2" xfId="27536"/>
    <cellStyle name="Total 8 2 3 3 2 2 2 2" xfId="56715"/>
    <cellStyle name="Total 8 2 3 3 2 2 3" xfId="43894"/>
    <cellStyle name="Total 8 2 3 3 2 3" xfId="23108"/>
    <cellStyle name="Total 8 2 3 3 2 3 2" xfId="52287"/>
    <cellStyle name="Total 8 2 3 3 2 4" xfId="35006"/>
    <cellStyle name="Total 8 2 3 3 3" xfId="7240"/>
    <cellStyle name="Total 8 2 3 3 3 2" xfId="15801"/>
    <cellStyle name="Total 8 2 3 3 3 2 2" xfId="28259"/>
    <cellStyle name="Total 8 2 3 3 3 2 2 2" xfId="57438"/>
    <cellStyle name="Total 8 2 3 3 3 2 3" xfId="44982"/>
    <cellStyle name="Total 8 2 3 3 3 3" xfId="23831"/>
    <cellStyle name="Total 8 2 3 3 3 3 2" xfId="53010"/>
    <cellStyle name="Total 8 2 3 3 3 4" xfId="36423"/>
    <cellStyle name="Total 8 2 3 3 4" xfId="12345"/>
    <cellStyle name="Total 8 2 3 3 4 2" xfId="26096"/>
    <cellStyle name="Total 8 2 3 3 4 2 2" xfId="55275"/>
    <cellStyle name="Total 8 2 3 3 4 3" xfId="41526"/>
    <cellStyle name="Total 8 2 3 3 5" xfId="21668"/>
    <cellStyle name="Total 8 2 3 3 5 2" xfId="50847"/>
    <cellStyle name="Total 8 2 3 3 6" xfId="31838"/>
    <cellStyle name="Total 8 2 3 4" xfId="4383"/>
    <cellStyle name="Total 8 2 3 4 2" xfId="13589"/>
    <cellStyle name="Total 8 2 3 4 2 2" xfId="26816"/>
    <cellStyle name="Total 8 2 3 4 2 2 2" xfId="55995"/>
    <cellStyle name="Total 8 2 3 4 2 3" xfId="42770"/>
    <cellStyle name="Total 8 2 3 4 3" xfId="22388"/>
    <cellStyle name="Total 8 2 3 4 3 2" xfId="51567"/>
    <cellStyle name="Total 8 2 3 4 4" xfId="33566"/>
    <cellStyle name="Total 8 2 3 5" xfId="9348"/>
    <cellStyle name="Total 8 2 3 5 2" xfId="17300"/>
    <cellStyle name="Total 8 2 3 5 2 2" xfId="29089"/>
    <cellStyle name="Total 8 2 3 5 2 2 2" xfId="58268"/>
    <cellStyle name="Total 8 2 3 5 2 3" xfId="46481"/>
    <cellStyle name="Total 8 2 3 5 3" xfId="24661"/>
    <cellStyle name="Total 8 2 3 5 3 2" xfId="53840"/>
    <cellStyle name="Total 8 2 3 5 4" xfId="38531"/>
    <cellStyle name="Total 8 2 3 6" xfId="11048"/>
    <cellStyle name="Total 8 2 3 6 2" xfId="25352"/>
    <cellStyle name="Total 8 2 3 6 2 2" xfId="54531"/>
    <cellStyle name="Total 8 2 3 6 3" xfId="40229"/>
    <cellStyle name="Total 8 2 3 7" xfId="20924"/>
    <cellStyle name="Total 8 2 3 7 2" xfId="50103"/>
    <cellStyle name="Total 8 2 3 8" xfId="30014"/>
    <cellStyle name="Total 8 2 4" xfId="1009"/>
    <cellStyle name="Total 8 2 4 2" xfId="1919"/>
    <cellStyle name="Total 8 2 4 2 2" xfId="3719"/>
    <cellStyle name="Total 8 2 4 2 2 2" xfId="6671"/>
    <cellStyle name="Total 8 2 4 2 2 2 2" xfId="15372"/>
    <cellStyle name="Total 8 2 4 2 2 2 2 2" xfId="27970"/>
    <cellStyle name="Total 8 2 4 2 2 2 2 2 2" xfId="57149"/>
    <cellStyle name="Total 8 2 4 2 2 2 2 3" xfId="44553"/>
    <cellStyle name="Total 8 2 4 2 2 2 3" xfId="23542"/>
    <cellStyle name="Total 8 2 4 2 2 2 3 2" xfId="52721"/>
    <cellStyle name="Total 8 2 4 2 2 2 4" xfId="35854"/>
    <cellStyle name="Total 8 2 4 2 2 3" xfId="10221"/>
    <cellStyle name="Total 8 2 4 2 2 3 2" xfId="17914"/>
    <cellStyle name="Total 8 2 4 2 2 3 2 2" xfId="29438"/>
    <cellStyle name="Total 8 2 4 2 2 3 2 2 2" xfId="58617"/>
    <cellStyle name="Total 8 2 4 2 2 3 2 3" xfId="47095"/>
    <cellStyle name="Total 8 2 4 2 2 3 3" xfId="25010"/>
    <cellStyle name="Total 8 2 4 2 2 3 3 2" xfId="54189"/>
    <cellStyle name="Total 8 2 4 2 2 3 4" xfId="39404"/>
    <cellStyle name="Total 8 2 4 2 2 4" xfId="13103"/>
    <cellStyle name="Total 8 2 4 2 2 4 2" xfId="26530"/>
    <cellStyle name="Total 8 2 4 2 2 4 2 2" xfId="55709"/>
    <cellStyle name="Total 8 2 4 2 2 4 3" xfId="42284"/>
    <cellStyle name="Total 8 2 4 2 2 5" xfId="22102"/>
    <cellStyle name="Total 8 2 4 2 2 5 2" xfId="51281"/>
    <cellStyle name="Total 8 2 4 2 2 6" xfId="32902"/>
    <cellStyle name="Total 8 2 4 2 3" xfId="5231"/>
    <cellStyle name="Total 8 2 4 2 3 2" xfId="14250"/>
    <cellStyle name="Total 8 2 4 2 3 2 2" xfId="27250"/>
    <cellStyle name="Total 8 2 4 2 3 2 2 2" xfId="56429"/>
    <cellStyle name="Total 8 2 4 2 3 2 3" xfId="43431"/>
    <cellStyle name="Total 8 2 4 2 3 3" xfId="22822"/>
    <cellStyle name="Total 8 2 4 2 3 3 2" xfId="52001"/>
    <cellStyle name="Total 8 2 4 2 3 4" xfId="34414"/>
    <cellStyle name="Total 8 2 4 2 4" xfId="10162"/>
    <cellStyle name="Total 8 2 4 2 4 2" xfId="17872"/>
    <cellStyle name="Total 8 2 4 2 4 2 2" xfId="29413"/>
    <cellStyle name="Total 8 2 4 2 4 2 2 2" xfId="58592"/>
    <cellStyle name="Total 8 2 4 2 4 2 3" xfId="47053"/>
    <cellStyle name="Total 8 2 4 2 4 3" xfId="24985"/>
    <cellStyle name="Total 8 2 4 2 4 3 2" xfId="54164"/>
    <cellStyle name="Total 8 2 4 2 4 4" xfId="39345"/>
    <cellStyle name="Total 8 2 4 2 5" xfId="11827"/>
    <cellStyle name="Total 8 2 4 2 5 2" xfId="25810"/>
    <cellStyle name="Total 8 2 4 2 5 2 2" xfId="54989"/>
    <cellStyle name="Total 8 2 4 2 5 3" xfId="41008"/>
    <cellStyle name="Total 8 2 4 2 6" xfId="21382"/>
    <cellStyle name="Total 8 2 4 2 6 2" xfId="50561"/>
    <cellStyle name="Total 8 2 4 2 7" xfId="31102"/>
    <cellStyle name="Total 8 2 4 3" xfId="2819"/>
    <cellStyle name="Total 8 2 4 3 2" xfId="5951"/>
    <cellStyle name="Total 8 2 4 3 2 2" xfId="14814"/>
    <cellStyle name="Total 8 2 4 3 2 2 2" xfId="27610"/>
    <cellStyle name="Total 8 2 4 3 2 2 2 2" xfId="56789"/>
    <cellStyle name="Total 8 2 4 3 2 2 3" xfId="43995"/>
    <cellStyle name="Total 8 2 4 3 2 3" xfId="23182"/>
    <cellStyle name="Total 8 2 4 3 2 3 2" xfId="52361"/>
    <cellStyle name="Total 8 2 4 3 2 4" xfId="35134"/>
    <cellStyle name="Total 8 2 4 3 3" xfId="9170"/>
    <cellStyle name="Total 8 2 4 3 3 2" xfId="17170"/>
    <cellStyle name="Total 8 2 4 3 3 2 2" xfId="29020"/>
    <cellStyle name="Total 8 2 4 3 3 2 2 2" xfId="58199"/>
    <cellStyle name="Total 8 2 4 3 3 2 3" xfId="46351"/>
    <cellStyle name="Total 8 2 4 3 3 3" xfId="24592"/>
    <cellStyle name="Total 8 2 4 3 3 3 2" xfId="53771"/>
    <cellStyle name="Total 8 2 4 3 3 4" xfId="38353"/>
    <cellStyle name="Total 8 2 4 3 4" xfId="12464"/>
    <cellStyle name="Total 8 2 4 3 4 2" xfId="26170"/>
    <cellStyle name="Total 8 2 4 3 4 2 2" xfId="55349"/>
    <cellStyle name="Total 8 2 4 3 4 3" xfId="41645"/>
    <cellStyle name="Total 8 2 4 3 5" xfId="21742"/>
    <cellStyle name="Total 8 2 4 3 5 2" xfId="50921"/>
    <cellStyle name="Total 8 2 4 3 6" xfId="32002"/>
    <cellStyle name="Total 8 2 4 4" xfId="4511"/>
    <cellStyle name="Total 8 2 4 4 2" xfId="13693"/>
    <cellStyle name="Total 8 2 4 4 2 2" xfId="26890"/>
    <cellStyle name="Total 8 2 4 4 2 2 2" xfId="56069"/>
    <cellStyle name="Total 8 2 4 4 2 3" xfId="42874"/>
    <cellStyle name="Total 8 2 4 4 3" xfId="22462"/>
    <cellStyle name="Total 8 2 4 4 3 2" xfId="51641"/>
    <cellStyle name="Total 8 2 4 4 4" xfId="33694"/>
    <cellStyle name="Total 8 2 4 5" xfId="10408"/>
    <cellStyle name="Total 8 2 4 5 2" xfId="18044"/>
    <cellStyle name="Total 8 2 4 5 2 2" xfId="29509"/>
    <cellStyle name="Total 8 2 4 5 2 2 2" xfId="58688"/>
    <cellStyle name="Total 8 2 4 5 2 3" xfId="47225"/>
    <cellStyle name="Total 8 2 4 5 3" xfId="25081"/>
    <cellStyle name="Total 8 2 4 5 3 2" xfId="54260"/>
    <cellStyle name="Total 8 2 4 5 4" xfId="39591"/>
    <cellStyle name="Total 8 2 4 6" xfId="11190"/>
    <cellStyle name="Total 8 2 4 6 2" xfId="25447"/>
    <cellStyle name="Total 8 2 4 6 2 2" xfId="54626"/>
    <cellStyle name="Total 8 2 4 6 3" xfId="40371"/>
    <cellStyle name="Total 8 2 4 7" xfId="21019"/>
    <cellStyle name="Total 8 2 4 7 2" xfId="50198"/>
    <cellStyle name="Total 8 2 4 8" xfId="30199"/>
    <cellStyle name="Total 8 2 5" xfId="1159"/>
    <cellStyle name="Total 8 2 5 2" xfId="2063"/>
    <cellStyle name="Total 8 2 5 2 2" xfId="3863"/>
    <cellStyle name="Total 8 2 5 2 2 2" xfId="6788"/>
    <cellStyle name="Total 8 2 5 2 2 2 2" xfId="15464"/>
    <cellStyle name="Total 8 2 5 2 2 2 2 2" xfId="28033"/>
    <cellStyle name="Total 8 2 5 2 2 2 2 2 2" xfId="57212"/>
    <cellStyle name="Total 8 2 5 2 2 2 2 3" xfId="44645"/>
    <cellStyle name="Total 8 2 5 2 2 2 3" xfId="23605"/>
    <cellStyle name="Total 8 2 5 2 2 2 3 2" xfId="52784"/>
    <cellStyle name="Total 8 2 5 2 2 2 4" xfId="35971"/>
    <cellStyle name="Total 8 2 5 2 2 3" xfId="9199"/>
    <cellStyle name="Total 8 2 5 2 2 3 2" xfId="17194"/>
    <cellStyle name="Total 8 2 5 2 2 3 2 2" xfId="29030"/>
    <cellStyle name="Total 8 2 5 2 2 3 2 2 2" xfId="58209"/>
    <cellStyle name="Total 8 2 5 2 2 3 2 3" xfId="46375"/>
    <cellStyle name="Total 8 2 5 2 2 3 3" xfId="24602"/>
    <cellStyle name="Total 8 2 5 2 2 3 3 2" xfId="53781"/>
    <cellStyle name="Total 8 2 5 2 2 3 4" xfId="38382"/>
    <cellStyle name="Total 8 2 5 2 2 4" xfId="13203"/>
    <cellStyle name="Total 8 2 5 2 2 4 2" xfId="26593"/>
    <cellStyle name="Total 8 2 5 2 2 4 2 2" xfId="55772"/>
    <cellStyle name="Total 8 2 5 2 2 4 3" xfId="42384"/>
    <cellStyle name="Total 8 2 5 2 2 5" xfId="22165"/>
    <cellStyle name="Total 8 2 5 2 2 5 2" xfId="51344"/>
    <cellStyle name="Total 8 2 5 2 2 6" xfId="33046"/>
    <cellStyle name="Total 8 2 5 2 3" xfId="5348"/>
    <cellStyle name="Total 8 2 5 2 3 2" xfId="14343"/>
    <cellStyle name="Total 8 2 5 2 3 2 2" xfId="27313"/>
    <cellStyle name="Total 8 2 5 2 3 2 2 2" xfId="56492"/>
    <cellStyle name="Total 8 2 5 2 3 2 3" xfId="43524"/>
    <cellStyle name="Total 8 2 5 2 3 3" xfId="22885"/>
    <cellStyle name="Total 8 2 5 2 3 3 2" xfId="52064"/>
    <cellStyle name="Total 8 2 5 2 3 4" xfId="34531"/>
    <cellStyle name="Total 8 2 5 2 4" xfId="8085"/>
    <cellStyle name="Total 8 2 5 2 4 2" xfId="16385"/>
    <cellStyle name="Total 8 2 5 2 4 2 2" xfId="28593"/>
    <cellStyle name="Total 8 2 5 2 4 2 2 2" xfId="57772"/>
    <cellStyle name="Total 8 2 5 2 4 2 3" xfId="45566"/>
    <cellStyle name="Total 8 2 5 2 4 3" xfId="24165"/>
    <cellStyle name="Total 8 2 5 2 4 3 2" xfId="53344"/>
    <cellStyle name="Total 8 2 5 2 4 4" xfId="37268"/>
    <cellStyle name="Total 8 2 5 2 5" xfId="11928"/>
    <cellStyle name="Total 8 2 5 2 5 2" xfId="25873"/>
    <cellStyle name="Total 8 2 5 2 5 2 2" xfId="55052"/>
    <cellStyle name="Total 8 2 5 2 5 3" xfId="41109"/>
    <cellStyle name="Total 8 2 5 2 6" xfId="21445"/>
    <cellStyle name="Total 8 2 5 2 6 2" xfId="50624"/>
    <cellStyle name="Total 8 2 5 2 7" xfId="31246"/>
    <cellStyle name="Total 8 2 5 3" xfId="2963"/>
    <cellStyle name="Total 8 2 5 3 2" xfId="6068"/>
    <cellStyle name="Total 8 2 5 3 2 2" xfId="14905"/>
    <cellStyle name="Total 8 2 5 3 2 2 2" xfId="27673"/>
    <cellStyle name="Total 8 2 5 3 2 2 2 2" xfId="56852"/>
    <cellStyle name="Total 8 2 5 3 2 2 3" xfId="44086"/>
    <cellStyle name="Total 8 2 5 3 2 3" xfId="23245"/>
    <cellStyle name="Total 8 2 5 3 2 3 2" xfId="52424"/>
    <cellStyle name="Total 8 2 5 3 2 4" xfId="35251"/>
    <cellStyle name="Total 8 2 5 3 3" xfId="8850"/>
    <cellStyle name="Total 8 2 5 3 3 2" xfId="16940"/>
    <cellStyle name="Total 8 2 5 3 3 2 2" xfId="28892"/>
    <cellStyle name="Total 8 2 5 3 3 2 2 2" xfId="58071"/>
    <cellStyle name="Total 8 2 5 3 3 2 3" xfId="46121"/>
    <cellStyle name="Total 8 2 5 3 3 3" xfId="24464"/>
    <cellStyle name="Total 8 2 5 3 3 3 2" xfId="53643"/>
    <cellStyle name="Total 8 2 5 3 3 4" xfId="38033"/>
    <cellStyle name="Total 8 2 5 3 4" xfId="12567"/>
    <cellStyle name="Total 8 2 5 3 4 2" xfId="26233"/>
    <cellStyle name="Total 8 2 5 3 4 2 2" xfId="55412"/>
    <cellStyle name="Total 8 2 5 3 4 3" xfId="41748"/>
    <cellStyle name="Total 8 2 5 3 5" xfId="21805"/>
    <cellStyle name="Total 8 2 5 3 5 2" xfId="50984"/>
    <cellStyle name="Total 8 2 5 3 6" xfId="32146"/>
    <cellStyle name="Total 8 2 5 4" xfId="4628"/>
    <cellStyle name="Total 8 2 5 4 2" xfId="13786"/>
    <cellStyle name="Total 8 2 5 4 2 2" xfId="26953"/>
    <cellStyle name="Total 8 2 5 4 2 2 2" xfId="56132"/>
    <cellStyle name="Total 8 2 5 4 2 3" xfId="42967"/>
    <cellStyle name="Total 8 2 5 4 3" xfId="22525"/>
    <cellStyle name="Total 8 2 5 4 3 2" xfId="51704"/>
    <cellStyle name="Total 8 2 5 4 4" xfId="33811"/>
    <cellStyle name="Total 8 2 5 5" xfId="8537"/>
    <cellStyle name="Total 8 2 5 5 2" xfId="16706"/>
    <cellStyle name="Total 8 2 5 5 2 2" xfId="28759"/>
    <cellStyle name="Total 8 2 5 5 2 2 2" xfId="57938"/>
    <cellStyle name="Total 8 2 5 5 2 3" xfId="45887"/>
    <cellStyle name="Total 8 2 5 5 3" xfId="24331"/>
    <cellStyle name="Total 8 2 5 5 3 2" xfId="53510"/>
    <cellStyle name="Total 8 2 5 5 4" xfId="37720"/>
    <cellStyle name="Total 8 2 5 6" xfId="11296"/>
    <cellStyle name="Total 8 2 5 6 2" xfId="25513"/>
    <cellStyle name="Total 8 2 5 6 2 2" xfId="54692"/>
    <cellStyle name="Total 8 2 5 6 3" xfId="40477"/>
    <cellStyle name="Total 8 2 5 7" xfId="21085"/>
    <cellStyle name="Total 8 2 5 7 2" xfId="50264"/>
    <cellStyle name="Total 8 2 5 8" xfId="30346"/>
    <cellStyle name="Total 8 2 6" xfId="1305"/>
    <cellStyle name="Total 8 2 6 2" xfId="2207"/>
    <cellStyle name="Total 8 2 6 2 2" xfId="4007"/>
    <cellStyle name="Total 8 2 6 2 2 2" xfId="6905"/>
    <cellStyle name="Total 8 2 6 2 2 2 2" xfId="15559"/>
    <cellStyle name="Total 8 2 6 2 2 2 2 2" xfId="28096"/>
    <cellStyle name="Total 8 2 6 2 2 2 2 2 2" xfId="57275"/>
    <cellStyle name="Total 8 2 6 2 2 2 2 3" xfId="44740"/>
    <cellStyle name="Total 8 2 6 2 2 2 3" xfId="23668"/>
    <cellStyle name="Total 8 2 6 2 2 2 3 2" xfId="52847"/>
    <cellStyle name="Total 8 2 6 2 2 2 4" xfId="36088"/>
    <cellStyle name="Total 8 2 6 2 2 3" xfId="7073"/>
    <cellStyle name="Total 8 2 6 2 2 3 2" xfId="15673"/>
    <cellStyle name="Total 8 2 6 2 2 3 2 2" xfId="28172"/>
    <cellStyle name="Total 8 2 6 2 2 3 2 2 2" xfId="57351"/>
    <cellStyle name="Total 8 2 6 2 2 3 2 3" xfId="44854"/>
    <cellStyle name="Total 8 2 6 2 2 3 3" xfId="23744"/>
    <cellStyle name="Total 8 2 6 2 2 3 3 2" xfId="52923"/>
    <cellStyle name="Total 8 2 6 2 2 3 4" xfId="36256"/>
    <cellStyle name="Total 8 2 6 2 2 4" xfId="13308"/>
    <cellStyle name="Total 8 2 6 2 2 4 2" xfId="26656"/>
    <cellStyle name="Total 8 2 6 2 2 4 2 2" xfId="55835"/>
    <cellStyle name="Total 8 2 6 2 2 4 3" xfId="42489"/>
    <cellStyle name="Total 8 2 6 2 2 5" xfId="22228"/>
    <cellStyle name="Total 8 2 6 2 2 5 2" xfId="51407"/>
    <cellStyle name="Total 8 2 6 2 2 6" xfId="33190"/>
    <cellStyle name="Total 8 2 6 2 3" xfId="5465"/>
    <cellStyle name="Total 8 2 6 2 3 2" xfId="14439"/>
    <cellStyle name="Total 8 2 6 2 3 2 2" xfId="27376"/>
    <cellStyle name="Total 8 2 6 2 3 2 2 2" xfId="56555"/>
    <cellStyle name="Total 8 2 6 2 3 2 3" xfId="43620"/>
    <cellStyle name="Total 8 2 6 2 3 3" xfId="22948"/>
    <cellStyle name="Total 8 2 6 2 3 3 2" xfId="52127"/>
    <cellStyle name="Total 8 2 6 2 3 4" xfId="34648"/>
    <cellStyle name="Total 8 2 6 2 4" xfId="8663"/>
    <cellStyle name="Total 8 2 6 2 4 2" xfId="16798"/>
    <cellStyle name="Total 8 2 6 2 4 2 2" xfId="28813"/>
    <cellStyle name="Total 8 2 6 2 4 2 2 2" xfId="57992"/>
    <cellStyle name="Total 8 2 6 2 4 2 3" xfId="45979"/>
    <cellStyle name="Total 8 2 6 2 4 3" xfId="24385"/>
    <cellStyle name="Total 8 2 6 2 4 3 2" xfId="53564"/>
    <cellStyle name="Total 8 2 6 2 4 4" xfId="37846"/>
    <cellStyle name="Total 8 2 6 2 5" xfId="12032"/>
    <cellStyle name="Total 8 2 6 2 5 2" xfId="25936"/>
    <cellStyle name="Total 8 2 6 2 5 2 2" xfId="55115"/>
    <cellStyle name="Total 8 2 6 2 5 3" xfId="41213"/>
    <cellStyle name="Total 8 2 6 2 6" xfId="21508"/>
    <cellStyle name="Total 8 2 6 2 6 2" xfId="50687"/>
    <cellStyle name="Total 8 2 6 2 7" xfId="31390"/>
    <cellStyle name="Total 8 2 6 3" xfId="3107"/>
    <cellStyle name="Total 8 2 6 3 2" xfId="6185"/>
    <cellStyle name="Total 8 2 6 3 2 2" xfId="15000"/>
    <cellStyle name="Total 8 2 6 3 2 2 2" xfId="27736"/>
    <cellStyle name="Total 8 2 6 3 2 2 2 2" xfId="56915"/>
    <cellStyle name="Total 8 2 6 3 2 2 3" xfId="44181"/>
    <cellStyle name="Total 8 2 6 3 2 3" xfId="23308"/>
    <cellStyle name="Total 8 2 6 3 2 3 2" xfId="52487"/>
    <cellStyle name="Total 8 2 6 3 2 4" xfId="35368"/>
    <cellStyle name="Total 8 2 6 3 3" xfId="10189"/>
    <cellStyle name="Total 8 2 6 3 3 2" xfId="17894"/>
    <cellStyle name="Total 8 2 6 3 3 2 2" xfId="29425"/>
    <cellStyle name="Total 8 2 6 3 3 2 2 2" xfId="58604"/>
    <cellStyle name="Total 8 2 6 3 3 2 3" xfId="47075"/>
    <cellStyle name="Total 8 2 6 3 3 3" xfId="24997"/>
    <cellStyle name="Total 8 2 6 3 3 3 2" xfId="54176"/>
    <cellStyle name="Total 8 2 6 3 3 4" xfId="39372"/>
    <cellStyle name="Total 8 2 6 3 4" xfId="12670"/>
    <cellStyle name="Total 8 2 6 3 4 2" xfId="26296"/>
    <cellStyle name="Total 8 2 6 3 4 2 2" xfId="55475"/>
    <cellStyle name="Total 8 2 6 3 4 3" xfId="41851"/>
    <cellStyle name="Total 8 2 6 3 5" xfId="21868"/>
    <cellStyle name="Total 8 2 6 3 5 2" xfId="51047"/>
    <cellStyle name="Total 8 2 6 3 6" xfId="32290"/>
    <cellStyle name="Total 8 2 6 4" xfId="4745"/>
    <cellStyle name="Total 8 2 6 4 2" xfId="13877"/>
    <cellStyle name="Total 8 2 6 4 2 2" xfId="27016"/>
    <cellStyle name="Total 8 2 6 4 2 2 2" xfId="56195"/>
    <cellStyle name="Total 8 2 6 4 2 3" xfId="43058"/>
    <cellStyle name="Total 8 2 6 4 3" xfId="22588"/>
    <cellStyle name="Total 8 2 6 4 3 2" xfId="51767"/>
    <cellStyle name="Total 8 2 6 4 4" xfId="33928"/>
    <cellStyle name="Total 8 2 6 5" xfId="9678"/>
    <cellStyle name="Total 8 2 6 5 2" xfId="17527"/>
    <cellStyle name="Total 8 2 6 5 2 2" xfId="29221"/>
    <cellStyle name="Total 8 2 6 5 2 2 2" xfId="58400"/>
    <cellStyle name="Total 8 2 6 5 2 3" xfId="46708"/>
    <cellStyle name="Total 8 2 6 5 3" xfId="24793"/>
    <cellStyle name="Total 8 2 6 5 3 2" xfId="53972"/>
    <cellStyle name="Total 8 2 6 5 4" xfId="38861"/>
    <cellStyle name="Total 8 2 6 6" xfId="11402"/>
    <cellStyle name="Total 8 2 6 6 2" xfId="25576"/>
    <cellStyle name="Total 8 2 6 6 2 2" xfId="54755"/>
    <cellStyle name="Total 8 2 6 6 3" xfId="40583"/>
    <cellStyle name="Total 8 2 6 7" xfId="21148"/>
    <cellStyle name="Total 8 2 6 7 2" xfId="50327"/>
    <cellStyle name="Total 8 2 6 8" xfId="30490"/>
    <cellStyle name="Total 8 2 7" xfId="1487"/>
    <cellStyle name="Total 8 2 7 2" xfId="3287"/>
    <cellStyle name="Total 8 2 7 2 2" xfId="6329"/>
    <cellStyle name="Total 8 2 7 2 2 2" xfId="15103"/>
    <cellStyle name="Total 8 2 7 2 2 2 2" xfId="27808"/>
    <cellStyle name="Total 8 2 7 2 2 2 2 2" xfId="56987"/>
    <cellStyle name="Total 8 2 7 2 2 2 3" xfId="44284"/>
    <cellStyle name="Total 8 2 7 2 2 3" xfId="23380"/>
    <cellStyle name="Total 8 2 7 2 2 3 2" xfId="52559"/>
    <cellStyle name="Total 8 2 7 2 2 4" xfId="35512"/>
    <cellStyle name="Total 8 2 7 2 3" xfId="7161"/>
    <cellStyle name="Total 8 2 7 2 3 2" xfId="15741"/>
    <cellStyle name="Total 8 2 7 2 3 2 2" xfId="28218"/>
    <cellStyle name="Total 8 2 7 2 3 2 2 2" xfId="57397"/>
    <cellStyle name="Total 8 2 7 2 3 2 3" xfId="44922"/>
    <cellStyle name="Total 8 2 7 2 3 3" xfId="23790"/>
    <cellStyle name="Total 8 2 7 2 3 3 2" xfId="52969"/>
    <cellStyle name="Total 8 2 7 2 3 4" xfId="36344"/>
    <cellStyle name="Total 8 2 7 2 4" xfId="12794"/>
    <cellStyle name="Total 8 2 7 2 4 2" xfId="26368"/>
    <cellStyle name="Total 8 2 7 2 4 2 2" xfId="55547"/>
    <cellStyle name="Total 8 2 7 2 4 3" xfId="41975"/>
    <cellStyle name="Total 8 2 7 2 5" xfId="21940"/>
    <cellStyle name="Total 8 2 7 2 5 2" xfId="51119"/>
    <cellStyle name="Total 8 2 7 2 6" xfId="32470"/>
    <cellStyle name="Total 8 2 7 3" xfId="4889"/>
    <cellStyle name="Total 8 2 7 3 2" xfId="13979"/>
    <cellStyle name="Total 8 2 7 3 2 2" xfId="27088"/>
    <cellStyle name="Total 8 2 7 3 2 2 2" xfId="56267"/>
    <cellStyle name="Total 8 2 7 3 2 3" xfId="43160"/>
    <cellStyle name="Total 8 2 7 3 3" xfId="22660"/>
    <cellStyle name="Total 8 2 7 3 3 2" xfId="51839"/>
    <cellStyle name="Total 8 2 7 3 4" xfId="34072"/>
    <cellStyle name="Total 8 2 7 4" xfId="8212"/>
    <cellStyle name="Total 8 2 7 4 2" xfId="16477"/>
    <cellStyle name="Total 8 2 7 4 2 2" xfId="28639"/>
    <cellStyle name="Total 8 2 7 4 2 2 2" xfId="57818"/>
    <cellStyle name="Total 8 2 7 4 2 3" xfId="45658"/>
    <cellStyle name="Total 8 2 7 4 3" xfId="24211"/>
    <cellStyle name="Total 8 2 7 4 3 2" xfId="53390"/>
    <cellStyle name="Total 8 2 7 4 4" xfId="37395"/>
    <cellStyle name="Total 8 2 7 5" xfId="11524"/>
    <cellStyle name="Total 8 2 7 5 2" xfId="25648"/>
    <cellStyle name="Total 8 2 7 5 2 2" xfId="54827"/>
    <cellStyle name="Total 8 2 7 5 3" xfId="40705"/>
    <cellStyle name="Total 8 2 7 6" xfId="21220"/>
    <cellStyle name="Total 8 2 7 6 2" xfId="50399"/>
    <cellStyle name="Total 8 2 7 7" xfId="30670"/>
    <cellStyle name="Total 8 2 8" xfId="2387"/>
    <cellStyle name="Total 8 2 8 2" xfId="5609"/>
    <cellStyle name="Total 8 2 8 2 2" xfId="14544"/>
    <cellStyle name="Total 8 2 8 2 2 2" xfId="27448"/>
    <cellStyle name="Total 8 2 8 2 2 2 2" xfId="56627"/>
    <cellStyle name="Total 8 2 8 2 2 3" xfId="43725"/>
    <cellStyle name="Total 8 2 8 2 3" xfId="23020"/>
    <cellStyle name="Total 8 2 8 2 3 2" xfId="52199"/>
    <cellStyle name="Total 8 2 8 2 4" xfId="34792"/>
    <cellStyle name="Total 8 2 8 3" xfId="7264"/>
    <cellStyle name="Total 8 2 8 3 2" xfId="15813"/>
    <cellStyle name="Total 8 2 8 3 2 2" xfId="28260"/>
    <cellStyle name="Total 8 2 8 3 2 2 2" xfId="57439"/>
    <cellStyle name="Total 8 2 8 3 2 3" xfId="44994"/>
    <cellStyle name="Total 8 2 8 3 3" xfId="23832"/>
    <cellStyle name="Total 8 2 8 3 3 2" xfId="53011"/>
    <cellStyle name="Total 8 2 8 3 4" xfId="36447"/>
    <cellStyle name="Total 8 2 8 4" xfId="12153"/>
    <cellStyle name="Total 8 2 8 4 2" xfId="26008"/>
    <cellStyle name="Total 8 2 8 4 2 2" xfId="55187"/>
    <cellStyle name="Total 8 2 8 4 3" xfId="41334"/>
    <cellStyle name="Total 8 2 8 5" xfId="21580"/>
    <cellStyle name="Total 8 2 8 5 2" xfId="50759"/>
    <cellStyle name="Total 8 2 8 6" xfId="31570"/>
    <cellStyle name="Total 8 2 9" xfId="4169"/>
    <cellStyle name="Total 8 2 9 2" xfId="13422"/>
    <cellStyle name="Total 8 2 9 2 2" xfId="26728"/>
    <cellStyle name="Total 8 2 9 2 2 2" xfId="55907"/>
    <cellStyle name="Total 8 2 9 2 3" xfId="42603"/>
    <cellStyle name="Total 8 2 9 3" xfId="22300"/>
    <cellStyle name="Total 8 2 9 3 2" xfId="51479"/>
    <cellStyle name="Total 8 2 9 4" xfId="33352"/>
    <cellStyle name="Total 8 3" xfId="509"/>
    <cellStyle name="Total 8 3 10" xfId="10807"/>
    <cellStyle name="Total 8 3 10 2" xfId="25206"/>
    <cellStyle name="Total 8 3 10 2 2" xfId="54385"/>
    <cellStyle name="Total 8 3 10 3" xfId="39988"/>
    <cellStyle name="Total 8 3 11" xfId="20778"/>
    <cellStyle name="Total 8 3 11 2" xfId="49957"/>
    <cellStyle name="Total 8 3 12" xfId="29715"/>
    <cellStyle name="Total 8 3 2" xfId="862"/>
    <cellStyle name="Total 8 3 2 2" xfId="1800"/>
    <cellStyle name="Total 8 3 2 2 2" xfId="3600"/>
    <cellStyle name="Total 8 3 2 2 2 2" xfId="6579"/>
    <cellStyle name="Total 8 3 2 2 2 2 2" xfId="15296"/>
    <cellStyle name="Total 8 3 2 2 2 2 2 2" xfId="27914"/>
    <cellStyle name="Total 8 3 2 2 2 2 2 2 2" xfId="57093"/>
    <cellStyle name="Total 8 3 2 2 2 2 2 3" xfId="44477"/>
    <cellStyle name="Total 8 3 2 2 2 2 3" xfId="23486"/>
    <cellStyle name="Total 8 3 2 2 2 2 3 2" xfId="52665"/>
    <cellStyle name="Total 8 3 2 2 2 2 4" xfId="35762"/>
    <cellStyle name="Total 8 3 2 2 2 3" xfId="7944"/>
    <cellStyle name="Total 8 3 2 2 2 3 2" xfId="16288"/>
    <cellStyle name="Total 8 3 2 2 2 3 2 2" xfId="28536"/>
    <cellStyle name="Total 8 3 2 2 2 3 2 2 2" xfId="57715"/>
    <cellStyle name="Total 8 3 2 2 2 3 2 3" xfId="45469"/>
    <cellStyle name="Total 8 3 2 2 2 3 3" xfId="24108"/>
    <cellStyle name="Total 8 3 2 2 2 3 3 2" xfId="53287"/>
    <cellStyle name="Total 8 3 2 2 2 3 4" xfId="37127"/>
    <cellStyle name="Total 8 3 2 2 2 4" xfId="13012"/>
    <cellStyle name="Total 8 3 2 2 2 4 2" xfId="26474"/>
    <cellStyle name="Total 8 3 2 2 2 4 2 2" xfId="55653"/>
    <cellStyle name="Total 8 3 2 2 2 4 3" xfId="42193"/>
    <cellStyle name="Total 8 3 2 2 2 5" xfId="22046"/>
    <cellStyle name="Total 8 3 2 2 2 5 2" xfId="51225"/>
    <cellStyle name="Total 8 3 2 2 2 6" xfId="32783"/>
    <cellStyle name="Total 8 3 2 2 3" xfId="5139"/>
    <cellStyle name="Total 8 3 2 2 3 2" xfId="14173"/>
    <cellStyle name="Total 8 3 2 2 3 2 2" xfId="27194"/>
    <cellStyle name="Total 8 3 2 2 3 2 2 2" xfId="56373"/>
    <cellStyle name="Total 8 3 2 2 3 2 3" xfId="43354"/>
    <cellStyle name="Total 8 3 2 2 3 3" xfId="22766"/>
    <cellStyle name="Total 8 3 2 2 3 3 2" xfId="51945"/>
    <cellStyle name="Total 8 3 2 2 3 4" xfId="34322"/>
    <cellStyle name="Total 8 3 2 2 4" xfId="8130"/>
    <cellStyle name="Total 8 3 2 2 4 2" xfId="16416"/>
    <cellStyle name="Total 8 3 2 2 4 2 2" xfId="28609"/>
    <cellStyle name="Total 8 3 2 2 4 2 2 2" xfId="57788"/>
    <cellStyle name="Total 8 3 2 2 4 2 3" xfId="45597"/>
    <cellStyle name="Total 8 3 2 2 4 3" xfId="24181"/>
    <cellStyle name="Total 8 3 2 2 4 3 2" xfId="53360"/>
    <cellStyle name="Total 8 3 2 2 4 4" xfId="37313"/>
    <cellStyle name="Total 8 3 2 2 5" xfId="11738"/>
    <cellStyle name="Total 8 3 2 2 5 2" xfId="25754"/>
    <cellStyle name="Total 8 3 2 2 5 2 2" xfId="54933"/>
    <cellStyle name="Total 8 3 2 2 5 3" xfId="40919"/>
    <cellStyle name="Total 8 3 2 2 6" xfId="21326"/>
    <cellStyle name="Total 8 3 2 2 6 2" xfId="50505"/>
    <cellStyle name="Total 8 3 2 2 7" xfId="30983"/>
    <cellStyle name="Total 8 3 2 3" xfId="2700"/>
    <cellStyle name="Total 8 3 2 3 2" xfId="5859"/>
    <cellStyle name="Total 8 3 2 3 2 2" xfId="14740"/>
    <cellStyle name="Total 8 3 2 3 2 2 2" xfId="27554"/>
    <cellStyle name="Total 8 3 2 3 2 2 2 2" xfId="56733"/>
    <cellStyle name="Total 8 3 2 3 2 2 3" xfId="43921"/>
    <cellStyle name="Total 8 3 2 3 2 3" xfId="23126"/>
    <cellStyle name="Total 8 3 2 3 2 3 2" xfId="52305"/>
    <cellStyle name="Total 8 3 2 3 2 4" xfId="35042"/>
    <cellStyle name="Total 8 3 2 3 3" xfId="8895"/>
    <cellStyle name="Total 8 3 2 3 3 2" xfId="16976"/>
    <cellStyle name="Total 8 3 2 3 3 2 2" xfId="28911"/>
    <cellStyle name="Total 8 3 2 3 3 2 2 2" xfId="58090"/>
    <cellStyle name="Total 8 3 2 3 3 2 3" xfId="46157"/>
    <cellStyle name="Total 8 3 2 3 3 3" xfId="24483"/>
    <cellStyle name="Total 8 3 2 3 3 3 2" xfId="53662"/>
    <cellStyle name="Total 8 3 2 3 3 4" xfId="38078"/>
    <cellStyle name="Total 8 3 2 3 4" xfId="12375"/>
    <cellStyle name="Total 8 3 2 3 4 2" xfId="26114"/>
    <cellStyle name="Total 8 3 2 3 4 2 2" xfId="55293"/>
    <cellStyle name="Total 8 3 2 3 4 3" xfId="41556"/>
    <cellStyle name="Total 8 3 2 3 5" xfId="21686"/>
    <cellStyle name="Total 8 3 2 3 5 2" xfId="50865"/>
    <cellStyle name="Total 8 3 2 3 6" xfId="31883"/>
    <cellStyle name="Total 8 3 2 4" xfId="4419"/>
    <cellStyle name="Total 8 3 2 4 2" xfId="13617"/>
    <cellStyle name="Total 8 3 2 4 2 2" xfId="26834"/>
    <cellStyle name="Total 8 3 2 4 2 2 2" xfId="56013"/>
    <cellStyle name="Total 8 3 2 4 2 3" xfId="42798"/>
    <cellStyle name="Total 8 3 2 4 3" xfId="22406"/>
    <cellStyle name="Total 8 3 2 4 3 2" xfId="51585"/>
    <cellStyle name="Total 8 3 2 4 4" xfId="33602"/>
    <cellStyle name="Total 8 3 2 5" xfId="7326"/>
    <cellStyle name="Total 8 3 2 5 2" xfId="15857"/>
    <cellStyle name="Total 8 3 2 5 2 2" xfId="28289"/>
    <cellStyle name="Total 8 3 2 5 2 2 2" xfId="57468"/>
    <cellStyle name="Total 8 3 2 5 2 3" xfId="45038"/>
    <cellStyle name="Total 8 3 2 5 3" xfId="23861"/>
    <cellStyle name="Total 8 3 2 5 3 2" xfId="53040"/>
    <cellStyle name="Total 8 3 2 5 4" xfId="36509"/>
    <cellStyle name="Total 8 3 2 6" xfId="11077"/>
    <cellStyle name="Total 8 3 2 6 2" xfId="25370"/>
    <cellStyle name="Total 8 3 2 6 2 2" xfId="54549"/>
    <cellStyle name="Total 8 3 2 6 3" xfId="40258"/>
    <cellStyle name="Total 8 3 2 7" xfId="20942"/>
    <cellStyle name="Total 8 3 2 7 2" xfId="50121"/>
    <cellStyle name="Total 8 3 2 8" xfId="30059"/>
    <cellStyle name="Total 8 3 3" xfId="1054"/>
    <cellStyle name="Total 8 3 3 2" xfId="1964"/>
    <cellStyle name="Total 8 3 3 2 2" xfId="3764"/>
    <cellStyle name="Total 8 3 3 2 2 2" xfId="6707"/>
    <cellStyle name="Total 8 3 3 2 2 2 2" xfId="15401"/>
    <cellStyle name="Total 8 3 3 2 2 2 2 2" xfId="27988"/>
    <cellStyle name="Total 8 3 3 2 2 2 2 2 2" xfId="57167"/>
    <cellStyle name="Total 8 3 3 2 2 2 2 3" xfId="44582"/>
    <cellStyle name="Total 8 3 3 2 2 2 3" xfId="23560"/>
    <cellStyle name="Total 8 3 3 2 2 2 3 2" xfId="52739"/>
    <cellStyle name="Total 8 3 3 2 2 2 4" xfId="35890"/>
    <cellStyle name="Total 8 3 3 2 2 3" xfId="7775"/>
    <cellStyle name="Total 8 3 3 2 2 3 2" xfId="16166"/>
    <cellStyle name="Total 8 3 3 2 2 3 2 2" xfId="28467"/>
    <cellStyle name="Total 8 3 3 2 2 3 2 2 2" xfId="57646"/>
    <cellStyle name="Total 8 3 3 2 2 3 2 3" xfId="45347"/>
    <cellStyle name="Total 8 3 3 2 2 3 3" xfId="24039"/>
    <cellStyle name="Total 8 3 3 2 2 3 3 2" xfId="53218"/>
    <cellStyle name="Total 8 3 3 2 2 3 4" xfId="36958"/>
    <cellStyle name="Total 8 3 3 2 2 4" xfId="13134"/>
    <cellStyle name="Total 8 3 3 2 2 4 2" xfId="26548"/>
    <cellStyle name="Total 8 3 3 2 2 4 2 2" xfId="55727"/>
    <cellStyle name="Total 8 3 3 2 2 4 3" xfId="42315"/>
    <cellStyle name="Total 8 3 3 2 2 5" xfId="22120"/>
    <cellStyle name="Total 8 3 3 2 2 5 2" xfId="51299"/>
    <cellStyle name="Total 8 3 3 2 2 6" xfId="32947"/>
    <cellStyle name="Total 8 3 3 2 3" xfId="5267"/>
    <cellStyle name="Total 8 3 3 2 3 2" xfId="14280"/>
    <cellStyle name="Total 8 3 3 2 3 2 2" xfId="27268"/>
    <cellStyle name="Total 8 3 3 2 3 2 2 2" xfId="56447"/>
    <cellStyle name="Total 8 3 3 2 3 2 3" xfId="43461"/>
    <cellStyle name="Total 8 3 3 2 3 3" xfId="22840"/>
    <cellStyle name="Total 8 3 3 2 3 3 2" xfId="52019"/>
    <cellStyle name="Total 8 3 3 2 3 4" xfId="34450"/>
    <cellStyle name="Total 8 3 3 2 4" xfId="8009"/>
    <cellStyle name="Total 8 3 3 2 4 2" xfId="16332"/>
    <cellStyle name="Total 8 3 3 2 4 2 2" xfId="28559"/>
    <cellStyle name="Total 8 3 3 2 4 2 2 2" xfId="57738"/>
    <cellStyle name="Total 8 3 3 2 4 2 3" xfId="45513"/>
    <cellStyle name="Total 8 3 3 2 4 3" xfId="24131"/>
    <cellStyle name="Total 8 3 3 2 4 3 2" xfId="53310"/>
    <cellStyle name="Total 8 3 3 2 4 4" xfId="37192"/>
    <cellStyle name="Total 8 3 3 2 5" xfId="11858"/>
    <cellStyle name="Total 8 3 3 2 5 2" xfId="25828"/>
    <cellStyle name="Total 8 3 3 2 5 2 2" xfId="55007"/>
    <cellStyle name="Total 8 3 3 2 5 3" xfId="41039"/>
    <cellStyle name="Total 8 3 3 2 6" xfId="21400"/>
    <cellStyle name="Total 8 3 3 2 6 2" xfId="50579"/>
    <cellStyle name="Total 8 3 3 2 7" xfId="31147"/>
    <cellStyle name="Total 8 3 3 3" xfId="2864"/>
    <cellStyle name="Total 8 3 3 3 2" xfId="5987"/>
    <cellStyle name="Total 8 3 3 3 2 2" xfId="14844"/>
    <cellStyle name="Total 8 3 3 3 2 2 2" xfId="27628"/>
    <cellStyle name="Total 8 3 3 3 2 2 2 2" xfId="56807"/>
    <cellStyle name="Total 8 3 3 3 2 2 3" xfId="44025"/>
    <cellStyle name="Total 8 3 3 3 2 3" xfId="23200"/>
    <cellStyle name="Total 8 3 3 3 2 3 2" xfId="52379"/>
    <cellStyle name="Total 8 3 3 3 2 4" xfId="35170"/>
    <cellStyle name="Total 8 3 3 3 3" xfId="8774"/>
    <cellStyle name="Total 8 3 3 3 3 2" xfId="16879"/>
    <cellStyle name="Total 8 3 3 3 3 2 2" xfId="28859"/>
    <cellStyle name="Total 8 3 3 3 3 2 2 2" xfId="58038"/>
    <cellStyle name="Total 8 3 3 3 3 2 3" xfId="46060"/>
    <cellStyle name="Total 8 3 3 3 3 3" xfId="24431"/>
    <cellStyle name="Total 8 3 3 3 3 3 2" xfId="53610"/>
    <cellStyle name="Total 8 3 3 3 3 4" xfId="37957"/>
    <cellStyle name="Total 8 3 3 3 4" xfId="12497"/>
    <cellStyle name="Total 8 3 3 3 4 2" xfId="26188"/>
    <cellStyle name="Total 8 3 3 3 4 2 2" xfId="55367"/>
    <cellStyle name="Total 8 3 3 3 4 3" xfId="41678"/>
    <cellStyle name="Total 8 3 3 3 5" xfId="21760"/>
    <cellStyle name="Total 8 3 3 3 5 2" xfId="50939"/>
    <cellStyle name="Total 8 3 3 3 6" xfId="32047"/>
    <cellStyle name="Total 8 3 3 4" xfId="4547"/>
    <cellStyle name="Total 8 3 3 4 2" xfId="13723"/>
    <cellStyle name="Total 8 3 3 4 2 2" xfId="26908"/>
    <cellStyle name="Total 8 3 3 4 2 2 2" xfId="56087"/>
    <cellStyle name="Total 8 3 3 4 2 3" xfId="42904"/>
    <cellStyle name="Total 8 3 3 4 3" xfId="22480"/>
    <cellStyle name="Total 8 3 3 4 3 2" xfId="51659"/>
    <cellStyle name="Total 8 3 3 4 4" xfId="33730"/>
    <cellStyle name="Total 8 3 3 5" xfId="10251"/>
    <cellStyle name="Total 8 3 3 5 2" xfId="17937"/>
    <cellStyle name="Total 8 3 3 5 2 2" xfId="29452"/>
    <cellStyle name="Total 8 3 3 5 2 2 2" xfId="58631"/>
    <cellStyle name="Total 8 3 3 5 2 3" xfId="47118"/>
    <cellStyle name="Total 8 3 3 5 3" xfId="25024"/>
    <cellStyle name="Total 8 3 3 5 3 2" xfId="54203"/>
    <cellStyle name="Total 8 3 3 5 4" xfId="39434"/>
    <cellStyle name="Total 8 3 3 6" xfId="11221"/>
    <cellStyle name="Total 8 3 3 6 2" xfId="25465"/>
    <cellStyle name="Total 8 3 3 6 2 2" xfId="54644"/>
    <cellStyle name="Total 8 3 3 6 3" xfId="40402"/>
    <cellStyle name="Total 8 3 3 7" xfId="21037"/>
    <cellStyle name="Total 8 3 3 7 2" xfId="50216"/>
    <cellStyle name="Total 8 3 3 8" xfId="30244"/>
    <cellStyle name="Total 8 3 4" xfId="1204"/>
    <cellStyle name="Total 8 3 4 2" xfId="2108"/>
    <cellStyle name="Total 8 3 4 2 2" xfId="3908"/>
    <cellStyle name="Total 8 3 4 2 2 2" xfId="6824"/>
    <cellStyle name="Total 8 3 4 2 2 2 2" xfId="15494"/>
    <cellStyle name="Total 8 3 4 2 2 2 2 2" xfId="28051"/>
    <cellStyle name="Total 8 3 4 2 2 2 2 2 2" xfId="57230"/>
    <cellStyle name="Total 8 3 4 2 2 2 2 3" xfId="44675"/>
    <cellStyle name="Total 8 3 4 2 2 2 3" xfId="23623"/>
    <cellStyle name="Total 8 3 4 2 2 2 3 2" xfId="52802"/>
    <cellStyle name="Total 8 3 4 2 2 2 4" xfId="36007"/>
    <cellStyle name="Total 8 3 4 2 2 3" xfId="8341"/>
    <cellStyle name="Total 8 3 4 2 2 3 2" xfId="16573"/>
    <cellStyle name="Total 8 3 4 2 2 3 2 2" xfId="28690"/>
    <cellStyle name="Total 8 3 4 2 2 3 2 2 2" xfId="57869"/>
    <cellStyle name="Total 8 3 4 2 2 3 2 3" xfId="45754"/>
    <cellStyle name="Total 8 3 4 2 2 3 3" xfId="24262"/>
    <cellStyle name="Total 8 3 4 2 2 3 3 2" xfId="53441"/>
    <cellStyle name="Total 8 3 4 2 2 3 4" xfId="37524"/>
    <cellStyle name="Total 8 3 4 2 2 4" xfId="13236"/>
    <cellStyle name="Total 8 3 4 2 2 4 2" xfId="26611"/>
    <cellStyle name="Total 8 3 4 2 2 4 2 2" xfId="55790"/>
    <cellStyle name="Total 8 3 4 2 2 4 3" xfId="42417"/>
    <cellStyle name="Total 8 3 4 2 2 5" xfId="22183"/>
    <cellStyle name="Total 8 3 4 2 2 5 2" xfId="51362"/>
    <cellStyle name="Total 8 3 4 2 2 6" xfId="33091"/>
    <cellStyle name="Total 8 3 4 2 3" xfId="5384"/>
    <cellStyle name="Total 8 3 4 2 3 2" xfId="14372"/>
    <cellStyle name="Total 8 3 4 2 3 2 2" xfId="27331"/>
    <cellStyle name="Total 8 3 4 2 3 2 2 2" xfId="56510"/>
    <cellStyle name="Total 8 3 4 2 3 2 3" xfId="43553"/>
    <cellStyle name="Total 8 3 4 2 3 3" xfId="22903"/>
    <cellStyle name="Total 8 3 4 2 3 3 2" xfId="52082"/>
    <cellStyle name="Total 8 3 4 2 3 4" xfId="34567"/>
    <cellStyle name="Total 8 3 4 2 4" xfId="7920"/>
    <cellStyle name="Total 8 3 4 2 4 2" xfId="16269"/>
    <cellStyle name="Total 8 3 4 2 4 2 2" xfId="28527"/>
    <cellStyle name="Total 8 3 4 2 4 2 2 2" xfId="57706"/>
    <cellStyle name="Total 8 3 4 2 4 2 3" xfId="45450"/>
    <cellStyle name="Total 8 3 4 2 4 3" xfId="24099"/>
    <cellStyle name="Total 8 3 4 2 4 3 2" xfId="53278"/>
    <cellStyle name="Total 8 3 4 2 4 4" xfId="37103"/>
    <cellStyle name="Total 8 3 4 2 5" xfId="11962"/>
    <cellStyle name="Total 8 3 4 2 5 2" xfId="25891"/>
    <cellStyle name="Total 8 3 4 2 5 2 2" xfId="55070"/>
    <cellStyle name="Total 8 3 4 2 5 3" xfId="41143"/>
    <cellStyle name="Total 8 3 4 2 6" xfId="21463"/>
    <cellStyle name="Total 8 3 4 2 6 2" xfId="50642"/>
    <cellStyle name="Total 8 3 4 2 7" xfId="31291"/>
    <cellStyle name="Total 8 3 4 3" xfId="3008"/>
    <cellStyle name="Total 8 3 4 3 2" xfId="6104"/>
    <cellStyle name="Total 8 3 4 3 2 2" xfId="14933"/>
    <cellStyle name="Total 8 3 4 3 2 2 2" xfId="27691"/>
    <cellStyle name="Total 8 3 4 3 2 2 2 2" xfId="56870"/>
    <cellStyle name="Total 8 3 4 3 2 2 3" xfId="44114"/>
    <cellStyle name="Total 8 3 4 3 2 3" xfId="23263"/>
    <cellStyle name="Total 8 3 4 3 2 3 2" xfId="52442"/>
    <cellStyle name="Total 8 3 4 3 2 4" xfId="35287"/>
    <cellStyle name="Total 8 3 4 3 3" xfId="8693"/>
    <cellStyle name="Total 8 3 4 3 3 2" xfId="16821"/>
    <cellStyle name="Total 8 3 4 3 3 2 2" xfId="28828"/>
    <cellStyle name="Total 8 3 4 3 3 2 2 2" xfId="58007"/>
    <cellStyle name="Total 8 3 4 3 3 2 3" xfId="46002"/>
    <cellStyle name="Total 8 3 4 3 3 3" xfId="24400"/>
    <cellStyle name="Total 8 3 4 3 3 3 2" xfId="53579"/>
    <cellStyle name="Total 8 3 4 3 3 4" xfId="37876"/>
    <cellStyle name="Total 8 3 4 3 4" xfId="12597"/>
    <cellStyle name="Total 8 3 4 3 4 2" xfId="26251"/>
    <cellStyle name="Total 8 3 4 3 4 2 2" xfId="55430"/>
    <cellStyle name="Total 8 3 4 3 4 3" xfId="41778"/>
    <cellStyle name="Total 8 3 4 3 5" xfId="21823"/>
    <cellStyle name="Total 8 3 4 3 5 2" xfId="51002"/>
    <cellStyle name="Total 8 3 4 3 6" xfId="32191"/>
    <cellStyle name="Total 8 3 4 4" xfId="4664"/>
    <cellStyle name="Total 8 3 4 4 2" xfId="13813"/>
    <cellStyle name="Total 8 3 4 4 2 2" xfId="26971"/>
    <cellStyle name="Total 8 3 4 4 2 2 2" xfId="56150"/>
    <cellStyle name="Total 8 3 4 4 2 3" xfId="42994"/>
    <cellStyle name="Total 8 3 4 4 3" xfId="22543"/>
    <cellStyle name="Total 8 3 4 4 3 2" xfId="51722"/>
    <cellStyle name="Total 8 3 4 4 4" xfId="33847"/>
    <cellStyle name="Total 8 3 4 5" xfId="8332"/>
    <cellStyle name="Total 8 3 4 5 2" xfId="16564"/>
    <cellStyle name="Total 8 3 4 5 2 2" xfId="28685"/>
    <cellStyle name="Total 8 3 4 5 2 2 2" xfId="57864"/>
    <cellStyle name="Total 8 3 4 5 2 3" xfId="45745"/>
    <cellStyle name="Total 8 3 4 5 3" xfId="24257"/>
    <cellStyle name="Total 8 3 4 5 3 2" xfId="53436"/>
    <cellStyle name="Total 8 3 4 5 4" xfId="37515"/>
    <cellStyle name="Total 8 3 4 6" xfId="11331"/>
    <cellStyle name="Total 8 3 4 6 2" xfId="25531"/>
    <cellStyle name="Total 8 3 4 6 2 2" xfId="54710"/>
    <cellStyle name="Total 8 3 4 6 3" xfId="40512"/>
    <cellStyle name="Total 8 3 4 7" xfId="21103"/>
    <cellStyle name="Total 8 3 4 7 2" xfId="50282"/>
    <cellStyle name="Total 8 3 4 8" xfId="30391"/>
    <cellStyle name="Total 8 3 5" xfId="1350"/>
    <cellStyle name="Total 8 3 5 2" xfId="2252"/>
    <cellStyle name="Total 8 3 5 2 2" xfId="4052"/>
    <cellStyle name="Total 8 3 5 2 2 2" xfId="6941"/>
    <cellStyle name="Total 8 3 5 2 2 2 2" xfId="15584"/>
    <cellStyle name="Total 8 3 5 2 2 2 2 2" xfId="28114"/>
    <cellStyle name="Total 8 3 5 2 2 2 2 2 2" xfId="57293"/>
    <cellStyle name="Total 8 3 5 2 2 2 2 3" xfId="44765"/>
    <cellStyle name="Total 8 3 5 2 2 2 3" xfId="23686"/>
    <cellStyle name="Total 8 3 5 2 2 2 3 2" xfId="52865"/>
    <cellStyle name="Total 8 3 5 2 2 2 4" xfId="36124"/>
    <cellStyle name="Total 8 3 5 2 2 3" xfId="7028"/>
    <cellStyle name="Total 8 3 5 2 2 3 2" xfId="15645"/>
    <cellStyle name="Total 8 3 5 2 2 3 2 2" xfId="28154"/>
    <cellStyle name="Total 8 3 5 2 2 3 2 2 2" xfId="57333"/>
    <cellStyle name="Total 8 3 5 2 2 3 2 3" xfId="44826"/>
    <cellStyle name="Total 8 3 5 2 2 3 3" xfId="23726"/>
    <cellStyle name="Total 8 3 5 2 2 3 3 2" xfId="52905"/>
    <cellStyle name="Total 8 3 5 2 2 3 4" xfId="36211"/>
    <cellStyle name="Total 8 3 5 2 2 4" xfId="13338"/>
    <cellStyle name="Total 8 3 5 2 2 4 2" xfId="26674"/>
    <cellStyle name="Total 8 3 5 2 2 4 2 2" xfId="55853"/>
    <cellStyle name="Total 8 3 5 2 2 4 3" xfId="42519"/>
    <cellStyle name="Total 8 3 5 2 2 5" xfId="22246"/>
    <cellStyle name="Total 8 3 5 2 2 5 2" xfId="51425"/>
    <cellStyle name="Total 8 3 5 2 2 6" xfId="33235"/>
    <cellStyle name="Total 8 3 5 2 3" xfId="5501"/>
    <cellStyle name="Total 8 3 5 2 3 2" xfId="14464"/>
    <cellStyle name="Total 8 3 5 2 3 2 2" xfId="27394"/>
    <cellStyle name="Total 8 3 5 2 3 2 2 2" xfId="56573"/>
    <cellStyle name="Total 8 3 5 2 3 2 3" xfId="43645"/>
    <cellStyle name="Total 8 3 5 2 3 3" xfId="22966"/>
    <cellStyle name="Total 8 3 5 2 3 3 2" xfId="52145"/>
    <cellStyle name="Total 8 3 5 2 3 4" xfId="34684"/>
    <cellStyle name="Total 8 3 5 2 4" xfId="7488"/>
    <cellStyle name="Total 8 3 5 2 4 2" xfId="15968"/>
    <cellStyle name="Total 8 3 5 2 4 2 2" xfId="28361"/>
    <cellStyle name="Total 8 3 5 2 4 2 2 2" xfId="57540"/>
    <cellStyle name="Total 8 3 5 2 4 2 3" xfId="45149"/>
    <cellStyle name="Total 8 3 5 2 4 3" xfId="23933"/>
    <cellStyle name="Total 8 3 5 2 4 3 2" xfId="53112"/>
    <cellStyle name="Total 8 3 5 2 4 4" xfId="36671"/>
    <cellStyle name="Total 8 3 5 2 5" xfId="12061"/>
    <cellStyle name="Total 8 3 5 2 5 2" xfId="25954"/>
    <cellStyle name="Total 8 3 5 2 5 2 2" xfId="55133"/>
    <cellStyle name="Total 8 3 5 2 5 3" xfId="41242"/>
    <cellStyle name="Total 8 3 5 2 6" xfId="21526"/>
    <cellStyle name="Total 8 3 5 2 6 2" xfId="50705"/>
    <cellStyle name="Total 8 3 5 2 7" xfId="31435"/>
    <cellStyle name="Total 8 3 5 3" xfId="3152"/>
    <cellStyle name="Total 8 3 5 3 2" xfId="6221"/>
    <cellStyle name="Total 8 3 5 3 2 2" xfId="15024"/>
    <cellStyle name="Total 8 3 5 3 2 2 2" xfId="27754"/>
    <cellStyle name="Total 8 3 5 3 2 2 2 2" xfId="56933"/>
    <cellStyle name="Total 8 3 5 3 2 2 3" xfId="44205"/>
    <cellStyle name="Total 8 3 5 3 2 3" xfId="23326"/>
    <cellStyle name="Total 8 3 5 3 2 3 2" xfId="52505"/>
    <cellStyle name="Total 8 3 5 3 2 4" xfId="35404"/>
    <cellStyle name="Total 8 3 5 3 3" xfId="7217"/>
    <cellStyle name="Total 8 3 5 3 3 2" xfId="15779"/>
    <cellStyle name="Total 8 3 5 3 3 2 2" xfId="28238"/>
    <cellStyle name="Total 8 3 5 3 3 2 2 2" xfId="57417"/>
    <cellStyle name="Total 8 3 5 3 3 2 3" xfId="44960"/>
    <cellStyle name="Total 8 3 5 3 3 3" xfId="23810"/>
    <cellStyle name="Total 8 3 5 3 3 3 2" xfId="52989"/>
    <cellStyle name="Total 8 3 5 3 3 4" xfId="36400"/>
    <cellStyle name="Total 8 3 5 3 4" xfId="12699"/>
    <cellStyle name="Total 8 3 5 3 4 2" xfId="26314"/>
    <cellStyle name="Total 8 3 5 3 4 2 2" xfId="55493"/>
    <cellStyle name="Total 8 3 5 3 4 3" xfId="41880"/>
    <cellStyle name="Total 8 3 5 3 5" xfId="21886"/>
    <cellStyle name="Total 8 3 5 3 5 2" xfId="51065"/>
    <cellStyle name="Total 8 3 5 3 6" xfId="32335"/>
    <cellStyle name="Total 8 3 5 4" xfId="4781"/>
    <cellStyle name="Total 8 3 5 4 2" xfId="13901"/>
    <cellStyle name="Total 8 3 5 4 2 2" xfId="27034"/>
    <cellStyle name="Total 8 3 5 4 2 2 2" xfId="56213"/>
    <cellStyle name="Total 8 3 5 4 2 3" xfId="43082"/>
    <cellStyle name="Total 8 3 5 4 3" xfId="22606"/>
    <cellStyle name="Total 8 3 5 4 3 2" xfId="51785"/>
    <cellStyle name="Total 8 3 5 4 4" xfId="33964"/>
    <cellStyle name="Total 8 3 5 5" xfId="9265"/>
    <cellStyle name="Total 8 3 5 5 2" xfId="17241"/>
    <cellStyle name="Total 8 3 5 5 2 2" xfId="29056"/>
    <cellStyle name="Total 8 3 5 5 2 2 2" xfId="58235"/>
    <cellStyle name="Total 8 3 5 5 2 3" xfId="46422"/>
    <cellStyle name="Total 8 3 5 5 3" xfId="24628"/>
    <cellStyle name="Total 8 3 5 5 3 2" xfId="53807"/>
    <cellStyle name="Total 8 3 5 5 4" xfId="38448"/>
    <cellStyle name="Total 8 3 5 6" xfId="11430"/>
    <cellStyle name="Total 8 3 5 6 2" xfId="25594"/>
    <cellStyle name="Total 8 3 5 6 2 2" xfId="54773"/>
    <cellStyle name="Total 8 3 5 6 3" xfId="40611"/>
    <cellStyle name="Total 8 3 5 7" xfId="21166"/>
    <cellStyle name="Total 8 3 5 7 2" xfId="50345"/>
    <cellStyle name="Total 8 3 5 8" xfId="30535"/>
    <cellStyle name="Total 8 3 6" xfId="1532"/>
    <cellStyle name="Total 8 3 6 2" xfId="3332"/>
    <cellStyle name="Total 8 3 6 2 2" xfId="6365"/>
    <cellStyle name="Total 8 3 6 2 2 2" xfId="15127"/>
    <cellStyle name="Total 8 3 6 2 2 2 2" xfId="27826"/>
    <cellStyle name="Total 8 3 6 2 2 2 2 2" xfId="57005"/>
    <cellStyle name="Total 8 3 6 2 2 2 3" xfId="44308"/>
    <cellStyle name="Total 8 3 6 2 2 3" xfId="23398"/>
    <cellStyle name="Total 8 3 6 2 2 3 2" xfId="52577"/>
    <cellStyle name="Total 8 3 6 2 2 4" xfId="35548"/>
    <cellStyle name="Total 8 3 6 2 3" xfId="8888"/>
    <cellStyle name="Total 8 3 6 2 3 2" xfId="16970"/>
    <cellStyle name="Total 8 3 6 2 3 2 2" xfId="28908"/>
    <cellStyle name="Total 8 3 6 2 3 2 2 2" xfId="58087"/>
    <cellStyle name="Total 8 3 6 2 3 2 3" xfId="46151"/>
    <cellStyle name="Total 8 3 6 2 3 3" xfId="24480"/>
    <cellStyle name="Total 8 3 6 2 3 3 2" xfId="53659"/>
    <cellStyle name="Total 8 3 6 2 3 4" xfId="38071"/>
    <cellStyle name="Total 8 3 6 2 4" xfId="12823"/>
    <cellStyle name="Total 8 3 6 2 4 2" xfId="26386"/>
    <cellStyle name="Total 8 3 6 2 4 2 2" xfId="55565"/>
    <cellStyle name="Total 8 3 6 2 4 3" xfId="42004"/>
    <cellStyle name="Total 8 3 6 2 5" xfId="21958"/>
    <cellStyle name="Total 8 3 6 2 5 2" xfId="51137"/>
    <cellStyle name="Total 8 3 6 2 6" xfId="32515"/>
    <cellStyle name="Total 8 3 6 3" xfId="4925"/>
    <cellStyle name="Total 8 3 6 3 2" xfId="14006"/>
    <cellStyle name="Total 8 3 6 3 2 2" xfId="27106"/>
    <cellStyle name="Total 8 3 6 3 2 2 2" xfId="56285"/>
    <cellStyle name="Total 8 3 6 3 2 3" xfId="43187"/>
    <cellStyle name="Total 8 3 6 3 3" xfId="22678"/>
    <cellStyle name="Total 8 3 6 3 3 2" xfId="51857"/>
    <cellStyle name="Total 8 3 6 3 4" xfId="34108"/>
    <cellStyle name="Total 8 3 6 4" xfId="8475"/>
    <cellStyle name="Total 8 3 6 4 2" xfId="16661"/>
    <cellStyle name="Total 8 3 6 4 2 2" xfId="28735"/>
    <cellStyle name="Total 8 3 6 4 2 2 2" xfId="57914"/>
    <cellStyle name="Total 8 3 6 4 2 3" xfId="45842"/>
    <cellStyle name="Total 8 3 6 4 3" xfId="24307"/>
    <cellStyle name="Total 8 3 6 4 3 2" xfId="53486"/>
    <cellStyle name="Total 8 3 6 4 4" xfId="37658"/>
    <cellStyle name="Total 8 3 6 5" xfId="11551"/>
    <cellStyle name="Total 8 3 6 5 2" xfId="25666"/>
    <cellStyle name="Total 8 3 6 5 2 2" xfId="54845"/>
    <cellStyle name="Total 8 3 6 5 3" xfId="40732"/>
    <cellStyle name="Total 8 3 6 6" xfId="21238"/>
    <cellStyle name="Total 8 3 6 6 2" xfId="50417"/>
    <cellStyle name="Total 8 3 6 7" xfId="30715"/>
    <cellStyle name="Total 8 3 7" xfId="2432"/>
    <cellStyle name="Total 8 3 7 2" xfId="5645"/>
    <cellStyle name="Total 8 3 7 2 2" xfId="14573"/>
    <cellStyle name="Total 8 3 7 2 2 2" xfId="27466"/>
    <cellStyle name="Total 8 3 7 2 2 2 2" xfId="56645"/>
    <cellStyle name="Total 8 3 7 2 2 3" xfId="43754"/>
    <cellStyle name="Total 8 3 7 2 3" xfId="23038"/>
    <cellStyle name="Total 8 3 7 2 3 2" xfId="52217"/>
    <cellStyle name="Total 8 3 7 2 4" xfId="34828"/>
    <cellStyle name="Total 8 3 7 3" xfId="9993"/>
    <cellStyle name="Total 8 3 7 3 2" xfId="17758"/>
    <cellStyle name="Total 8 3 7 3 2 2" xfId="29343"/>
    <cellStyle name="Total 8 3 7 3 2 2 2" xfId="58522"/>
    <cellStyle name="Total 8 3 7 3 2 3" xfId="46939"/>
    <cellStyle name="Total 8 3 7 3 3" xfId="24915"/>
    <cellStyle name="Total 8 3 7 3 3 2" xfId="54094"/>
    <cellStyle name="Total 8 3 7 3 4" xfId="39176"/>
    <cellStyle name="Total 8 3 7 4" xfId="12185"/>
    <cellStyle name="Total 8 3 7 4 2" xfId="26026"/>
    <cellStyle name="Total 8 3 7 4 2 2" xfId="55205"/>
    <cellStyle name="Total 8 3 7 4 3" xfId="41366"/>
    <cellStyle name="Total 8 3 7 5" xfId="21598"/>
    <cellStyle name="Total 8 3 7 5 2" xfId="50777"/>
    <cellStyle name="Total 8 3 7 6" xfId="31615"/>
    <cellStyle name="Total 8 3 8" xfId="4205"/>
    <cellStyle name="Total 8 3 8 2" xfId="13454"/>
    <cellStyle name="Total 8 3 8 2 2" xfId="26746"/>
    <cellStyle name="Total 8 3 8 2 2 2" xfId="55925"/>
    <cellStyle name="Total 8 3 8 2 3" xfId="42635"/>
    <cellStyle name="Total 8 3 8 3" xfId="22318"/>
    <cellStyle name="Total 8 3 8 3 2" xfId="51497"/>
    <cellStyle name="Total 8 3 8 4" xfId="33388"/>
    <cellStyle name="Total 8 3 9" xfId="8063"/>
    <cellStyle name="Total 8 3 9 2" xfId="16370"/>
    <cellStyle name="Total 8 3 9 2 2" xfId="28583"/>
    <cellStyle name="Total 8 3 9 2 2 2" xfId="57762"/>
    <cellStyle name="Total 8 3 9 2 3" xfId="45551"/>
    <cellStyle name="Total 8 3 9 3" xfId="24155"/>
    <cellStyle name="Total 8 3 9 3 2" xfId="53334"/>
    <cellStyle name="Total 8 3 9 4" xfId="37246"/>
    <cellStyle name="Total 8 4" xfId="772"/>
    <cellStyle name="Total 8 4 2" xfId="1710"/>
    <cellStyle name="Total 8 4 2 2" xfId="3510"/>
    <cellStyle name="Total 8 4 2 2 2" xfId="6507"/>
    <cellStyle name="Total 8 4 2 2 2 2" xfId="15241"/>
    <cellStyle name="Total 8 4 2 2 2 2 2" xfId="27878"/>
    <cellStyle name="Total 8 4 2 2 2 2 2 2" xfId="57057"/>
    <cellStyle name="Total 8 4 2 2 2 2 3" xfId="44422"/>
    <cellStyle name="Total 8 4 2 2 2 3" xfId="23450"/>
    <cellStyle name="Total 8 4 2 2 2 3 2" xfId="52629"/>
    <cellStyle name="Total 8 4 2 2 2 4" xfId="35690"/>
    <cellStyle name="Total 8 4 2 2 3" xfId="10500"/>
    <cellStyle name="Total 8 4 2 2 3 2" xfId="18107"/>
    <cellStyle name="Total 8 4 2 2 3 2 2" xfId="29543"/>
    <cellStyle name="Total 8 4 2 2 3 2 2 2" xfId="58722"/>
    <cellStyle name="Total 8 4 2 2 3 2 3" xfId="47288"/>
    <cellStyle name="Total 8 4 2 2 3 3" xfId="25115"/>
    <cellStyle name="Total 8 4 2 2 3 3 2" xfId="54294"/>
    <cellStyle name="Total 8 4 2 2 3 4" xfId="39683"/>
    <cellStyle name="Total 8 4 2 2 4" xfId="12947"/>
    <cellStyle name="Total 8 4 2 2 4 2" xfId="26438"/>
    <cellStyle name="Total 8 4 2 2 4 2 2" xfId="55617"/>
    <cellStyle name="Total 8 4 2 2 4 3" xfId="42128"/>
    <cellStyle name="Total 8 4 2 2 5" xfId="22010"/>
    <cellStyle name="Total 8 4 2 2 5 2" xfId="51189"/>
    <cellStyle name="Total 8 4 2 2 6" xfId="32693"/>
    <cellStyle name="Total 8 4 2 3" xfId="5067"/>
    <cellStyle name="Total 8 4 2 3 2" xfId="14117"/>
    <cellStyle name="Total 8 4 2 3 2 2" xfId="27158"/>
    <cellStyle name="Total 8 4 2 3 2 2 2" xfId="56337"/>
    <cellStyle name="Total 8 4 2 3 2 3" xfId="43298"/>
    <cellStyle name="Total 8 4 2 3 3" xfId="22730"/>
    <cellStyle name="Total 8 4 2 3 3 2" xfId="51909"/>
    <cellStyle name="Total 8 4 2 3 4" xfId="34250"/>
    <cellStyle name="Total 8 4 2 4" xfId="10103"/>
    <cellStyle name="Total 8 4 2 4 2" xfId="17830"/>
    <cellStyle name="Total 8 4 2 4 2 2" xfId="29390"/>
    <cellStyle name="Total 8 4 2 4 2 2 2" xfId="58569"/>
    <cellStyle name="Total 8 4 2 4 2 3" xfId="47011"/>
    <cellStyle name="Total 8 4 2 4 3" xfId="24962"/>
    <cellStyle name="Total 8 4 2 4 3 2" xfId="54141"/>
    <cellStyle name="Total 8 4 2 4 4" xfId="39286"/>
    <cellStyle name="Total 8 4 2 5" xfId="11674"/>
    <cellStyle name="Total 8 4 2 5 2" xfId="25718"/>
    <cellStyle name="Total 8 4 2 5 2 2" xfId="54897"/>
    <cellStyle name="Total 8 4 2 5 3" xfId="40855"/>
    <cellStyle name="Total 8 4 2 6" xfId="21290"/>
    <cellStyle name="Total 8 4 2 6 2" xfId="50469"/>
    <cellStyle name="Total 8 4 2 7" xfId="30893"/>
    <cellStyle name="Total 8 4 3" xfId="2610"/>
    <cellStyle name="Total 8 4 3 2" xfId="5787"/>
    <cellStyle name="Total 8 4 3 2 2" xfId="14682"/>
    <cellStyle name="Total 8 4 3 2 2 2" xfId="27518"/>
    <cellStyle name="Total 8 4 3 2 2 2 2" xfId="56697"/>
    <cellStyle name="Total 8 4 3 2 2 3" xfId="43863"/>
    <cellStyle name="Total 8 4 3 2 3" xfId="23090"/>
    <cellStyle name="Total 8 4 3 2 3 2" xfId="52269"/>
    <cellStyle name="Total 8 4 3 2 4" xfId="34970"/>
    <cellStyle name="Total 8 4 3 3" xfId="9328"/>
    <cellStyle name="Total 8 4 3 3 2" xfId="17286"/>
    <cellStyle name="Total 8 4 3 3 2 2" xfId="29081"/>
    <cellStyle name="Total 8 4 3 3 2 2 2" xfId="58260"/>
    <cellStyle name="Total 8 4 3 3 2 3" xfId="46467"/>
    <cellStyle name="Total 8 4 3 3 3" xfId="24653"/>
    <cellStyle name="Total 8 4 3 3 3 2" xfId="53832"/>
    <cellStyle name="Total 8 4 3 3 4" xfId="38511"/>
    <cellStyle name="Total 8 4 3 4" xfId="12309"/>
    <cellStyle name="Total 8 4 3 4 2" xfId="26078"/>
    <cellStyle name="Total 8 4 3 4 2 2" xfId="55257"/>
    <cellStyle name="Total 8 4 3 4 3" xfId="41490"/>
    <cellStyle name="Total 8 4 3 5" xfId="21650"/>
    <cellStyle name="Total 8 4 3 5 2" xfId="50829"/>
    <cellStyle name="Total 8 4 3 6" xfId="31793"/>
    <cellStyle name="Total 8 4 4" xfId="4347"/>
    <cellStyle name="Total 8 4 4 2" xfId="13561"/>
    <cellStyle name="Total 8 4 4 2 2" xfId="26798"/>
    <cellStyle name="Total 8 4 4 2 2 2" xfId="55977"/>
    <cellStyle name="Total 8 4 4 2 3" xfId="42742"/>
    <cellStyle name="Total 8 4 4 3" xfId="22370"/>
    <cellStyle name="Total 8 4 4 3 2" xfId="51549"/>
    <cellStyle name="Total 8 4 4 4" xfId="33530"/>
    <cellStyle name="Total 8 4 5" xfId="7337"/>
    <cellStyle name="Total 8 4 5 2" xfId="15864"/>
    <cellStyle name="Total 8 4 5 2 2" xfId="28291"/>
    <cellStyle name="Total 8 4 5 2 2 2" xfId="57470"/>
    <cellStyle name="Total 8 4 5 2 3" xfId="45045"/>
    <cellStyle name="Total 8 4 5 3" xfId="23863"/>
    <cellStyle name="Total 8 4 5 3 2" xfId="53042"/>
    <cellStyle name="Total 8 4 5 4" xfId="36520"/>
    <cellStyle name="Total 8 4 6" xfId="11013"/>
    <cellStyle name="Total 8 4 6 2" xfId="25334"/>
    <cellStyle name="Total 8 4 6 2 2" xfId="54513"/>
    <cellStyle name="Total 8 4 6 3" xfId="40194"/>
    <cellStyle name="Total 8 4 7" xfId="20906"/>
    <cellStyle name="Total 8 4 7 2" xfId="50085"/>
    <cellStyle name="Total 8 4 8" xfId="29969"/>
    <cellStyle name="Total 8 5" xfId="964"/>
    <cellStyle name="Total 8 5 2" xfId="1874"/>
    <cellStyle name="Total 8 5 2 2" xfId="3674"/>
    <cellStyle name="Total 8 5 2 2 2" xfId="6635"/>
    <cellStyle name="Total 8 5 2 2 2 2" xfId="15347"/>
    <cellStyle name="Total 8 5 2 2 2 2 2" xfId="27952"/>
    <cellStyle name="Total 8 5 2 2 2 2 2 2" xfId="57131"/>
    <cellStyle name="Total 8 5 2 2 2 2 3" xfId="44528"/>
    <cellStyle name="Total 8 5 2 2 2 3" xfId="23524"/>
    <cellStyle name="Total 8 5 2 2 2 3 2" xfId="52703"/>
    <cellStyle name="Total 8 5 2 2 2 4" xfId="35818"/>
    <cellStyle name="Total 8 5 2 2 3" xfId="10378"/>
    <cellStyle name="Total 8 5 2 2 3 2" xfId="18020"/>
    <cellStyle name="Total 8 5 2 2 3 2 2" xfId="29496"/>
    <cellStyle name="Total 8 5 2 2 3 2 2 2" xfId="58675"/>
    <cellStyle name="Total 8 5 2 2 3 2 3" xfId="47201"/>
    <cellStyle name="Total 8 5 2 2 3 3" xfId="25068"/>
    <cellStyle name="Total 8 5 2 2 3 3 2" xfId="54247"/>
    <cellStyle name="Total 8 5 2 2 3 4" xfId="39561"/>
    <cellStyle name="Total 8 5 2 2 4" xfId="13068"/>
    <cellStyle name="Total 8 5 2 2 4 2" xfId="26512"/>
    <cellStyle name="Total 8 5 2 2 4 2 2" xfId="55691"/>
    <cellStyle name="Total 8 5 2 2 4 3" xfId="42249"/>
    <cellStyle name="Total 8 5 2 2 5" xfId="22084"/>
    <cellStyle name="Total 8 5 2 2 5 2" xfId="51263"/>
    <cellStyle name="Total 8 5 2 2 6" xfId="32857"/>
    <cellStyle name="Total 8 5 2 3" xfId="5195"/>
    <cellStyle name="Total 8 5 2 3 2" xfId="14225"/>
    <cellStyle name="Total 8 5 2 3 2 2" xfId="27232"/>
    <cellStyle name="Total 8 5 2 3 2 2 2" xfId="56411"/>
    <cellStyle name="Total 8 5 2 3 2 3" xfId="43406"/>
    <cellStyle name="Total 8 5 2 3 3" xfId="22804"/>
    <cellStyle name="Total 8 5 2 3 3 2" xfId="51983"/>
    <cellStyle name="Total 8 5 2 3 4" xfId="34378"/>
    <cellStyle name="Total 8 5 2 4" xfId="9058"/>
    <cellStyle name="Total 8 5 2 4 2" xfId="17095"/>
    <cellStyle name="Total 8 5 2 4 2 2" xfId="28978"/>
    <cellStyle name="Total 8 5 2 4 2 2 2" xfId="58157"/>
    <cellStyle name="Total 8 5 2 4 2 3" xfId="46276"/>
    <cellStyle name="Total 8 5 2 4 3" xfId="24550"/>
    <cellStyle name="Total 8 5 2 4 3 2" xfId="53729"/>
    <cellStyle name="Total 8 5 2 4 4" xfId="38241"/>
    <cellStyle name="Total 8 5 2 5" xfId="11793"/>
    <cellStyle name="Total 8 5 2 5 2" xfId="25792"/>
    <cellStyle name="Total 8 5 2 5 2 2" xfId="54971"/>
    <cellStyle name="Total 8 5 2 5 3" xfId="40974"/>
    <cellStyle name="Total 8 5 2 6" xfId="21364"/>
    <cellStyle name="Total 8 5 2 6 2" xfId="50543"/>
    <cellStyle name="Total 8 5 2 7" xfId="31057"/>
    <cellStyle name="Total 8 5 3" xfId="2774"/>
    <cellStyle name="Total 8 5 3 2" xfId="5915"/>
    <cellStyle name="Total 8 5 3 2 2" xfId="14790"/>
    <cellStyle name="Total 8 5 3 2 2 2" xfId="27592"/>
    <cellStyle name="Total 8 5 3 2 2 2 2" xfId="56771"/>
    <cellStyle name="Total 8 5 3 2 2 3" xfId="43971"/>
    <cellStyle name="Total 8 5 3 2 3" xfId="23164"/>
    <cellStyle name="Total 8 5 3 2 3 2" xfId="52343"/>
    <cellStyle name="Total 8 5 3 2 4" xfId="35098"/>
    <cellStyle name="Total 8 5 3 3" xfId="7421"/>
    <cellStyle name="Total 8 5 3 3 2" xfId="15925"/>
    <cellStyle name="Total 8 5 3 3 2 2" xfId="28334"/>
    <cellStyle name="Total 8 5 3 3 2 2 2" xfId="57513"/>
    <cellStyle name="Total 8 5 3 3 2 3" xfId="45106"/>
    <cellStyle name="Total 8 5 3 3 3" xfId="23906"/>
    <cellStyle name="Total 8 5 3 3 3 2" xfId="53085"/>
    <cellStyle name="Total 8 5 3 3 4" xfId="36604"/>
    <cellStyle name="Total 8 5 3 4" xfId="12433"/>
    <cellStyle name="Total 8 5 3 4 2" xfId="26152"/>
    <cellStyle name="Total 8 5 3 4 2 2" xfId="55331"/>
    <cellStyle name="Total 8 5 3 4 3" xfId="41614"/>
    <cellStyle name="Total 8 5 3 5" xfId="21724"/>
    <cellStyle name="Total 8 5 3 5 2" xfId="50903"/>
    <cellStyle name="Total 8 5 3 6" xfId="31957"/>
    <cellStyle name="Total 8 5 4" xfId="4475"/>
    <cellStyle name="Total 8 5 4 2" xfId="13668"/>
    <cellStyle name="Total 8 5 4 2 2" xfId="26872"/>
    <cellStyle name="Total 8 5 4 2 2 2" xfId="56051"/>
    <cellStyle name="Total 8 5 4 2 3" xfId="42849"/>
    <cellStyle name="Total 8 5 4 3" xfId="22444"/>
    <cellStyle name="Total 8 5 4 3 2" xfId="51623"/>
    <cellStyle name="Total 8 5 4 4" xfId="33658"/>
    <cellStyle name="Total 8 5 5" xfId="8335"/>
    <cellStyle name="Total 8 5 5 2" xfId="16567"/>
    <cellStyle name="Total 8 5 5 2 2" xfId="28687"/>
    <cellStyle name="Total 8 5 5 2 2 2" xfId="57866"/>
    <cellStyle name="Total 8 5 5 2 3" xfId="45748"/>
    <cellStyle name="Total 8 5 5 3" xfId="24259"/>
    <cellStyle name="Total 8 5 5 3 2" xfId="53438"/>
    <cellStyle name="Total 8 5 5 4" xfId="37518"/>
    <cellStyle name="Total 8 5 6" xfId="11158"/>
    <cellStyle name="Total 8 5 6 2" xfId="25429"/>
    <cellStyle name="Total 8 5 6 2 2" xfId="54608"/>
    <cellStyle name="Total 8 5 6 3" xfId="40339"/>
    <cellStyle name="Total 8 5 7" xfId="21001"/>
    <cellStyle name="Total 8 5 7 2" xfId="50180"/>
    <cellStyle name="Total 8 5 8" xfId="30154"/>
    <cellStyle name="Total 8 6" xfId="1114"/>
    <cellStyle name="Total 8 6 2" xfId="2018"/>
    <cellStyle name="Total 8 6 2 2" xfId="3818"/>
    <cellStyle name="Total 8 6 2 2 2" xfId="6752"/>
    <cellStyle name="Total 8 6 2 2 2 2" xfId="15438"/>
    <cellStyle name="Total 8 6 2 2 2 2 2" xfId="28015"/>
    <cellStyle name="Total 8 6 2 2 2 2 2 2" xfId="57194"/>
    <cellStyle name="Total 8 6 2 2 2 2 3" xfId="44619"/>
    <cellStyle name="Total 8 6 2 2 2 3" xfId="23587"/>
    <cellStyle name="Total 8 6 2 2 2 3 2" xfId="52766"/>
    <cellStyle name="Total 8 6 2 2 2 4" xfId="35935"/>
    <cellStyle name="Total 8 6 2 2 3" xfId="9414"/>
    <cellStyle name="Total 8 6 2 2 3 2" xfId="17343"/>
    <cellStyle name="Total 8 6 2 2 3 2 2" xfId="29116"/>
    <cellStyle name="Total 8 6 2 2 3 2 2 2" xfId="58295"/>
    <cellStyle name="Total 8 6 2 2 3 2 3" xfId="46524"/>
    <cellStyle name="Total 8 6 2 2 3 3" xfId="24688"/>
    <cellStyle name="Total 8 6 2 2 3 3 2" xfId="53867"/>
    <cellStyle name="Total 8 6 2 2 3 4" xfId="38597"/>
    <cellStyle name="Total 8 6 2 2 4" xfId="13175"/>
    <cellStyle name="Total 8 6 2 2 4 2" xfId="26575"/>
    <cellStyle name="Total 8 6 2 2 4 2 2" xfId="55754"/>
    <cellStyle name="Total 8 6 2 2 4 3" xfId="42356"/>
    <cellStyle name="Total 8 6 2 2 5" xfId="22147"/>
    <cellStyle name="Total 8 6 2 2 5 2" xfId="51326"/>
    <cellStyle name="Total 8 6 2 2 6" xfId="33001"/>
    <cellStyle name="Total 8 6 2 3" xfId="5312"/>
    <cellStyle name="Total 8 6 2 3 2" xfId="14317"/>
    <cellStyle name="Total 8 6 2 3 2 2" xfId="27295"/>
    <cellStyle name="Total 8 6 2 3 2 2 2" xfId="56474"/>
    <cellStyle name="Total 8 6 2 3 2 3" xfId="43498"/>
    <cellStyle name="Total 8 6 2 3 3" xfId="22867"/>
    <cellStyle name="Total 8 6 2 3 3 2" xfId="52046"/>
    <cellStyle name="Total 8 6 2 3 4" xfId="34495"/>
    <cellStyle name="Total 8 6 2 4" xfId="10476"/>
    <cellStyle name="Total 8 6 2 4 2" xfId="18093"/>
    <cellStyle name="Total 8 6 2 4 2 2" xfId="29534"/>
    <cellStyle name="Total 8 6 2 4 2 2 2" xfId="58713"/>
    <cellStyle name="Total 8 6 2 4 2 3" xfId="47274"/>
    <cellStyle name="Total 8 6 2 4 3" xfId="25106"/>
    <cellStyle name="Total 8 6 2 4 3 2" xfId="54285"/>
    <cellStyle name="Total 8 6 2 4 4" xfId="39659"/>
    <cellStyle name="Total 8 6 2 5" xfId="11899"/>
    <cellStyle name="Total 8 6 2 5 2" xfId="25855"/>
    <cellStyle name="Total 8 6 2 5 2 2" xfId="55034"/>
    <cellStyle name="Total 8 6 2 5 3" xfId="41080"/>
    <cellStyle name="Total 8 6 2 6" xfId="21427"/>
    <cellStyle name="Total 8 6 2 6 2" xfId="50606"/>
    <cellStyle name="Total 8 6 2 7" xfId="31201"/>
    <cellStyle name="Total 8 6 3" xfId="2918"/>
    <cellStyle name="Total 8 6 3 2" xfId="6032"/>
    <cellStyle name="Total 8 6 3 2 2" xfId="14878"/>
    <cellStyle name="Total 8 6 3 2 2 2" xfId="27655"/>
    <cellStyle name="Total 8 6 3 2 2 2 2" xfId="56834"/>
    <cellStyle name="Total 8 6 3 2 2 3" xfId="44059"/>
    <cellStyle name="Total 8 6 3 2 3" xfId="23227"/>
    <cellStyle name="Total 8 6 3 2 3 2" xfId="52406"/>
    <cellStyle name="Total 8 6 3 2 4" xfId="35215"/>
    <cellStyle name="Total 8 6 3 3" xfId="9698"/>
    <cellStyle name="Total 8 6 3 3 2" xfId="17543"/>
    <cellStyle name="Total 8 6 3 3 2 2" xfId="29229"/>
    <cellStyle name="Total 8 6 3 3 2 2 2" xfId="58408"/>
    <cellStyle name="Total 8 6 3 3 2 3" xfId="46724"/>
    <cellStyle name="Total 8 6 3 3 3" xfId="24801"/>
    <cellStyle name="Total 8 6 3 3 3 2" xfId="53980"/>
    <cellStyle name="Total 8 6 3 3 4" xfId="38881"/>
    <cellStyle name="Total 8 6 3 4" xfId="12535"/>
    <cellStyle name="Total 8 6 3 4 2" xfId="26215"/>
    <cellStyle name="Total 8 6 3 4 2 2" xfId="55394"/>
    <cellStyle name="Total 8 6 3 4 3" xfId="41716"/>
    <cellStyle name="Total 8 6 3 5" xfId="21787"/>
    <cellStyle name="Total 8 6 3 5 2" xfId="50966"/>
    <cellStyle name="Total 8 6 3 6" xfId="32101"/>
    <cellStyle name="Total 8 6 4" xfId="4592"/>
    <cellStyle name="Total 8 6 4 2" xfId="13758"/>
    <cellStyle name="Total 8 6 4 2 2" xfId="26935"/>
    <cellStyle name="Total 8 6 4 2 2 2" xfId="56114"/>
    <cellStyle name="Total 8 6 4 2 3" xfId="42939"/>
    <cellStyle name="Total 8 6 4 3" xfId="22507"/>
    <cellStyle name="Total 8 6 4 3 2" xfId="51686"/>
    <cellStyle name="Total 8 6 4 4" xfId="33775"/>
    <cellStyle name="Total 8 6 5" xfId="9151"/>
    <cellStyle name="Total 8 6 5 2" xfId="17154"/>
    <cellStyle name="Total 8 6 5 2 2" xfId="29011"/>
    <cellStyle name="Total 8 6 5 2 2 2" xfId="58190"/>
    <cellStyle name="Total 8 6 5 2 3" xfId="46335"/>
    <cellStyle name="Total 8 6 5 3" xfId="24583"/>
    <cellStyle name="Total 8 6 5 3 2" xfId="53762"/>
    <cellStyle name="Total 8 6 5 4" xfId="38334"/>
    <cellStyle name="Total 8 6 6" xfId="11267"/>
    <cellStyle name="Total 8 6 6 2" xfId="25495"/>
    <cellStyle name="Total 8 6 6 2 2" xfId="54674"/>
    <cellStyle name="Total 8 6 6 3" xfId="40448"/>
    <cellStyle name="Total 8 6 7" xfId="21067"/>
    <cellStyle name="Total 8 6 7 2" xfId="50246"/>
    <cellStyle name="Total 8 6 8" xfId="30301"/>
    <cellStyle name="Total 8 7" xfId="1260"/>
    <cellStyle name="Total 8 7 2" xfId="2162"/>
    <cellStyle name="Total 8 7 2 2" xfId="3962"/>
    <cellStyle name="Total 8 7 2 2 2" xfId="6869"/>
    <cellStyle name="Total 8 7 2 2 2 2" xfId="15528"/>
    <cellStyle name="Total 8 7 2 2 2 2 2" xfId="28078"/>
    <cellStyle name="Total 8 7 2 2 2 2 2 2" xfId="57257"/>
    <cellStyle name="Total 8 7 2 2 2 2 3" xfId="44709"/>
    <cellStyle name="Total 8 7 2 2 2 3" xfId="23650"/>
    <cellStyle name="Total 8 7 2 2 2 3 2" xfId="52829"/>
    <cellStyle name="Total 8 7 2 2 2 4" xfId="36052"/>
    <cellStyle name="Total 8 7 2 2 3" xfId="7118"/>
    <cellStyle name="Total 8 7 2 2 3 2" xfId="15708"/>
    <cellStyle name="Total 8 7 2 2 3 2 2" xfId="28190"/>
    <cellStyle name="Total 8 7 2 2 3 2 2 2" xfId="57369"/>
    <cellStyle name="Total 8 7 2 2 3 2 3" xfId="44889"/>
    <cellStyle name="Total 8 7 2 2 3 3" xfId="23762"/>
    <cellStyle name="Total 8 7 2 2 3 3 2" xfId="52941"/>
    <cellStyle name="Total 8 7 2 2 3 4" xfId="36301"/>
    <cellStyle name="Total 8 7 2 2 4" xfId="13273"/>
    <cellStyle name="Total 8 7 2 2 4 2" xfId="26638"/>
    <cellStyle name="Total 8 7 2 2 4 2 2" xfId="55817"/>
    <cellStyle name="Total 8 7 2 2 4 3" xfId="42454"/>
    <cellStyle name="Total 8 7 2 2 5" xfId="22210"/>
    <cellStyle name="Total 8 7 2 2 5 2" xfId="51389"/>
    <cellStyle name="Total 8 7 2 2 6" xfId="33145"/>
    <cellStyle name="Total 8 7 2 3" xfId="5429"/>
    <cellStyle name="Total 8 7 2 3 2" xfId="14406"/>
    <cellStyle name="Total 8 7 2 3 2 2" xfId="27358"/>
    <cellStyle name="Total 8 7 2 3 2 2 2" xfId="56537"/>
    <cellStyle name="Total 8 7 2 3 2 3" xfId="43587"/>
    <cellStyle name="Total 8 7 2 3 3" xfId="22930"/>
    <cellStyle name="Total 8 7 2 3 3 2" xfId="52109"/>
    <cellStyle name="Total 8 7 2 3 4" xfId="34612"/>
    <cellStyle name="Total 8 7 2 4" xfId="9255"/>
    <cellStyle name="Total 8 7 2 4 2" xfId="17231"/>
    <cellStyle name="Total 8 7 2 4 2 2" xfId="29050"/>
    <cellStyle name="Total 8 7 2 4 2 2 2" xfId="58229"/>
    <cellStyle name="Total 8 7 2 4 2 3" xfId="46412"/>
    <cellStyle name="Total 8 7 2 4 3" xfId="24622"/>
    <cellStyle name="Total 8 7 2 4 3 2" xfId="53801"/>
    <cellStyle name="Total 8 7 2 4 4" xfId="38438"/>
    <cellStyle name="Total 8 7 2 5" xfId="11998"/>
    <cellStyle name="Total 8 7 2 5 2" xfId="25918"/>
    <cellStyle name="Total 8 7 2 5 2 2" xfId="55097"/>
    <cellStyle name="Total 8 7 2 5 3" xfId="41179"/>
    <cellStyle name="Total 8 7 2 6" xfId="21490"/>
    <cellStyle name="Total 8 7 2 6 2" xfId="50669"/>
    <cellStyle name="Total 8 7 2 7" xfId="31345"/>
    <cellStyle name="Total 8 7 3" xfId="3062"/>
    <cellStyle name="Total 8 7 3 2" xfId="6149"/>
    <cellStyle name="Total 8 7 3 2 2" xfId="14967"/>
    <cellStyle name="Total 8 7 3 2 2 2" xfId="27718"/>
    <cellStyle name="Total 8 7 3 2 2 2 2" xfId="56897"/>
    <cellStyle name="Total 8 7 3 2 2 3" xfId="44148"/>
    <cellStyle name="Total 8 7 3 2 3" xfId="23290"/>
    <cellStyle name="Total 8 7 3 2 3 2" xfId="52469"/>
    <cellStyle name="Total 8 7 3 2 4" xfId="35332"/>
    <cellStyle name="Total 8 7 3 3" xfId="7540"/>
    <cellStyle name="Total 8 7 3 3 2" xfId="16006"/>
    <cellStyle name="Total 8 7 3 3 2 2" xfId="28382"/>
    <cellStyle name="Total 8 7 3 3 2 2 2" xfId="57561"/>
    <cellStyle name="Total 8 7 3 3 2 3" xfId="45187"/>
    <cellStyle name="Total 8 7 3 3 3" xfId="23954"/>
    <cellStyle name="Total 8 7 3 3 3 2" xfId="53133"/>
    <cellStyle name="Total 8 7 3 3 4" xfId="36723"/>
    <cellStyle name="Total 8 7 3 4" xfId="12634"/>
    <cellStyle name="Total 8 7 3 4 2" xfId="26278"/>
    <cellStyle name="Total 8 7 3 4 2 2" xfId="55457"/>
    <cellStyle name="Total 8 7 3 4 3" xfId="41815"/>
    <cellStyle name="Total 8 7 3 5" xfId="21850"/>
    <cellStyle name="Total 8 7 3 5 2" xfId="51029"/>
    <cellStyle name="Total 8 7 3 6" xfId="32245"/>
    <cellStyle name="Total 8 7 4" xfId="4709"/>
    <cellStyle name="Total 8 7 4 2" xfId="13847"/>
    <cellStyle name="Total 8 7 4 2 2" xfId="26998"/>
    <cellStyle name="Total 8 7 4 2 2 2" xfId="56177"/>
    <cellStyle name="Total 8 7 4 2 3" xfId="43028"/>
    <cellStyle name="Total 8 7 4 3" xfId="22570"/>
    <cellStyle name="Total 8 7 4 3 2" xfId="51749"/>
    <cellStyle name="Total 8 7 4 4" xfId="33892"/>
    <cellStyle name="Total 8 7 5" xfId="7476"/>
    <cellStyle name="Total 8 7 5 2" xfId="15960"/>
    <cellStyle name="Total 8 7 5 2 2" xfId="28356"/>
    <cellStyle name="Total 8 7 5 2 2 2" xfId="57535"/>
    <cellStyle name="Total 8 7 5 2 3" xfId="45141"/>
    <cellStyle name="Total 8 7 5 3" xfId="23928"/>
    <cellStyle name="Total 8 7 5 3 2" xfId="53107"/>
    <cellStyle name="Total 8 7 5 4" xfId="36659"/>
    <cellStyle name="Total 8 7 6" xfId="11369"/>
    <cellStyle name="Total 8 7 6 2" xfId="25558"/>
    <cellStyle name="Total 8 7 6 2 2" xfId="54737"/>
    <cellStyle name="Total 8 7 6 3" xfId="40550"/>
    <cellStyle name="Total 8 7 7" xfId="21130"/>
    <cellStyle name="Total 8 7 7 2" xfId="50309"/>
    <cellStyle name="Total 8 7 8" xfId="30445"/>
    <cellStyle name="Total 8 8" xfId="1442"/>
    <cellStyle name="Total 8 8 2" xfId="3242"/>
    <cellStyle name="Total 8 8 2 2" xfId="6293"/>
    <cellStyle name="Total 8 8 2 2 2" xfId="15076"/>
    <cellStyle name="Total 8 8 2 2 2 2" xfId="27790"/>
    <cellStyle name="Total 8 8 2 2 2 2 2" xfId="56969"/>
    <cellStyle name="Total 8 8 2 2 2 3" xfId="44257"/>
    <cellStyle name="Total 8 8 2 2 3" xfId="23362"/>
    <cellStyle name="Total 8 8 2 2 3 2" xfId="52541"/>
    <cellStyle name="Total 8 8 2 2 4" xfId="35476"/>
    <cellStyle name="Total 8 8 2 3" xfId="9321"/>
    <cellStyle name="Total 8 8 2 3 2" xfId="17282"/>
    <cellStyle name="Total 8 8 2 3 2 2" xfId="29077"/>
    <cellStyle name="Total 8 8 2 3 2 2 2" xfId="58256"/>
    <cellStyle name="Total 8 8 2 3 2 3" xfId="46463"/>
    <cellStyle name="Total 8 8 2 3 3" xfId="24649"/>
    <cellStyle name="Total 8 8 2 3 3 2" xfId="53828"/>
    <cellStyle name="Total 8 8 2 3 4" xfId="38504"/>
    <cellStyle name="Total 8 8 2 4" xfId="12761"/>
    <cellStyle name="Total 8 8 2 4 2" xfId="26350"/>
    <cellStyle name="Total 8 8 2 4 2 2" xfId="55529"/>
    <cellStyle name="Total 8 8 2 4 3" xfId="41942"/>
    <cellStyle name="Total 8 8 2 5" xfId="21922"/>
    <cellStyle name="Total 8 8 2 5 2" xfId="51101"/>
    <cellStyle name="Total 8 8 2 6" xfId="32425"/>
    <cellStyle name="Total 8 8 3" xfId="4853"/>
    <cellStyle name="Total 8 8 3 2" xfId="13952"/>
    <cellStyle name="Total 8 8 3 2 2" xfId="27070"/>
    <cellStyle name="Total 8 8 3 2 2 2" xfId="56249"/>
    <cellStyle name="Total 8 8 3 2 3" xfId="43133"/>
    <cellStyle name="Total 8 8 3 3" xfId="22642"/>
    <cellStyle name="Total 8 8 3 3 2" xfId="51821"/>
    <cellStyle name="Total 8 8 3 4" xfId="34036"/>
    <cellStyle name="Total 8 8 4" xfId="9101"/>
    <cellStyle name="Total 8 8 4 2" xfId="17121"/>
    <cellStyle name="Total 8 8 4 2 2" xfId="28992"/>
    <cellStyle name="Total 8 8 4 2 2 2" xfId="58171"/>
    <cellStyle name="Total 8 8 4 2 3" xfId="46302"/>
    <cellStyle name="Total 8 8 4 3" xfId="24564"/>
    <cellStyle name="Total 8 8 4 3 2" xfId="53743"/>
    <cellStyle name="Total 8 8 4 4" xfId="38284"/>
    <cellStyle name="Total 8 8 5" xfId="11490"/>
    <cellStyle name="Total 8 8 5 2" xfId="25630"/>
    <cellStyle name="Total 8 8 5 2 2" xfId="54809"/>
    <cellStyle name="Total 8 8 5 3" xfId="40671"/>
    <cellStyle name="Total 8 8 6" xfId="21202"/>
    <cellStyle name="Total 8 8 6 2" xfId="50381"/>
    <cellStyle name="Total 8 8 7" xfId="30625"/>
    <cellStyle name="Total 8 9" xfId="2342"/>
    <cellStyle name="Total 8 9 2" xfId="5573"/>
    <cellStyle name="Total 8 9 2 2" xfId="14518"/>
    <cellStyle name="Total 8 9 2 2 2" xfId="27430"/>
    <cellStyle name="Total 8 9 2 2 2 2" xfId="56609"/>
    <cellStyle name="Total 8 9 2 2 3" xfId="43699"/>
    <cellStyle name="Total 8 9 2 3" xfId="23002"/>
    <cellStyle name="Total 8 9 2 3 2" xfId="52181"/>
    <cellStyle name="Total 8 9 2 4" xfId="34756"/>
    <cellStyle name="Total 8 9 3" xfId="7276"/>
    <cellStyle name="Total 8 9 3 2" xfId="15821"/>
    <cellStyle name="Total 8 9 3 2 2" xfId="28265"/>
    <cellStyle name="Total 8 9 3 2 2 2" xfId="57444"/>
    <cellStyle name="Total 8 9 3 2 3" xfId="45002"/>
    <cellStyle name="Total 8 9 3 3" xfId="23837"/>
    <cellStyle name="Total 8 9 3 3 2" xfId="53016"/>
    <cellStyle name="Total 8 9 3 4" xfId="36459"/>
    <cellStyle name="Total 8 9 4" xfId="12122"/>
    <cellStyle name="Total 8 9 4 2" xfId="25990"/>
    <cellStyle name="Total 8 9 4 2 2" xfId="55169"/>
    <cellStyle name="Total 8 9 4 3" xfId="41303"/>
    <cellStyle name="Total 8 9 5" xfId="21562"/>
    <cellStyle name="Total 8 9 5 2" xfId="50741"/>
    <cellStyle name="Total 8 9 6" xfId="31525"/>
    <cellStyle name="Total 9" xfId="420"/>
    <cellStyle name="Total 9 10" xfId="4134"/>
    <cellStyle name="Total 9 10 2" xfId="13398"/>
    <cellStyle name="Total 9 10 2 2" xfId="26711"/>
    <cellStyle name="Total 9 10 2 2 2" xfId="55890"/>
    <cellStyle name="Total 9 10 2 3" xfId="42579"/>
    <cellStyle name="Total 9 10 3" xfId="22283"/>
    <cellStyle name="Total 9 10 3 2" xfId="51462"/>
    <cellStyle name="Total 9 10 4" xfId="33317"/>
    <cellStyle name="Total 9 11" xfId="10745"/>
    <cellStyle name="Total 9 11 2" xfId="25171"/>
    <cellStyle name="Total 9 11 2 2" xfId="54350"/>
    <cellStyle name="Total 9 11 3" xfId="39926"/>
    <cellStyle name="Total 9 12" xfId="20743"/>
    <cellStyle name="Total 9 12 2" xfId="49922"/>
    <cellStyle name="Total 9 13" xfId="58763"/>
    <cellStyle name="Total 9 14" xfId="29626"/>
    <cellStyle name="Total 9 2" xfId="465"/>
    <cellStyle name="Total 9 2 10" xfId="9645"/>
    <cellStyle name="Total 9 2 10 2" xfId="17505"/>
    <cellStyle name="Total 9 2 10 2 2" xfId="29210"/>
    <cellStyle name="Total 9 2 10 2 2 2" xfId="58389"/>
    <cellStyle name="Total 9 2 10 2 3" xfId="46686"/>
    <cellStyle name="Total 9 2 10 3" xfId="24782"/>
    <cellStyle name="Total 9 2 10 3 2" xfId="53961"/>
    <cellStyle name="Total 9 2 10 4" xfId="38828"/>
    <cellStyle name="Total 9 2 11" xfId="10779"/>
    <cellStyle name="Total 9 2 11 2" xfId="25189"/>
    <cellStyle name="Total 9 2 11 2 2" xfId="54368"/>
    <cellStyle name="Total 9 2 11 3" xfId="39960"/>
    <cellStyle name="Total 9 2 12" xfId="20761"/>
    <cellStyle name="Total 9 2 12 2" xfId="49940"/>
    <cellStyle name="Total 9 2 13" xfId="58808"/>
    <cellStyle name="Total 9 2 14" xfId="29671"/>
    <cellStyle name="Total 9 2 2" xfId="555"/>
    <cellStyle name="Total 9 2 2 10" xfId="10842"/>
    <cellStyle name="Total 9 2 2 10 2" xfId="25225"/>
    <cellStyle name="Total 9 2 2 10 2 2" xfId="54404"/>
    <cellStyle name="Total 9 2 2 10 3" xfId="40023"/>
    <cellStyle name="Total 9 2 2 11" xfId="20797"/>
    <cellStyle name="Total 9 2 2 11 2" xfId="49976"/>
    <cellStyle name="Total 9 2 2 12" xfId="29761"/>
    <cellStyle name="Total 9 2 2 2" xfId="908"/>
    <cellStyle name="Total 9 2 2 2 2" xfId="1846"/>
    <cellStyle name="Total 9 2 2 2 2 2" xfId="3646"/>
    <cellStyle name="Total 9 2 2 2 2 2 2" xfId="6616"/>
    <cellStyle name="Total 9 2 2 2 2 2 2 2" xfId="15328"/>
    <cellStyle name="Total 9 2 2 2 2 2 2 2 2" xfId="27933"/>
    <cellStyle name="Total 9 2 2 2 2 2 2 2 2 2" xfId="57112"/>
    <cellStyle name="Total 9 2 2 2 2 2 2 2 3" xfId="44509"/>
    <cellStyle name="Total 9 2 2 2 2 2 2 3" xfId="23505"/>
    <cellStyle name="Total 9 2 2 2 2 2 2 3 2" xfId="52684"/>
    <cellStyle name="Total 9 2 2 2 2 2 2 4" xfId="35799"/>
    <cellStyle name="Total 9 2 2 2 2 2 3" xfId="7411"/>
    <cellStyle name="Total 9 2 2 2 2 2 3 2" xfId="15918"/>
    <cellStyle name="Total 9 2 2 2 2 2 3 2 2" xfId="28330"/>
    <cellStyle name="Total 9 2 2 2 2 2 3 2 2 2" xfId="57509"/>
    <cellStyle name="Total 9 2 2 2 2 2 3 2 3" xfId="45099"/>
    <cellStyle name="Total 9 2 2 2 2 2 3 3" xfId="23902"/>
    <cellStyle name="Total 9 2 2 2 2 2 3 3 2" xfId="53081"/>
    <cellStyle name="Total 9 2 2 2 2 2 3 4" xfId="36594"/>
    <cellStyle name="Total 9 2 2 2 2 2 4" xfId="13047"/>
    <cellStyle name="Total 9 2 2 2 2 2 4 2" xfId="26493"/>
    <cellStyle name="Total 9 2 2 2 2 2 4 2 2" xfId="55672"/>
    <cellStyle name="Total 9 2 2 2 2 2 4 3" xfId="42228"/>
    <cellStyle name="Total 9 2 2 2 2 2 5" xfId="22065"/>
    <cellStyle name="Total 9 2 2 2 2 2 5 2" xfId="51244"/>
    <cellStyle name="Total 9 2 2 2 2 2 6" xfId="32829"/>
    <cellStyle name="Total 9 2 2 2 2 3" xfId="5176"/>
    <cellStyle name="Total 9 2 2 2 2 3 2" xfId="14206"/>
    <cellStyle name="Total 9 2 2 2 2 3 2 2" xfId="27213"/>
    <cellStyle name="Total 9 2 2 2 2 3 2 2 2" xfId="56392"/>
    <cellStyle name="Total 9 2 2 2 2 3 2 3" xfId="43387"/>
    <cellStyle name="Total 9 2 2 2 2 3 3" xfId="22785"/>
    <cellStyle name="Total 9 2 2 2 2 3 3 2" xfId="51964"/>
    <cellStyle name="Total 9 2 2 2 2 3 4" xfId="34359"/>
    <cellStyle name="Total 9 2 2 2 2 4" xfId="9160"/>
    <cellStyle name="Total 9 2 2 2 2 4 2" xfId="17162"/>
    <cellStyle name="Total 9 2 2 2 2 4 2 2" xfId="29015"/>
    <cellStyle name="Total 9 2 2 2 2 4 2 2 2" xfId="58194"/>
    <cellStyle name="Total 9 2 2 2 2 4 2 3" xfId="46343"/>
    <cellStyle name="Total 9 2 2 2 2 4 3" xfId="24587"/>
    <cellStyle name="Total 9 2 2 2 2 4 3 2" xfId="53766"/>
    <cellStyle name="Total 9 2 2 2 2 4 4" xfId="38343"/>
    <cellStyle name="Total 9 2 2 2 2 5" xfId="11771"/>
    <cellStyle name="Total 9 2 2 2 2 5 2" xfId="25773"/>
    <cellStyle name="Total 9 2 2 2 2 5 2 2" xfId="54952"/>
    <cellStyle name="Total 9 2 2 2 2 5 3" xfId="40952"/>
    <cellStyle name="Total 9 2 2 2 2 6" xfId="21345"/>
    <cellStyle name="Total 9 2 2 2 2 6 2" xfId="50524"/>
    <cellStyle name="Total 9 2 2 2 2 7" xfId="31029"/>
    <cellStyle name="Total 9 2 2 2 3" xfId="2746"/>
    <cellStyle name="Total 9 2 2 2 3 2" xfId="5896"/>
    <cellStyle name="Total 9 2 2 2 3 2 2" xfId="14771"/>
    <cellStyle name="Total 9 2 2 2 3 2 2 2" xfId="27573"/>
    <cellStyle name="Total 9 2 2 2 3 2 2 2 2" xfId="56752"/>
    <cellStyle name="Total 9 2 2 2 3 2 2 3" xfId="43952"/>
    <cellStyle name="Total 9 2 2 2 3 2 3" xfId="23145"/>
    <cellStyle name="Total 9 2 2 2 3 2 3 2" xfId="52324"/>
    <cellStyle name="Total 9 2 2 2 3 2 4" xfId="35079"/>
    <cellStyle name="Total 9 2 2 2 3 3" xfId="7599"/>
    <cellStyle name="Total 9 2 2 2 3 3 2" xfId="16046"/>
    <cellStyle name="Total 9 2 2 2 3 3 2 2" xfId="28399"/>
    <cellStyle name="Total 9 2 2 2 3 3 2 2 2" xfId="57578"/>
    <cellStyle name="Total 9 2 2 2 3 3 2 3" xfId="45227"/>
    <cellStyle name="Total 9 2 2 2 3 3 3" xfId="23971"/>
    <cellStyle name="Total 9 2 2 2 3 3 3 2" xfId="53150"/>
    <cellStyle name="Total 9 2 2 2 3 3 4" xfId="36782"/>
    <cellStyle name="Total 9 2 2 2 3 4" xfId="12412"/>
    <cellStyle name="Total 9 2 2 2 3 4 2" xfId="26133"/>
    <cellStyle name="Total 9 2 2 2 3 4 2 2" xfId="55312"/>
    <cellStyle name="Total 9 2 2 2 3 4 3" xfId="41593"/>
    <cellStyle name="Total 9 2 2 2 3 5" xfId="21705"/>
    <cellStyle name="Total 9 2 2 2 3 5 2" xfId="50884"/>
    <cellStyle name="Total 9 2 2 2 3 6" xfId="31929"/>
    <cellStyle name="Total 9 2 2 2 4" xfId="4456"/>
    <cellStyle name="Total 9 2 2 2 4 2" xfId="13649"/>
    <cellStyle name="Total 9 2 2 2 4 2 2" xfId="26853"/>
    <cellStyle name="Total 9 2 2 2 4 2 2 2" xfId="56032"/>
    <cellStyle name="Total 9 2 2 2 4 2 3" xfId="42830"/>
    <cellStyle name="Total 9 2 2 2 4 3" xfId="22425"/>
    <cellStyle name="Total 9 2 2 2 4 3 2" xfId="51604"/>
    <cellStyle name="Total 9 2 2 2 4 4" xfId="33639"/>
    <cellStyle name="Total 9 2 2 2 5" xfId="8141"/>
    <cellStyle name="Total 9 2 2 2 5 2" xfId="16423"/>
    <cellStyle name="Total 9 2 2 2 5 2 2" xfId="28612"/>
    <cellStyle name="Total 9 2 2 2 5 2 2 2" xfId="57791"/>
    <cellStyle name="Total 9 2 2 2 5 2 3" xfId="45604"/>
    <cellStyle name="Total 9 2 2 2 5 3" xfId="24184"/>
    <cellStyle name="Total 9 2 2 2 5 3 2" xfId="53363"/>
    <cellStyle name="Total 9 2 2 2 5 4" xfId="37324"/>
    <cellStyle name="Total 9 2 2 2 6" xfId="11112"/>
    <cellStyle name="Total 9 2 2 2 6 2" xfId="25389"/>
    <cellStyle name="Total 9 2 2 2 6 2 2" xfId="54568"/>
    <cellStyle name="Total 9 2 2 2 6 3" xfId="40293"/>
    <cellStyle name="Total 9 2 2 2 7" xfId="20961"/>
    <cellStyle name="Total 9 2 2 2 7 2" xfId="50140"/>
    <cellStyle name="Total 9 2 2 2 8" xfId="30105"/>
    <cellStyle name="Total 9 2 2 3" xfId="1100"/>
    <cellStyle name="Total 9 2 2 3 2" xfId="2010"/>
    <cellStyle name="Total 9 2 2 3 2 2" xfId="3810"/>
    <cellStyle name="Total 9 2 2 3 2 2 2" xfId="6744"/>
    <cellStyle name="Total 9 2 2 3 2 2 2 2" xfId="15430"/>
    <cellStyle name="Total 9 2 2 3 2 2 2 2 2" xfId="28007"/>
    <cellStyle name="Total 9 2 2 3 2 2 2 2 2 2" xfId="57186"/>
    <cellStyle name="Total 9 2 2 3 2 2 2 2 3" xfId="44611"/>
    <cellStyle name="Total 9 2 2 3 2 2 2 3" xfId="23579"/>
    <cellStyle name="Total 9 2 2 3 2 2 2 3 2" xfId="52758"/>
    <cellStyle name="Total 9 2 2 3 2 2 2 4" xfId="35927"/>
    <cellStyle name="Total 9 2 2 3 2 2 3" xfId="9650"/>
    <cellStyle name="Total 9 2 2 3 2 2 3 2" xfId="17509"/>
    <cellStyle name="Total 9 2 2 3 2 2 3 2 2" xfId="29212"/>
    <cellStyle name="Total 9 2 2 3 2 2 3 2 2 2" xfId="58391"/>
    <cellStyle name="Total 9 2 2 3 2 2 3 2 3" xfId="46690"/>
    <cellStyle name="Total 9 2 2 3 2 2 3 3" xfId="24784"/>
    <cellStyle name="Total 9 2 2 3 2 2 3 3 2" xfId="53963"/>
    <cellStyle name="Total 9 2 2 3 2 2 3 4" xfId="38833"/>
    <cellStyle name="Total 9 2 2 3 2 2 4" xfId="13167"/>
    <cellStyle name="Total 9 2 2 3 2 2 4 2" xfId="26567"/>
    <cellStyle name="Total 9 2 2 3 2 2 4 2 2" xfId="55746"/>
    <cellStyle name="Total 9 2 2 3 2 2 4 3" xfId="42348"/>
    <cellStyle name="Total 9 2 2 3 2 2 5" xfId="22139"/>
    <cellStyle name="Total 9 2 2 3 2 2 5 2" xfId="51318"/>
    <cellStyle name="Total 9 2 2 3 2 2 6" xfId="32993"/>
    <cellStyle name="Total 9 2 2 3 2 3" xfId="5304"/>
    <cellStyle name="Total 9 2 2 3 2 3 2" xfId="14309"/>
    <cellStyle name="Total 9 2 2 3 2 3 2 2" xfId="27287"/>
    <cellStyle name="Total 9 2 2 3 2 3 2 2 2" xfId="56466"/>
    <cellStyle name="Total 9 2 2 3 2 3 2 3" xfId="43490"/>
    <cellStyle name="Total 9 2 2 3 2 3 3" xfId="22859"/>
    <cellStyle name="Total 9 2 2 3 2 3 3 2" xfId="52038"/>
    <cellStyle name="Total 9 2 2 3 2 3 4" xfId="34487"/>
    <cellStyle name="Total 9 2 2 3 2 4" xfId="9239"/>
    <cellStyle name="Total 9 2 2 3 2 4 2" xfId="17219"/>
    <cellStyle name="Total 9 2 2 3 2 4 2 2" xfId="29044"/>
    <cellStyle name="Total 9 2 2 3 2 4 2 2 2" xfId="58223"/>
    <cellStyle name="Total 9 2 2 3 2 4 2 3" xfId="46400"/>
    <cellStyle name="Total 9 2 2 3 2 4 3" xfId="24616"/>
    <cellStyle name="Total 9 2 2 3 2 4 3 2" xfId="53795"/>
    <cellStyle name="Total 9 2 2 3 2 4 4" xfId="38422"/>
    <cellStyle name="Total 9 2 2 3 2 5" xfId="11891"/>
    <cellStyle name="Total 9 2 2 3 2 5 2" xfId="25847"/>
    <cellStyle name="Total 9 2 2 3 2 5 2 2" xfId="55026"/>
    <cellStyle name="Total 9 2 2 3 2 5 3" xfId="41072"/>
    <cellStyle name="Total 9 2 2 3 2 6" xfId="21419"/>
    <cellStyle name="Total 9 2 2 3 2 6 2" xfId="50598"/>
    <cellStyle name="Total 9 2 2 3 2 7" xfId="31193"/>
    <cellStyle name="Total 9 2 2 3 3" xfId="2910"/>
    <cellStyle name="Total 9 2 2 3 3 2" xfId="6024"/>
    <cellStyle name="Total 9 2 2 3 3 2 2" xfId="14870"/>
    <cellStyle name="Total 9 2 2 3 3 2 2 2" xfId="27647"/>
    <cellStyle name="Total 9 2 2 3 3 2 2 2 2" xfId="56826"/>
    <cellStyle name="Total 9 2 2 3 3 2 2 3" xfId="44051"/>
    <cellStyle name="Total 9 2 2 3 3 2 3" xfId="23219"/>
    <cellStyle name="Total 9 2 2 3 3 2 3 2" xfId="52398"/>
    <cellStyle name="Total 9 2 2 3 3 2 4" xfId="35207"/>
    <cellStyle name="Total 9 2 2 3 3 3" xfId="7547"/>
    <cellStyle name="Total 9 2 2 3 3 3 2" xfId="16011"/>
    <cellStyle name="Total 9 2 2 3 3 3 2 2" xfId="28384"/>
    <cellStyle name="Total 9 2 2 3 3 3 2 2 2" xfId="57563"/>
    <cellStyle name="Total 9 2 2 3 3 3 2 3" xfId="45192"/>
    <cellStyle name="Total 9 2 2 3 3 3 3" xfId="23956"/>
    <cellStyle name="Total 9 2 2 3 3 3 3 2" xfId="53135"/>
    <cellStyle name="Total 9 2 2 3 3 3 4" xfId="36730"/>
    <cellStyle name="Total 9 2 2 3 3 4" xfId="12527"/>
    <cellStyle name="Total 9 2 2 3 3 4 2" xfId="26207"/>
    <cellStyle name="Total 9 2 2 3 3 4 2 2" xfId="55386"/>
    <cellStyle name="Total 9 2 2 3 3 4 3" xfId="41708"/>
    <cellStyle name="Total 9 2 2 3 3 5" xfId="21779"/>
    <cellStyle name="Total 9 2 2 3 3 5 2" xfId="50958"/>
    <cellStyle name="Total 9 2 2 3 3 6" xfId="32093"/>
    <cellStyle name="Total 9 2 2 3 4" xfId="4584"/>
    <cellStyle name="Total 9 2 2 3 4 2" xfId="13750"/>
    <cellStyle name="Total 9 2 2 3 4 2 2" xfId="26927"/>
    <cellStyle name="Total 9 2 2 3 4 2 2 2" xfId="56106"/>
    <cellStyle name="Total 9 2 2 3 4 2 3" xfId="42931"/>
    <cellStyle name="Total 9 2 2 3 4 3" xfId="22499"/>
    <cellStyle name="Total 9 2 2 3 4 3 2" xfId="51678"/>
    <cellStyle name="Total 9 2 2 3 4 4" xfId="33767"/>
    <cellStyle name="Total 9 2 2 3 5" xfId="7478"/>
    <cellStyle name="Total 9 2 2 3 5 2" xfId="15961"/>
    <cellStyle name="Total 9 2 2 3 5 2 2" xfId="28357"/>
    <cellStyle name="Total 9 2 2 3 5 2 2 2" xfId="57536"/>
    <cellStyle name="Total 9 2 2 3 5 2 3" xfId="45142"/>
    <cellStyle name="Total 9 2 2 3 5 3" xfId="23929"/>
    <cellStyle name="Total 9 2 2 3 5 3 2" xfId="53108"/>
    <cellStyle name="Total 9 2 2 3 5 4" xfId="36661"/>
    <cellStyle name="Total 9 2 2 3 6" xfId="11255"/>
    <cellStyle name="Total 9 2 2 3 6 2" xfId="25484"/>
    <cellStyle name="Total 9 2 2 3 6 2 2" xfId="54663"/>
    <cellStyle name="Total 9 2 2 3 6 3" xfId="40436"/>
    <cellStyle name="Total 9 2 2 3 7" xfId="21056"/>
    <cellStyle name="Total 9 2 2 3 7 2" xfId="50235"/>
    <cellStyle name="Total 9 2 2 3 8" xfId="30290"/>
    <cellStyle name="Total 9 2 2 4" xfId="1250"/>
    <cellStyle name="Total 9 2 2 4 2" xfId="2154"/>
    <cellStyle name="Total 9 2 2 4 2 2" xfId="3954"/>
    <cellStyle name="Total 9 2 2 4 2 2 2" xfId="6861"/>
    <cellStyle name="Total 9 2 2 4 2 2 2 2" xfId="15520"/>
    <cellStyle name="Total 9 2 2 4 2 2 2 2 2" xfId="28070"/>
    <cellStyle name="Total 9 2 2 4 2 2 2 2 2 2" xfId="57249"/>
    <cellStyle name="Total 9 2 2 4 2 2 2 2 3" xfId="44701"/>
    <cellStyle name="Total 9 2 2 4 2 2 2 3" xfId="23642"/>
    <cellStyle name="Total 9 2 2 4 2 2 2 3 2" xfId="52821"/>
    <cellStyle name="Total 9 2 2 4 2 2 2 4" xfId="36044"/>
    <cellStyle name="Total 9 2 2 4 2 2 3" xfId="7126"/>
    <cellStyle name="Total 9 2 2 4 2 2 3 2" xfId="15716"/>
    <cellStyle name="Total 9 2 2 4 2 2 3 2 2" xfId="28198"/>
    <cellStyle name="Total 9 2 2 4 2 2 3 2 2 2" xfId="57377"/>
    <cellStyle name="Total 9 2 2 4 2 2 3 2 3" xfId="44897"/>
    <cellStyle name="Total 9 2 2 4 2 2 3 3" xfId="23770"/>
    <cellStyle name="Total 9 2 2 4 2 2 3 3 2" xfId="52949"/>
    <cellStyle name="Total 9 2 2 4 2 2 3 4" xfId="36309"/>
    <cellStyle name="Total 9 2 2 4 2 2 4" xfId="13265"/>
    <cellStyle name="Total 9 2 2 4 2 2 4 2" xfId="26630"/>
    <cellStyle name="Total 9 2 2 4 2 2 4 2 2" xfId="55809"/>
    <cellStyle name="Total 9 2 2 4 2 2 4 3" xfId="42446"/>
    <cellStyle name="Total 9 2 2 4 2 2 5" xfId="22202"/>
    <cellStyle name="Total 9 2 2 4 2 2 5 2" xfId="51381"/>
    <cellStyle name="Total 9 2 2 4 2 2 6" xfId="33137"/>
    <cellStyle name="Total 9 2 2 4 2 3" xfId="5421"/>
    <cellStyle name="Total 9 2 2 4 2 3 2" xfId="14398"/>
    <cellStyle name="Total 9 2 2 4 2 3 2 2" xfId="27350"/>
    <cellStyle name="Total 9 2 2 4 2 3 2 2 2" xfId="56529"/>
    <cellStyle name="Total 9 2 2 4 2 3 2 3" xfId="43579"/>
    <cellStyle name="Total 9 2 2 4 2 3 3" xfId="22922"/>
    <cellStyle name="Total 9 2 2 4 2 3 3 2" xfId="52101"/>
    <cellStyle name="Total 9 2 2 4 2 3 4" xfId="34604"/>
    <cellStyle name="Total 9 2 2 4 2 4" xfId="7306"/>
    <cellStyle name="Total 9 2 2 4 2 4 2" xfId="15844"/>
    <cellStyle name="Total 9 2 2 4 2 4 2 2" xfId="28283"/>
    <cellStyle name="Total 9 2 2 4 2 4 2 2 2" xfId="57462"/>
    <cellStyle name="Total 9 2 2 4 2 4 2 3" xfId="45025"/>
    <cellStyle name="Total 9 2 2 4 2 4 3" xfId="23855"/>
    <cellStyle name="Total 9 2 2 4 2 4 3 2" xfId="53034"/>
    <cellStyle name="Total 9 2 2 4 2 4 4" xfId="36489"/>
    <cellStyle name="Total 9 2 2 4 2 5" xfId="11990"/>
    <cellStyle name="Total 9 2 2 4 2 5 2" xfId="25910"/>
    <cellStyle name="Total 9 2 2 4 2 5 2 2" xfId="55089"/>
    <cellStyle name="Total 9 2 2 4 2 5 3" xfId="41171"/>
    <cellStyle name="Total 9 2 2 4 2 6" xfId="21482"/>
    <cellStyle name="Total 9 2 2 4 2 6 2" xfId="50661"/>
    <cellStyle name="Total 9 2 2 4 2 7" xfId="31337"/>
    <cellStyle name="Total 9 2 2 4 3" xfId="3054"/>
    <cellStyle name="Total 9 2 2 4 3 2" xfId="6141"/>
    <cellStyle name="Total 9 2 2 4 3 2 2" xfId="14959"/>
    <cellStyle name="Total 9 2 2 4 3 2 2 2" xfId="27710"/>
    <cellStyle name="Total 9 2 2 4 3 2 2 2 2" xfId="56889"/>
    <cellStyle name="Total 9 2 2 4 3 2 2 3" xfId="44140"/>
    <cellStyle name="Total 9 2 2 4 3 2 3" xfId="23282"/>
    <cellStyle name="Total 9 2 2 4 3 2 3 2" xfId="52461"/>
    <cellStyle name="Total 9 2 2 4 3 2 4" xfId="35324"/>
    <cellStyle name="Total 9 2 2 4 3 3" xfId="7379"/>
    <cellStyle name="Total 9 2 2 4 3 3 2" xfId="15894"/>
    <cellStyle name="Total 9 2 2 4 3 3 2 2" xfId="28314"/>
    <cellStyle name="Total 9 2 2 4 3 3 2 2 2" xfId="57493"/>
    <cellStyle name="Total 9 2 2 4 3 3 2 3" xfId="45075"/>
    <cellStyle name="Total 9 2 2 4 3 3 3" xfId="23886"/>
    <cellStyle name="Total 9 2 2 4 3 3 3 2" xfId="53065"/>
    <cellStyle name="Total 9 2 2 4 3 3 4" xfId="36562"/>
    <cellStyle name="Total 9 2 2 4 3 4" xfId="12626"/>
    <cellStyle name="Total 9 2 2 4 3 4 2" xfId="26270"/>
    <cellStyle name="Total 9 2 2 4 3 4 2 2" xfId="55449"/>
    <cellStyle name="Total 9 2 2 4 3 4 3" xfId="41807"/>
    <cellStyle name="Total 9 2 2 4 3 5" xfId="21842"/>
    <cellStyle name="Total 9 2 2 4 3 5 2" xfId="51021"/>
    <cellStyle name="Total 9 2 2 4 3 6" xfId="32237"/>
    <cellStyle name="Total 9 2 2 4 4" xfId="4701"/>
    <cellStyle name="Total 9 2 2 4 4 2" xfId="13839"/>
    <cellStyle name="Total 9 2 2 4 4 2 2" xfId="26990"/>
    <cellStyle name="Total 9 2 2 4 4 2 2 2" xfId="56169"/>
    <cellStyle name="Total 9 2 2 4 4 2 3" xfId="43020"/>
    <cellStyle name="Total 9 2 2 4 4 3" xfId="22562"/>
    <cellStyle name="Total 9 2 2 4 4 3 2" xfId="51741"/>
    <cellStyle name="Total 9 2 2 4 4 4" xfId="33884"/>
    <cellStyle name="Total 9 2 2 4 5" xfId="8869"/>
    <cellStyle name="Total 9 2 2 4 5 2" xfId="16955"/>
    <cellStyle name="Total 9 2 2 4 5 2 2" xfId="28900"/>
    <cellStyle name="Total 9 2 2 4 5 2 2 2" xfId="58079"/>
    <cellStyle name="Total 9 2 2 4 5 2 3" xfId="46136"/>
    <cellStyle name="Total 9 2 2 4 5 3" xfId="24472"/>
    <cellStyle name="Total 9 2 2 4 5 3 2" xfId="53651"/>
    <cellStyle name="Total 9 2 2 4 5 4" xfId="38052"/>
    <cellStyle name="Total 9 2 2 4 6" xfId="11360"/>
    <cellStyle name="Total 9 2 2 4 6 2" xfId="25550"/>
    <cellStyle name="Total 9 2 2 4 6 2 2" xfId="54729"/>
    <cellStyle name="Total 9 2 2 4 6 3" xfId="40541"/>
    <cellStyle name="Total 9 2 2 4 7" xfId="21122"/>
    <cellStyle name="Total 9 2 2 4 7 2" xfId="50301"/>
    <cellStyle name="Total 9 2 2 4 8" xfId="30437"/>
    <cellStyle name="Total 9 2 2 5" xfId="1396"/>
    <cellStyle name="Total 9 2 2 5 2" xfId="2298"/>
    <cellStyle name="Total 9 2 2 5 2 2" xfId="4098"/>
    <cellStyle name="Total 9 2 2 5 2 2 2" xfId="6978"/>
    <cellStyle name="Total 9 2 2 5 2 2 2 2" xfId="15610"/>
    <cellStyle name="Total 9 2 2 5 2 2 2 2 2" xfId="28133"/>
    <cellStyle name="Total 9 2 2 5 2 2 2 2 2 2" xfId="57312"/>
    <cellStyle name="Total 9 2 2 5 2 2 2 2 3" xfId="44791"/>
    <cellStyle name="Total 9 2 2 5 2 2 2 3" xfId="23705"/>
    <cellStyle name="Total 9 2 2 5 2 2 2 3 2" xfId="52884"/>
    <cellStyle name="Total 9 2 2 5 2 2 2 4" xfId="36161"/>
    <cellStyle name="Total 9 2 2 5 2 2 3" xfId="6981"/>
    <cellStyle name="Total 9 2 2 5 2 2 3 2" xfId="15611"/>
    <cellStyle name="Total 9 2 2 5 2 2 3 2 2" xfId="28134"/>
    <cellStyle name="Total 9 2 2 5 2 2 3 2 2 2" xfId="57313"/>
    <cellStyle name="Total 9 2 2 5 2 2 3 2 3" xfId="44792"/>
    <cellStyle name="Total 9 2 2 5 2 2 3 3" xfId="23706"/>
    <cellStyle name="Total 9 2 2 5 2 2 3 3 2" xfId="52885"/>
    <cellStyle name="Total 9 2 2 5 2 2 3 4" xfId="36164"/>
    <cellStyle name="Total 9 2 2 5 2 2 4" xfId="13370"/>
    <cellStyle name="Total 9 2 2 5 2 2 4 2" xfId="26693"/>
    <cellStyle name="Total 9 2 2 5 2 2 4 2 2" xfId="55872"/>
    <cellStyle name="Total 9 2 2 5 2 2 4 3" xfId="42551"/>
    <cellStyle name="Total 9 2 2 5 2 2 5" xfId="22265"/>
    <cellStyle name="Total 9 2 2 5 2 2 5 2" xfId="51444"/>
    <cellStyle name="Total 9 2 2 5 2 2 6" xfId="33281"/>
    <cellStyle name="Total 9 2 2 5 2 3" xfId="5538"/>
    <cellStyle name="Total 9 2 2 5 2 3 2" xfId="14491"/>
    <cellStyle name="Total 9 2 2 5 2 3 2 2" xfId="27413"/>
    <cellStyle name="Total 9 2 2 5 2 3 2 2 2" xfId="56592"/>
    <cellStyle name="Total 9 2 2 5 2 3 2 3" xfId="43672"/>
    <cellStyle name="Total 9 2 2 5 2 3 3" xfId="22985"/>
    <cellStyle name="Total 9 2 2 5 2 3 3 2" xfId="52164"/>
    <cellStyle name="Total 9 2 2 5 2 3 4" xfId="34721"/>
    <cellStyle name="Total 9 2 2 5 2 4" xfId="7827"/>
    <cellStyle name="Total 9 2 2 5 2 4 2" xfId="16201"/>
    <cellStyle name="Total 9 2 2 5 2 4 2 2" xfId="28486"/>
    <cellStyle name="Total 9 2 2 5 2 4 2 2 2" xfId="57665"/>
    <cellStyle name="Total 9 2 2 5 2 4 2 3" xfId="45382"/>
    <cellStyle name="Total 9 2 2 5 2 4 3" xfId="24058"/>
    <cellStyle name="Total 9 2 2 5 2 4 3 2" xfId="53237"/>
    <cellStyle name="Total 9 2 2 5 2 4 4" xfId="37010"/>
    <cellStyle name="Total 9 2 2 5 2 5" xfId="12091"/>
    <cellStyle name="Total 9 2 2 5 2 5 2" xfId="25973"/>
    <cellStyle name="Total 9 2 2 5 2 5 2 2" xfId="55152"/>
    <cellStyle name="Total 9 2 2 5 2 5 3" xfId="41272"/>
    <cellStyle name="Total 9 2 2 5 2 6" xfId="21545"/>
    <cellStyle name="Total 9 2 2 5 2 6 2" xfId="50724"/>
    <cellStyle name="Total 9 2 2 5 2 7" xfId="31481"/>
    <cellStyle name="Total 9 2 2 5 3" xfId="3198"/>
    <cellStyle name="Total 9 2 2 5 3 2" xfId="6258"/>
    <cellStyle name="Total 9 2 2 5 3 2 2" xfId="15051"/>
    <cellStyle name="Total 9 2 2 5 3 2 2 2" xfId="27773"/>
    <cellStyle name="Total 9 2 2 5 3 2 2 2 2" xfId="56952"/>
    <cellStyle name="Total 9 2 2 5 3 2 2 3" xfId="44232"/>
    <cellStyle name="Total 9 2 2 5 3 2 3" xfId="23345"/>
    <cellStyle name="Total 9 2 2 5 3 2 3 2" xfId="52524"/>
    <cellStyle name="Total 9 2 2 5 3 2 4" xfId="35441"/>
    <cellStyle name="Total 9 2 2 5 3 3" xfId="7171"/>
    <cellStyle name="Total 9 2 2 5 3 3 2" xfId="15747"/>
    <cellStyle name="Total 9 2 2 5 3 3 2 2" xfId="28219"/>
    <cellStyle name="Total 9 2 2 5 3 3 2 2 2" xfId="57398"/>
    <cellStyle name="Total 9 2 2 5 3 3 2 3" xfId="44928"/>
    <cellStyle name="Total 9 2 2 5 3 3 3" xfId="23791"/>
    <cellStyle name="Total 9 2 2 5 3 3 3 2" xfId="52970"/>
    <cellStyle name="Total 9 2 2 5 3 3 4" xfId="36354"/>
    <cellStyle name="Total 9 2 2 5 3 4" xfId="12732"/>
    <cellStyle name="Total 9 2 2 5 3 4 2" xfId="26333"/>
    <cellStyle name="Total 9 2 2 5 3 4 2 2" xfId="55512"/>
    <cellStyle name="Total 9 2 2 5 3 4 3" xfId="41913"/>
    <cellStyle name="Total 9 2 2 5 3 5" xfId="21905"/>
    <cellStyle name="Total 9 2 2 5 3 5 2" xfId="51084"/>
    <cellStyle name="Total 9 2 2 5 3 6" xfId="32381"/>
    <cellStyle name="Total 9 2 2 5 4" xfId="4818"/>
    <cellStyle name="Total 9 2 2 5 4 2" xfId="13927"/>
    <cellStyle name="Total 9 2 2 5 4 2 2" xfId="27053"/>
    <cellStyle name="Total 9 2 2 5 4 2 2 2" xfId="56232"/>
    <cellStyle name="Total 9 2 2 5 4 2 3" xfId="43108"/>
    <cellStyle name="Total 9 2 2 5 4 3" xfId="22625"/>
    <cellStyle name="Total 9 2 2 5 4 3 2" xfId="51804"/>
    <cellStyle name="Total 9 2 2 5 4 4" xfId="34001"/>
    <cellStyle name="Total 9 2 2 5 5" xfId="7891"/>
    <cellStyle name="Total 9 2 2 5 5 2" xfId="16244"/>
    <cellStyle name="Total 9 2 2 5 5 2 2" xfId="28512"/>
    <cellStyle name="Total 9 2 2 5 5 2 2 2" xfId="57691"/>
    <cellStyle name="Total 9 2 2 5 5 2 3" xfId="45425"/>
    <cellStyle name="Total 9 2 2 5 5 3" xfId="24084"/>
    <cellStyle name="Total 9 2 2 5 5 3 2" xfId="53263"/>
    <cellStyle name="Total 9 2 2 5 5 4" xfId="37074"/>
    <cellStyle name="Total 9 2 2 5 6" xfId="11460"/>
    <cellStyle name="Total 9 2 2 5 6 2" xfId="25613"/>
    <cellStyle name="Total 9 2 2 5 6 2 2" xfId="54792"/>
    <cellStyle name="Total 9 2 2 5 6 3" xfId="40641"/>
    <cellStyle name="Total 9 2 2 5 7" xfId="21185"/>
    <cellStyle name="Total 9 2 2 5 7 2" xfId="50364"/>
    <cellStyle name="Total 9 2 2 5 8" xfId="30581"/>
    <cellStyle name="Total 9 2 2 6" xfId="1578"/>
    <cellStyle name="Total 9 2 2 6 2" xfId="3378"/>
    <cellStyle name="Total 9 2 2 6 2 2" xfId="6402"/>
    <cellStyle name="Total 9 2 2 6 2 2 2" xfId="15157"/>
    <cellStyle name="Total 9 2 2 6 2 2 2 2" xfId="27845"/>
    <cellStyle name="Total 9 2 2 6 2 2 2 2 2" xfId="57024"/>
    <cellStyle name="Total 9 2 2 6 2 2 2 3" xfId="44338"/>
    <cellStyle name="Total 9 2 2 6 2 2 3" xfId="23417"/>
    <cellStyle name="Total 9 2 2 6 2 2 3 2" xfId="52596"/>
    <cellStyle name="Total 9 2 2 6 2 2 4" xfId="35585"/>
    <cellStyle name="Total 9 2 2 6 2 3" xfId="7578"/>
    <cellStyle name="Total 9 2 2 6 2 3 2" xfId="16032"/>
    <cellStyle name="Total 9 2 2 6 2 3 2 2" xfId="28393"/>
    <cellStyle name="Total 9 2 2 6 2 3 2 2 2" xfId="57572"/>
    <cellStyle name="Total 9 2 2 6 2 3 2 3" xfId="45213"/>
    <cellStyle name="Total 9 2 2 6 2 3 3" xfId="23965"/>
    <cellStyle name="Total 9 2 2 6 2 3 3 2" xfId="53144"/>
    <cellStyle name="Total 9 2 2 6 2 3 4" xfId="36761"/>
    <cellStyle name="Total 9 2 2 6 2 4" xfId="12854"/>
    <cellStyle name="Total 9 2 2 6 2 4 2" xfId="26405"/>
    <cellStyle name="Total 9 2 2 6 2 4 2 2" xfId="55584"/>
    <cellStyle name="Total 9 2 2 6 2 4 3" xfId="42035"/>
    <cellStyle name="Total 9 2 2 6 2 5" xfId="21977"/>
    <cellStyle name="Total 9 2 2 6 2 5 2" xfId="51156"/>
    <cellStyle name="Total 9 2 2 6 2 6" xfId="32561"/>
    <cellStyle name="Total 9 2 2 6 3" xfId="4962"/>
    <cellStyle name="Total 9 2 2 6 3 2" xfId="14036"/>
    <cellStyle name="Total 9 2 2 6 3 2 2" xfId="27125"/>
    <cellStyle name="Total 9 2 2 6 3 2 2 2" xfId="56304"/>
    <cellStyle name="Total 9 2 2 6 3 2 3" xfId="43217"/>
    <cellStyle name="Total 9 2 2 6 3 3" xfId="22697"/>
    <cellStyle name="Total 9 2 2 6 3 3 2" xfId="51876"/>
    <cellStyle name="Total 9 2 2 6 3 4" xfId="34145"/>
    <cellStyle name="Total 9 2 2 6 4" xfId="8985"/>
    <cellStyle name="Total 9 2 2 6 4 2" xfId="17040"/>
    <cellStyle name="Total 9 2 2 6 4 2 2" xfId="28943"/>
    <cellStyle name="Total 9 2 2 6 4 2 2 2" xfId="58122"/>
    <cellStyle name="Total 9 2 2 6 4 2 3" xfId="46221"/>
    <cellStyle name="Total 9 2 2 6 4 3" xfId="24515"/>
    <cellStyle name="Total 9 2 2 6 4 3 2" xfId="53694"/>
    <cellStyle name="Total 9 2 2 6 4 4" xfId="38168"/>
    <cellStyle name="Total 9 2 2 6 5" xfId="11583"/>
    <cellStyle name="Total 9 2 2 6 5 2" xfId="25685"/>
    <cellStyle name="Total 9 2 2 6 5 2 2" xfId="54864"/>
    <cellStyle name="Total 9 2 2 6 5 3" xfId="40764"/>
    <cellStyle name="Total 9 2 2 6 6" xfId="21257"/>
    <cellStyle name="Total 9 2 2 6 6 2" xfId="50436"/>
    <cellStyle name="Total 9 2 2 6 7" xfId="30761"/>
    <cellStyle name="Total 9 2 2 7" xfId="2478"/>
    <cellStyle name="Total 9 2 2 7 2" xfId="5682"/>
    <cellStyle name="Total 9 2 2 7 2 2" xfId="14604"/>
    <cellStyle name="Total 9 2 2 7 2 2 2" xfId="27485"/>
    <cellStyle name="Total 9 2 2 7 2 2 2 2" xfId="56664"/>
    <cellStyle name="Total 9 2 2 7 2 2 3" xfId="43785"/>
    <cellStyle name="Total 9 2 2 7 2 3" xfId="23057"/>
    <cellStyle name="Total 9 2 2 7 2 3 2" xfId="52236"/>
    <cellStyle name="Total 9 2 2 7 2 4" xfId="34865"/>
    <cellStyle name="Total 9 2 2 7 3" xfId="10512"/>
    <cellStyle name="Total 9 2 2 7 3 2" xfId="18115"/>
    <cellStyle name="Total 9 2 2 7 3 2 2" xfId="29546"/>
    <cellStyle name="Total 9 2 2 7 3 2 2 2" xfId="58725"/>
    <cellStyle name="Total 9 2 2 7 3 2 3" xfId="47296"/>
    <cellStyle name="Total 9 2 2 7 3 3" xfId="25118"/>
    <cellStyle name="Total 9 2 2 7 3 3 2" xfId="54297"/>
    <cellStyle name="Total 9 2 2 7 3 4" xfId="39695"/>
    <cellStyle name="Total 9 2 2 7 4" xfId="12220"/>
    <cellStyle name="Total 9 2 2 7 4 2" xfId="26045"/>
    <cellStyle name="Total 9 2 2 7 4 2 2" xfId="55224"/>
    <cellStyle name="Total 9 2 2 7 4 3" xfId="41401"/>
    <cellStyle name="Total 9 2 2 7 5" xfId="21617"/>
    <cellStyle name="Total 9 2 2 7 5 2" xfId="50796"/>
    <cellStyle name="Total 9 2 2 7 6" xfId="31661"/>
    <cellStyle name="Total 9 2 2 8" xfId="4242"/>
    <cellStyle name="Total 9 2 2 8 2" xfId="13485"/>
    <cellStyle name="Total 9 2 2 8 2 2" xfId="26765"/>
    <cellStyle name="Total 9 2 2 8 2 2 2" xfId="55944"/>
    <cellStyle name="Total 9 2 2 8 2 3" xfId="42666"/>
    <cellStyle name="Total 9 2 2 8 3" xfId="22337"/>
    <cellStyle name="Total 9 2 2 8 3 2" xfId="51516"/>
    <cellStyle name="Total 9 2 2 8 4" xfId="33425"/>
    <cellStyle name="Total 9 2 2 9" xfId="8620"/>
    <cellStyle name="Total 9 2 2 9 2" xfId="16766"/>
    <cellStyle name="Total 9 2 2 9 2 2" xfId="28794"/>
    <cellStyle name="Total 9 2 2 9 2 2 2" xfId="57973"/>
    <cellStyle name="Total 9 2 2 9 2 3" xfId="45947"/>
    <cellStyle name="Total 9 2 2 9 3" xfId="24366"/>
    <cellStyle name="Total 9 2 2 9 3 2" xfId="53545"/>
    <cellStyle name="Total 9 2 2 9 4" xfId="37803"/>
    <cellStyle name="Total 9 2 3" xfId="818"/>
    <cellStyle name="Total 9 2 3 2" xfId="1756"/>
    <cellStyle name="Total 9 2 3 2 2" xfId="3556"/>
    <cellStyle name="Total 9 2 3 2 2 2" xfId="6544"/>
    <cellStyle name="Total 9 2 3 2 2 2 2" xfId="15273"/>
    <cellStyle name="Total 9 2 3 2 2 2 2 2" xfId="27897"/>
    <cellStyle name="Total 9 2 3 2 2 2 2 2 2" xfId="57076"/>
    <cellStyle name="Total 9 2 3 2 2 2 2 3" xfId="44454"/>
    <cellStyle name="Total 9 2 3 2 2 2 3" xfId="23469"/>
    <cellStyle name="Total 9 2 3 2 2 2 3 2" xfId="52648"/>
    <cellStyle name="Total 9 2 3 2 2 2 4" xfId="35727"/>
    <cellStyle name="Total 9 2 3 2 2 3" xfId="8804"/>
    <cellStyle name="Total 9 2 3 2 2 3 2" xfId="16902"/>
    <cellStyle name="Total 9 2 3 2 2 3 2 2" xfId="28871"/>
    <cellStyle name="Total 9 2 3 2 2 3 2 2 2" xfId="58050"/>
    <cellStyle name="Total 9 2 3 2 2 3 2 3" xfId="46083"/>
    <cellStyle name="Total 9 2 3 2 2 3 3" xfId="24443"/>
    <cellStyle name="Total 9 2 3 2 2 3 3 2" xfId="53622"/>
    <cellStyle name="Total 9 2 3 2 2 3 4" xfId="37987"/>
    <cellStyle name="Total 9 2 3 2 2 4" xfId="12984"/>
    <cellStyle name="Total 9 2 3 2 2 4 2" xfId="26457"/>
    <cellStyle name="Total 9 2 3 2 2 4 2 2" xfId="55636"/>
    <cellStyle name="Total 9 2 3 2 2 4 3" xfId="42165"/>
    <cellStyle name="Total 9 2 3 2 2 5" xfId="22029"/>
    <cellStyle name="Total 9 2 3 2 2 5 2" xfId="51208"/>
    <cellStyle name="Total 9 2 3 2 2 6" xfId="32739"/>
    <cellStyle name="Total 9 2 3 2 3" xfId="5104"/>
    <cellStyle name="Total 9 2 3 2 3 2" xfId="14149"/>
    <cellStyle name="Total 9 2 3 2 3 2 2" xfId="27177"/>
    <cellStyle name="Total 9 2 3 2 3 2 2 2" xfId="56356"/>
    <cellStyle name="Total 9 2 3 2 3 2 3" xfId="43330"/>
    <cellStyle name="Total 9 2 3 2 3 3" xfId="22749"/>
    <cellStyle name="Total 9 2 3 2 3 3 2" xfId="51928"/>
    <cellStyle name="Total 9 2 3 2 3 4" xfId="34287"/>
    <cellStyle name="Total 9 2 3 2 4" xfId="9788"/>
    <cellStyle name="Total 9 2 3 2 4 2" xfId="17615"/>
    <cellStyle name="Total 9 2 3 2 4 2 2" xfId="29268"/>
    <cellStyle name="Total 9 2 3 2 4 2 2 2" xfId="58447"/>
    <cellStyle name="Total 9 2 3 2 4 2 3" xfId="46796"/>
    <cellStyle name="Total 9 2 3 2 4 3" xfId="24840"/>
    <cellStyle name="Total 9 2 3 2 4 3 2" xfId="54019"/>
    <cellStyle name="Total 9 2 3 2 4 4" xfId="38971"/>
    <cellStyle name="Total 9 2 3 2 5" xfId="11710"/>
    <cellStyle name="Total 9 2 3 2 5 2" xfId="25737"/>
    <cellStyle name="Total 9 2 3 2 5 2 2" xfId="54916"/>
    <cellStyle name="Total 9 2 3 2 5 3" xfId="40891"/>
    <cellStyle name="Total 9 2 3 2 6" xfId="21309"/>
    <cellStyle name="Total 9 2 3 2 6 2" xfId="50488"/>
    <cellStyle name="Total 9 2 3 2 7" xfId="30939"/>
    <cellStyle name="Total 9 2 3 3" xfId="2656"/>
    <cellStyle name="Total 9 2 3 3 2" xfId="5824"/>
    <cellStyle name="Total 9 2 3 3 2 2" xfId="14714"/>
    <cellStyle name="Total 9 2 3 3 2 2 2" xfId="27537"/>
    <cellStyle name="Total 9 2 3 3 2 2 2 2" xfId="56716"/>
    <cellStyle name="Total 9 2 3 3 2 2 3" xfId="43895"/>
    <cellStyle name="Total 9 2 3 3 2 3" xfId="23109"/>
    <cellStyle name="Total 9 2 3 3 2 3 2" xfId="52288"/>
    <cellStyle name="Total 9 2 3 3 2 4" xfId="35007"/>
    <cellStyle name="Total 9 2 3 3 3" xfId="9012"/>
    <cellStyle name="Total 9 2 3 3 3 2" xfId="17063"/>
    <cellStyle name="Total 9 2 3 3 3 2 2" xfId="28958"/>
    <cellStyle name="Total 9 2 3 3 3 2 2 2" xfId="58137"/>
    <cellStyle name="Total 9 2 3 3 3 2 3" xfId="46244"/>
    <cellStyle name="Total 9 2 3 3 3 3" xfId="24530"/>
    <cellStyle name="Total 9 2 3 3 3 3 2" xfId="53709"/>
    <cellStyle name="Total 9 2 3 3 3 4" xfId="38195"/>
    <cellStyle name="Total 9 2 3 3 4" xfId="12346"/>
    <cellStyle name="Total 9 2 3 3 4 2" xfId="26097"/>
    <cellStyle name="Total 9 2 3 3 4 2 2" xfId="55276"/>
    <cellStyle name="Total 9 2 3 3 4 3" xfId="41527"/>
    <cellStyle name="Total 9 2 3 3 5" xfId="21669"/>
    <cellStyle name="Total 9 2 3 3 5 2" xfId="50848"/>
    <cellStyle name="Total 9 2 3 3 6" xfId="31839"/>
    <cellStyle name="Total 9 2 3 4" xfId="4384"/>
    <cellStyle name="Total 9 2 3 4 2" xfId="13590"/>
    <cellStyle name="Total 9 2 3 4 2 2" xfId="26817"/>
    <cellStyle name="Total 9 2 3 4 2 2 2" xfId="55996"/>
    <cellStyle name="Total 9 2 3 4 2 3" xfId="42771"/>
    <cellStyle name="Total 9 2 3 4 3" xfId="22389"/>
    <cellStyle name="Total 9 2 3 4 3 2" xfId="51568"/>
    <cellStyle name="Total 9 2 3 4 4" xfId="33567"/>
    <cellStyle name="Total 9 2 3 5" xfId="10114"/>
    <cellStyle name="Total 9 2 3 5 2" xfId="17837"/>
    <cellStyle name="Total 9 2 3 5 2 2" xfId="29393"/>
    <cellStyle name="Total 9 2 3 5 2 2 2" xfId="58572"/>
    <cellStyle name="Total 9 2 3 5 2 3" xfId="47018"/>
    <cellStyle name="Total 9 2 3 5 3" xfId="24965"/>
    <cellStyle name="Total 9 2 3 5 3 2" xfId="54144"/>
    <cellStyle name="Total 9 2 3 5 4" xfId="39297"/>
    <cellStyle name="Total 9 2 3 6" xfId="11049"/>
    <cellStyle name="Total 9 2 3 6 2" xfId="25353"/>
    <cellStyle name="Total 9 2 3 6 2 2" xfId="54532"/>
    <cellStyle name="Total 9 2 3 6 3" xfId="40230"/>
    <cellStyle name="Total 9 2 3 7" xfId="20925"/>
    <cellStyle name="Total 9 2 3 7 2" xfId="50104"/>
    <cellStyle name="Total 9 2 3 8" xfId="30015"/>
    <cellStyle name="Total 9 2 4" xfId="1010"/>
    <cellStyle name="Total 9 2 4 2" xfId="1920"/>
    <cellStyle name="Total 9 2 4 2 2" xfId="3720"/>
    <cellStyle name="Total 9 2 4 2 2 2" xfId="6672"/>
    <cellStyle name="Total 9 2 4 2 2 2 2" xfId="15373"/>
    <cellStyle name="Total 9 2 4 2 2 2 2 2" xfId="27971"/>
    <cellStyle name="Total 9 2 4 2 2 2 2 2 2" xfId="57150"/>
    <cellStyle name="Total 9 2 4 2 2 2 2 3" xfId="44554"/>
    <cellStyle name="Total 9 2 4 2 2 2 3" xfId="23543"/>
    <cellStyle name="Total 9 2 4 2 2 2 3 2" xfId="52722"/>
    <cellStyle name="Total 9 2 4 2 2 2 4" xfId="35855"/>
    <cellStyle name="Total 9 2 4 2 2 3" xfId="8685"/>
    <cellStyle name="Total 9 2 4 2 2 3 2" xfId="16815"/>
    <cellStyle name="Total 9 2 4 2 2 3 2 2" xfId="28823"/>
    <cellStyle name="Total 9 2 4 2 2 3 2 2 2" xfId="58002"/>
    <cellStyle name="Total 9 2 4 2 2 3 2 3" xfId="45996"/>
    <cellStyle name="Total 9 2 4 2 2 3 3" xfId="24395"/>
    <cellStyle name="Total 9 2 4 2 2 3 3 2" xfId="53574"/>
    <cellStyle name="Total 9 2 4 2 2 3 4" xfId="37868"/>
    <cellStyle name="Total 9 2 4 2 2 4" xfId="13104"/>
    <cellStyle name="Total 9 2 4 2 2 4 2" xfId="26531"/>
    <cellStyle name="Total 9 2 4 2 2 4 2 2" xfId="55710"/>
    <cellStyle name="Total 9 2 4 2 2 4 3" xfId="42285"/>
    <cellStyle name="Total 9 2 4 2 2 5" xfId="22103"/>
    <cellStyle name="Total 9 2 4 2 2 5 2" xfId="51282"/>
    <cellStyle name="Total 9 2 4 2 2 6" xfId="32903"/>
    <cellStyle name="Total 9 2 4 2 3" xfId="5232"/>
    <cellStyle name="Total 9 2 4 2 3 2" xfId="14251"/>
    <cellStyle name="Total 9 2 4 2 3 2 2" xfId="27251"/>
    <cellStyle name="Total 9 2 4 2 3 2 2 2" xfId="56430"/>
    <cellStyle name="Total 9 2 4 2 3 2 3" xfId="43432"/>
    <cellStyle name="Total 9 2 4 2 3 3" xfId="22823"/>
    <cellStyle name="Total 9 2 4 2 3 3 2" xfId="52002"/>
    <cellStyle name="Total 9 2 4 2 3 4" xfId="34415"/>
    <cellStyle name="Total 9 2 4 2 4" xfId="8627"/>
    <cellStyle name="Total 9 2 4 2 4 2" xfId="16772"/>
    <cellStyle name="Total 9 2 4 2 4 2 2" xfId="28797"/>
    <cellStyle name="Total 9 2 4 2 4 2 2 2" xfId="57976"/>
    <cellStyle name="Total 9 2 4 2 4 2 3" xfId="45953"/>
    <cellStyle name="Total 9 2 4 2 4 3" xfId="24369"/>
    <cellStyle name="Total 9 2 4 2 4 3 2" xfId="53548"/>
    <cellStyle name="Total 9 2 4 2 4 4" xfId="37810"/>
    <cellStyle name="Total 9 2 4 2 5" xfId="11828"/>
    <cellStyle name="Total 9 2 4 2 5 2" xfId="25811"/>
    <cellStyle name="Total 9 2 4 2 5 2 2" xfId="54990"/>
    <cellStyle name="Total 9 2 4 2 5 3" xfId="41009"/>
    <cellStyle name="Total 9 2 4 2 6" xfId="21383"/>
    <cellStyle name="Total 9 2 4 2 6 2" xfId="50562"/>
    <cellStyle name="Total 9 2 4 2 7" xfId="31103"/>
    <cellStyle name="Total 9 2 4 3" xfId="2820"/>
    <cellStyle name="Total 9 2 4 3 2" xfId="5952"/>
    <cellStyle name="Total 9 2 4 3 2 2" xfId="14815"/>
    <cellStyle name="Total 9 2 4 3 2 2 2" xfId="27611"/>
    <cellStyle name="Total 9 2 4 3 2 2 2 2" xfId="56790"/>
    <cellStyle name="Total 9 2 4 3 2 2 3" xfId="43996"/>
    <cellStyle name="Total 9 2 4 3 2 3" xfId="23183"/>
    <cellStyle name="Total 9 2 4 3 2 3 2" xfId="52362"/>
    <cellStyle name="Total 9 2 4 3 2 4" xfId="35135"/>
    <cellStyle name="Total 9 2 4 3 3" xfId="9936"/>
    <cellStyle name="Total 9 2 4 3 3 2" xfId="17717"/>
    <cellStyle name="Total 9 2 4 3 3 2 2" xfId="29324"/>
    <cellStyle name="Total 9 2 4 3 3 2 2 2" xfId="58503"/>
    <cellStyle name="Total 9 2 4 3 3 2 3" xfId="46898"/>
    <cellStyle name="Total 9 2 4 3 3 3" xfId="24896"/>
    <cellStyle name="Total 9 2 4 3 3 3 2" xfId="54075"/>
    <cellStyle name="Total 9 2 4 3 3 4" xfId="39119"/>
    <cellStyle name="Total 9 2 4 3 4" xfId="12465"/>
    <cellStyle name="Total 9 2 4 3 4 2" xfId="26171"/>
    <cellStyle name="Total 9 2 4 3 4 2 2" xfId="55350"/>
    <cellStyle name="Total 9 2 4 3 4 3" xfId="41646"/>
    <cellStyle name="Total 9 2 4 3 5" xfId="21743"/>
    <cellStyle name="Total 9 2 4 3 5 2" xfId="50922"/>
    <cellStyle name="Total 9 2 4 3 6" xfId="32003"/>
    <cellStyle name="Total 9 2 4 4" xfId="4512"/>
    <cellStyle name="Total 9 2 4 4 2" xfId="13694"/>
    <cellStyle name="Total 9 2 4 4 2 2" xfId="26891"/>
    <cellStyle name="Total 9 2 4 4 2 2 2" xfId="56070"/>
    <cellStyle name="Total 9 2 4 4 2 3" xfId="42875"/>
    <cellStyle name="Total 9 2 4 4 3" xfId="22463"/>
    <cellStyle name="Total 9 2 4 4 3 2" xfId="51642"/>
    <cellStyle name="Total 9 2 4 4 4" xfId="33695"/>
    <cellStyle name="Total 9 2 4 5" xfId="8872"/>
    <cellStyle name="Total 9 2 4 5 2" xfId="16957"/>
    <cellStyle name="Total 9 2 4 5 2 2" xfId="28902"/>
    <cellStyle name="Total 9 2 4 5 2 2 2" xfId="58081"/>
    <cellStyle name="Total 9 2 4 5 2 3" xfId="46138"/>
    <cellStyle name="Total 9 2 4 5 3" xfId="24474"/>
    <cellStyle name="Total 9 2 4 5 3 2" xfId="53653"/>
    <cellStyle name="Total 9 2 4 5 4" xfId="38055"/>
    <cellStyle name="Total 9 2 4 6" xfId="11191"/>
    <cellStyle name="Total 9 2 4 6 2" xfId="25448"/>
    <cellStyle name="Total 9 2 4 6 2 2" xfId="54627"/>
    <cellStyle name="Total 9 2 4 6 3" xfId="40372"/>
    <cellStyle name="Total 9 2 4 7" xfId="21020"/>
    <cellStyle name="Total 9 2 4 7 2" xfId="50199"/>
    <cellStyle name="Total 9 2 4 8" xfId="30200"/>
    <cellStyle name="Total 9 2 5" xfId="1160"/>
    <cellStyle name="Total 9 2 5 2" xfId="2064"/>
    <cellStyle name="Total 9 2 5 2 2" xfId="3864"/>
    <cellStyle name="Total 9 2 5 2 2 2" xfId="6789"/>
    <cellStyle name="Total 9 2 5 2 2 2 2" xfId="15465"/>
    <cellStyle name="Total 9 2 5 2 2 2 2 2" xfId="28034"/>
    <cellStyle name="Total 9 2 5 2 2 2 2 2 2" xfId="57213"/>
    <cellStyle name="Total 9 2 5 2 2 2 2 3" xfId="44646"/>
    <cellStyle name="Total 9 2 5 2 2 2 3" xfId="23606"/>
    <cellStyle name="Total 9 2 5 2 2 2 3 2" xfId="52785"/>
    <cellStyle name="Total 9 2 5 2 2 2 4" xfId="35972"/>
    <cellStyle name="Total 9 2 5 2 2 3" xfId="9965"/>
    <cellStyle name="Total 9 2 5 2 2 3 2" xfId="17740"/>
    <cellStyle name="Total 9 2 5 2 2 3 2 2" xfId="29334"/>
    <cellStyle name="Total 9 2 5 2 2 3 2 2 2" xfId="58513"/>
    <cellStyle name="Total 9 2 5 2 2 3 2 3" xfId="46921"/>
    <cellStyle name="Total 9 2 5 2 2 3 3" xfId="24906"/>
    <cellStyle name="Total 9 2 5 2 2 3 3 2" xfId="54085"/>
    <cellStyle name="Total 9 2 5 2 2 3 4" xfId="39148"/>
    <cellStyle name="Total 9 2 5 2 2 4" xfId="13204"/>
    <cellStyle name="Total 9 2 5 2 2 4 2" xfId="26594"/>
    <cellStyle name="Total 9 2 5 2 2 4 2 2" xfId="55773"/>
    <cellStyle name="Total 9 2 5 2 2 4 3" xfId="42385"/>
    <cellStyle name="Total 9 2 5 2 2 5" xfId="22166"/>
    <cellStyle name="Total 9 2 5 2 2 5 2" xfId="51345"/>
    <cellStyle name="Total 9 2 5 2 2 6" xfId="33047"/>
    <cellStyle name="Total 9 2 5 2 3" xfId="5349"/>
    <cellStyle name="Total 9 2 5 2 3 2" xfId="14344"/>
    <cellStyle name="Total 9 2 5 2 3 2 2" xfId="27314"/>
    <cellStyle name="Total 9 2 5 2 3 2 2 2" xfId="56493"/>
    <cellStyle name="Total 9 2 5 2 3 2 3" xfId="43525"/>
    <cellStyle name="Total 9 2 5 2 3 3" xfId="22886"/>
    <cellStyle name="Total 9 2 5 2 3 3 2" xfId="52065"/>
    <cellStyle name="Total 9 2 5 2 3 4" xfId="34532"/>
    <cellStyle name="Total 9 2 5 2 4" xfId="9511"/>
    <cellStyle name="Total 9 2 5 2 4 2" xfId="17411"/>
    <cellStyle name="Total 9 2 5 2 4 2 2" xfId="29158"/>
    <cellStyle name="Total 9 2 5 2 4 2 2 2" xfId="58337"/>
    <cellStyle name="Total 9 2 5 2 4 2 3" xfId="46592"/>
    <cellStyle name="Total 9 2 5 2 4 3" xfId="24730"/>
    <cellStyle name="Total 9 2 5 2 4 3 2" xfId="53909"/>
    <cellStyle name="Total 9 2 5 2 4 4" xfId="38694"/>
    <cellStyle name="Total 9 2 5 2 5" xfId="11929"/>
    <cellStyle name="Total 9 2 5 2 5 2" xfId="25874"/>
    <cellStyle name="Total 9 2 5 2 5 2 2" xfId="55053"/>
    <cellStyle name="Total 9 2 5 2 5 3" xfId="41110"/>
    <cellStyle name="Total 9 2 5 2 6" xfId="21446"/>
    <cellStyle name="Total 9 2 5 2 6 2" xfId="50625"/>
    <cellStyle name="Total 9 2 5 2 7" xfId="31247"/>
    <cellStyle name="Total 9 2 5 3" xfId="2964"/>
    <cellStyle name="Total 9 2 5 3 2" xfId="6069"/>
    <cellStyle name="Total 9 2 5 3 2 2" xfId="14906"/>
    <cellStyle name="Total 9 2 5 3 2 2 2" xfId="27674"/>
    <cellStyle name="Total 9 2 5 3 2 2 2 2" xfId="56853"/>
    <cellStyle name="Total 9 2 5 3 2 2 3" xfId="44087"/>
    <cellStyle name="Total 9 2 5 3 2 3" xfId="23246"/>
    <cellStyle name="Total 9 2 5 3 2 3 2" xfId="52425"/>
    <cellStyle name="Total 9 2 5 3 2 4" xfId="35252"/>
    <cellStyle name="Total 9 2 5 3 3" xfId="8076"/>
    <cellStyle name="Total 9 2 5 3 3 2" xfId="16379"/>
    <cellStyle name="Total 9 2 5 3 3 2 2" xfId="28588"/>
    <cellStyle name="Total 9 2 5 3 3 2 2 2" xfId="57767"/>
    <cellStyle name="Total 9 2 5 3 3 2 3" xfId="45560"/>
    <cellStyle name="Total 9 2 5 3 3 3" xfId="24160"/>
    <cellStyle name="Total 9 2 5 3 3 3 2" xfId="53339"/>
    <cellStyle name="Total 9 2 5 3 3 4" xfId="37259"/>
    <cellStyle name="Total 9 2 5 3 4" xfId="12568"/>
    <cellStyle name="Total 9 2 5 3 4 2" xfId="26234"/>
    <cellStyle name="Total 9 2 5 3 4 2 2" xfId="55413"/>
    <cellStyle name="Total 9 2 5 3 4 3" xfId="41749"/>
    <cellStyle name="Total 9 2 5 3 5" xfId="21806"/>
    <cellStyle name="Total 9 2 5 3 5 2" xfId="50985"/>
    <cellStyle name="Total 9 2 5 3 6" xfId="32147"/>
    <cellStyle name="Total 9 2 5 4" xfId="4629"/>
    <cellStyle name="Total 9 2 5 4 2" xfId="13787"/>
    <cellStyle name="Total 9 2 5 4 2 2" xfId="26954"/>
    <cellStyle name="Total 9 2 5 4 2 2 2" xfId="56133"/>
    <cellStyle name="Total 9 2 5 4 2 3" xfId="42968"/>
    <cellStyle name="Total 9 2 5 4 3" xfId="22526"/>
    <cellStyle name="Total 9 2 5 4 3 2" xfId="51705"/>
    <cellStyle name="Total 9 2 5 4 4" xfId="33812"/>
    <cellStyle name="Total 9 2 5 5" xfId="7728"/>
    <cellStyle name="Total 9 2 5 5 2" xfId="16134"/>
    <cellStyle name="Total 9 2 5 5 2 2" xfId="28450"/>
    <cellStyle name="Total 9 2 5 5 2 2 2" xfId="57629"/>
    <cellStyle name="Total 9 2 5 5 2 3" xfId="45315"/>
    <cellStyle name="Total 9 2 5 5 3" xfId="24022"/>
    <cellStyle name="Total 9 2 5 5 3 2" xfId="53201"/>
    <cellStyle name="Total 9 2 5 5 4" xfId="36911"/>
    <cellStyle name="Total 9 2 5 6" xfId="11297"/>
    <cellStyle name="Total 9 2 5 6 2" xfId="25514"/>
    <cellStyle name="Total 9 2 5 6 2 2" xfId="54693"/>
    <cellStyle name="Total 9 2 5 6 3" xfId="40478"/>
    <cellStyle name="Total 9 2 5 7" xfId="21086"/>
    <cellStyle name="Total 9 2 5 7 2" xfId="50265"/>
    <cellStyle name="Total 9 2 5 8" xfId="30347"/>
    <cellStyle name="Total 9 2 6" xfId="1306"/>
    <cellStyle name="Total 9 2 6 2" xfId="2208"/>
    <cellStyle name="Total 9 2 6 2 2" xfId="4008"/>
    <cellStyle name="Total 9 2 6 2 2 2" xfId="6906"/>
    <cellStyle name="Total 9 2 6 2 2 2 2" xfId="15560"/>
    <cellStyle name="Total 9 2 6 2 2 2 2 2" xfId="28097"/>
    <cellStyle name="Total 9 2 6 2 2 2 2 2 2" xfId="57276"/>
    <cellStyle name="Total 9 2 6 2 2 2 2 3" xfId="44741"/>
    <cellStyle name="Total 9 2 6 2 2 2 3" xfId="23669"/>
    <cellStyle name="Total 9 2 6 2 2 2 3 2" xfId="52848"/>
    <cellStyle name="Total 9 2 6 2 2 2 4" xfId="36089"/>
    <cellStyle name="Total 9 2 6 2 2 3" xfId="7072"/>
    <cellStyle name="Total 9 2 6 2 2 3 2" xfId="15672"/>
    <cellStyle name="Total 9 2 6 2 2 3 2 2" xfId="28171"/>
    <cellStyle name="Total 9 2 6 2 2 3 2 2 2" xfId="57350"/>
    <cellStyle name="Total 9 2 6 2 2 3 2 3" xfId="44853"/>
    <cellStyle name="Total 9 2 6 2 2 3 3" xfId="23743"/>
    <cellStyle name="Total 9 2 6 2 2 3 3 2" xfId="52922"/>
    <cellStyle name="Total 9 2 6 2 2 3 4" xfId="36255"/>
    <cellStyle name="Total 9 2 6 2 2 4" xfId="13309"/>
    <cellStyle name="Total 9 2 6 2 2 4 2" xfId="26657"/>
    <cellStyle name="Total 9 2 6 2 2 4 2 2" xfId="55836"/>
    <cellStyle name="Total 9 2 6 2 2 4 3" xfId="42490"/>
    <cellStyle name="Total 9 2 6 2 2 5" xfId="22229"/>
    <cellStyle name="Total 9 2 6 2 2 5 2" xfId="51408"/>
    <cellStyle name="Total 9 2 6 2 2 6" xfId="33191"/>
    <cellStyle name="Total 9 2 6 2 3" xfId="5466"/>
    <cellStyle name="Total 9 2 6 2 3 2" xfId="14440"/>
    <cellStyle name="Total 9 2 6 2 3 2 2" xfId="27377"/>
    <cellStyle name="Total 9 2 6 2 3 2 2 2" xfId="56556"/>
    <cellStyle name="Total 9 2 6 2 3 2 3" xfId="43621"/>
    <cellStyle name="Total 9 2 6 2 3 3" xfId="22949"/>
    <cellStyle name="Total 9 2 6 2 3 3 2" xfId="52128"/>
    <cellStyle name="Total 9 2 6 2 3 4" xfId="34649"/>
    <cellStyle name="Total 9 2 6 2 4" xfId="7881"/>
    <cellStyle name="Total 9 2 6 2 4 2" xfId="16236"/>
    <cellStyle name="Total 9 2 6 2 4 2 2" xfId="28508"/>
    <cellStyle name="Total 9 2 6 2 4 2 2 2" xfId="57687"/>
    <cellStyle name="Total 9 2 6 2 4 2 3" xfId="45417"/>
    <cellStyle name="Total 9 2 6 2 4 3" xfId="24080"/>
    <cellStyle name="Total 9 2 6 2 4 3 2" xfId="53259"/>
    <cellStyle name="Total 9 2 6 2 4 4" xfId="37064"/>
    <cellStyle name="Total 9 2 6 2 5" xfId="12033"/>
    <cellStyle name="Total 9 2 6 2 5 2" xfId="25937"/>
    <cellStyle name="Total 9 2 6 2 5 2 2" xfId="55116"/>
    <cellStyle name="Total 9 2 6 2 5 3" xfId="41214"/>
    <cellStyle name="Total 9 2 6 2 6" xfId="21509"/>
    <cellStyle name="Total 9 2 6 2 6 2" xfId="50688"/>
    <cellStyle name="Total 9 2 6 2 7" xfId="31391"/>
    <cellStyle name="Total 9 2 6 3" xfId="3108"/>
    <cellStyle name="Total 9 2 6 3 2" xfId="6186"/>
    <cellStyle name="Total 9 2 6 3 2 2" xfId="15001"/>
    <cellStyle name="Total 9 2 6 3 2 2 2" xfId="27737"/>
    <cellStyle name="Total 9 2 6 3 2 2 2 2" xfId="56916"/>
    <cellStyle name="Total 9 2 6 3 2 2 3" xfId="44182"/>
    <cellStyle name="Total 9 2 6 3 2 3" xfId="23309"/>
    <cellStyle name="Total 9 2 6 3 2 3 2" xfId="52488"/>
    <cellStyle name="Total 9 2 6 3 2 4" xfId="35369"/>
    <cellStyle name="Total 9 2 6 3 3" xfId="8654"/>
    <cellStyle name="Total 9 2 6 3 3 2" xfId="16793"/>
    <cellStyle name="Total 9 2 6 3 3 2 2" xfId="28810"/>
    <cellStyle name="Total 9 2 6 3 3 2 2 2" xfId="57989"/>
    <cellStyle name="Total 9 2 6 3 3 2 3" xfId="45974"/>
    <cellStyle name="Total 9 2 6 3 3 3" xfId="24382"/>
    <cellStyle name="Total 9 2 6 3 3 3 2" xfId="53561"/>
    <cellStyle name="Total 9 2 6 3 3 4" xfId="37837"/>
    <cellStyle name="Total 9 2 6 3 4" xfId="12671"/>
    <cellStyle name="Total 9 2 6 3 4 2" xfId="26297"/>
    <cellStyle name="Total 9 2 6 3 4 2 2" xfId="55476"/>
    <cellStyle name="Total 9 2 6 3 4 3" xfId="41852"/>
    <cellStyle name="Total 9 2 6 3 5" xfId="21869"/>
    <cellStyle name="Total 9 2 6 3 5 2" xfId="51048"/>
    <cellStyle name="Total 9 2 6 3 6" xfId="32291"/>
    <cellStyle name="Total 9 2 6 4" xfId="4746"/>
    <cellStyle name="Total 9 2 6 4 2" xfId="13878"/>
    <cellStyle name="Total 9 2 6 4 2 2" xfId="27017"/>
    <cellStyle name="Total 9 2 6 4 2 2 2" xfId="56196"/>
    <cellStyle name="Total 9 2 6 4 2 3" xfId="43059"/>
    <cellStyle name="Total 9 2 6 4 3" xfId="22589"/>
    <cellStyle name="Total 9 2 6 4 3 2" xfId="51768"/>
    <cellStyle name="Total 9 2 6 4 4" xfId="33929"/>
    <cellStyle name="Total 9 2 6 5" xfId="10446"/>
    <cellStyle name="Total 9 2 6 5 2" xfId="18069"/>
    <cellStyle name="Total 9 2 6 5 2 2" xfId="29522"/>
    <cellStyle name="Total 9 2 6 5 2 2 2" xfId="58701"/>
    <cellStyle name="Total 9 2 6 5 2 3" xfId="47250"/>
    <cellStyle name="Total 9 2 6 5 3" xfId="25094"/>
    <cellStyle name="Total 9 2 6 5 3 2" xfId="54273"/>
    <cellStyle name="Total 9 2 6 5 4" xfId="39629"/>
    <cellStyle name="Total 9 2 6 6" xfId="11403"/>
    <cellStyle name="Total 9 2 6 6 2" xfId="25577"/>
    <cellStyle name="Total 9 2 6 6 2 2" xfId="54756"/>
    <cellStyle name="Total 9 2 6 6 3" xfId="40584"/>
    <cellStyle name="Total 9 2 6 7" xfId="21149"/>
    <cellStyle name="Total 9 2 6 7 2" xfId="50328"/>
    <cellStyle name="Total 9 2 6 8" xfId="30491"/>
    <cellStyle name="Total 9 2 7" xfId="1488"/>
    <cellStyle name="Total 9 2 7 2" xfId="3288"/>
    <cellStyle name="Total 9 2 7 2 2" xfId="6330"/>
    <cellStyle name="Total 9 2 7 2 2 2" xfId="15104"/>
    <cellStyle name="Total 9 2 7 2 2 2 2" xfId="27809"/>
    <cellStyle name="Total 9 2 7 2 2 2 2 2" xfId="56988"/>
    <cellStyle name="Total 9 2 7 2 2 2 3" xfId="44285"/>
    <cellStyle name="Total 9 2 7 2 2 3" xfId="23381"/>
    <cellStyle name="Total 9 2 7 2 2 3 2" xfId="52560"/>
    <cellStyle name="Total 9 2 7 2 2 4" xfId="35513"/>
    <cellStyle name="Total 9 2 7 2 3" xfId="9005"/>
    <cellStyle name="Total 9 2 7 2 3 2" xfId="17057"/>
    <cellStyle name="Total 9 2 7 2 3 2 2" xfId="28953"/>
    <cellStyle name="Total 9 2 7 2 3 2 2 2" xfId="58132"/>
    <cellStyle name="Total 9 2 7 2 3 2 3" xfId="46238"/>
    <cellStyle name="Total 9 2 7 2 3 3" xfId="24525"/>
    <cellStyle name="Total 9 2 7 2 3 3 2" xfId="53704"/>
    <cellStyle name="Total 9 2 7 2 3 4" xfId="38188"/>
    <cellStyle name="Total 9 2 7 2 4" xfId="12795"/>
    <cellStyle name="Total 9 2 7 2 4 2" xfId="26369"/>
    <cellStyle name="Total 9 2 7 2 4 2 2" xfId="55548"/>
    <cellStyle name="Total 9 2 7 2 4 3" xfId="41976"/>
    <cellStyle name="Total 9 2 7 2 5" xfId="21941"/>
    <cellStyle name="Total 9 2 7 2 5 2" xfId="51120"/>
    <cellStyle name="Total 9 2 7 2 6" xfId="32471"/>
    <cellStyle name="Total 9 2 7 3" xfId="4890"/>
    <cellStyle name="Total 9 2 7 3 2" xfId="13980"/>
    <cellStyle name="Total 9 2 7 3 2 2" xfId="27089"/>
    <cellStyle name="Total 9 2 7 3 2 2 2" xfId="56268"/>
    <cellStyle name="Total 9 2 7 3 2 3" xfId="43161"/>
    <cellStyle name="Total 9 2 7 3 3" xfId="22661"/>
    <cellStyle name="Total 9 2 7 3 3 2" xfId="51840"/>
    <cellStyle name="Total 9 2 7 3 4" xfId="34073"/>
    <cellStyle name="Total 9 2 7 4" xfId="9634"/>
    <cellStyle name="Total 9 2 7 4 2" xfId="17495"/>
    <cellStyle name="Total 9 2 7 4 2 2" xfId="29204"/>
    <cellStyle name="Total 9 2 7 4 2 2 2" xfId="58383"/>
    <cellStyle name="Total 9 2 7 4 2 3" xfId="46676"/>
    <cellStyle name="Total 9 2 7 4 3" xfId="24776"/>
    <cellStyle name="Total 9 2 7 4 3 2" xfId="53955"/>
    <cellStyle name="Total 9 2 7 4 4" xfId="38817"/>
    <cellStyle name="Total 9 2 7 5" xfId="11525"/>
    <cellStyle name="Total 9 2 7 5 2" xfId="25649"/>
    <cellStyle name="Total 9 2 7 5 2 2" xfId="54828"/>
    <cellStyle name="Total 9 2 7 5 3" xfId="40706"/>
    <cellStyle name="Total 9 2 7 6" xfId="21221"/>
    <cellStyle name="Total 9 2 7 6 2" xfId="50400"/>
    <cellStyle name="Total 9 2 7 7" xfId="30671"/>
    <cellStyle name="Total 9 2 8" xfId="2388"/>
    <cellStyle name="Total 9 2 8 2" xfId="5610"/>
    <cellStyle name="Total 9 2 8 2 2" xfId="14545"/>
    <cellStyle name="Total 9 2 8 2 2 2" xfId="27449"/>
    <cellStyle name="Total 9 2 8 2 2 2 2" xfId="56628"/>
    <cellStyle name="Total 9 2 8 2 2 3" xfId="43726"/>
    <cellStyle name="Total 9 2 8 2 3" xfId="23021"/>
    <cellStyle name="Total 9 2 8 2 3 2" xfId="52200"/>
    <cellStyle name="Total 9 2 8 2 4" xfId="34793"/>
    <cellStyle name="Total 9 2 8 3" xfId="7693"/>
    <cellStyle name="Total 9 2 8 3 2" xfId="16112"/>
    <cellStyle name="Total 9 2 8 3 2 2" xfId="28438"/>
    <cellStyle name="Total 9 2 8 3 2 2 2" xfId="57617"/>
    <cellStyle name="Total 9 2 8 3 2 3" xfId="45293"/>
    <cellStyle name="Total 9 2 8 3 3" xfId="24010"/>
    <cellStyle name="Total 9 2 8 3 3 2" xfId="53189"/>
    <cellStyle name="Total 9 2 8 3 4" xfId="36876"/>
    <cellStyle name="Total 9 2 8 4" xfId="12154"/>
    <cellStyle name="Total 9 2 8 4 2" xfId="26009"/>
    <cellStyle name="Total 9 2 8 4 2 2" xfId="55188"/>
    <cellStyle name="Total 9 2 8 4 3" xfId="41335"/>
    <cellStyle name="Total 9 2 8 5" xfId="21581"/>
    <cellStyle name="Total 9 2 8 5 2" xfId="50760"/>
    <cellStyle name="Total 9 2 8 6" xfId="31571"/>
    <cellStyle name="Total 9 2 9" xfId="4170"/>
    <cellStyle name="Total 9 2 9 2" xfId="13423"/>
    <cellStyle name="Total 9 2 9 2 2" xfId="26729"/>
    <cellStyle name="Total 9 2 9 2 2 2" xfId="55908"/>
    <cellStyle name="Total 9 2 9 2 3" xfId="42604"/>
    <cellStyle name="Total 9 2 9 3" xfId="22301"/>
    <cellStyle name="Total 9 2 9 3 2" xfId="51480"/>
    <cellStyle name="Total 9 2 9 4" xfId="33353"/>
    <cellStyle name="Total 9 3" xfId="510"/>
    <cellStyle name="Total 9 3 10" xfId="10808"/>
    <cellStyle name="Total 9 3 10 2" xfId="25207"/>
    <cellStyle name="Total 9 3 10 2 2" xfId="54386"/>
    <cellStyle name="Total 9 3 10 3" xfId="39989"/>
    <cellStyle name="Total 9 3 11" xfId="20779"/>
    <cellStyle name="Total 9 3 11 2" xfId="49958"/>
    <cellStyle name="Total 9 3 12" xfId="29716"/>
    <cellStyle name="Total 9 3 2" xfId="863"/>
    <cellStyle name="Total 9 3 2 2" xfId="1801"/>
    <cellStyle name="Total 9 3 2 2 2" xfId="3601"/>
    <cellStyle name="Total 9 3 2 2 2 2" xfId="6580"/>
    <cellStyle name="Total 9 3 2 2 2 2 2" xfId="15297"/>
    <cellStyle name="Total 9 3 2 2 2 2 2 2" xfId="27915"/>
    <cellStyle name="Total 9 3 2 2 2 2 2 2 2" xfId="57094"/>
    <cellStyle name="Total 9 3 2 2 2 2 2 3" xfId="44478"/>
    <cellStyle name="Total 9 3 2 2 2 2 3" xfId="23487"/>
    <cellStyle name="Total 9 3 2 2 2 2 3 2" xfId="52666"/>
    <cellStyle name="Total 9 3 2 2 2 2 4" xfId="35763"/>
    <cellStyle name="Total 9 3 2 2 2 3" xfId="9356"/>
    <cellStyle name="Total 9 3 2 2 2 3 2" xfId="17305"/>
    <cellStyle name="Total 9 3 2 2 2 3 2 2" xfId="29091"/>
    <cellStyle name="Total 9 3 2 2 2 3 2 2 2" xfId="58270"/>
    <cellStyle name="Total 9 3 2 2 2 3 2 3" xfId="46486"/>
    <cellStyle name="Total 9 3 2 2 2 3 3" xfId="24663"/>
    <cellStyle name="Total 9 3 2 2 2 3 3 2" xfId="53842"/>
    <cellStyle name="Total 9 3 2 2 2 3 4" xfId="38539"/>
    <cellStyle name="Total 9 3 2 2 2 4" xfId="13013"/>
    <cellStyle name="Total 9 3 2 2 2 4 2" xfId="26475"/>
    <cellStyle name="Total 9 3 2 2 2 4 2 2" xfId="55654"/>
    <cellStyle name="Total 9 3 2 2 2 4 3" xfId="42194"/>
    <cellStyle name="Total 9 3 2 2 2 5" xfId="22047"/>
    <cellStyle name="Total 9 3 2 2 2 5 2" xfId="51226"/>
    <cellStyle name="Total 9 3 2 2 2 6" xfId="32784"/>
    <cellStyle name="Total 9 3 2 2 3" xfId="5140"/>
    <cellStyle name="Total 9 3 2 2 3 2" xfId="14174"/>
    <cellStyle name="Total 9 3 2 2 3 2 2" xfId="27195"/>
    <cellStyle name="Total 9 3 2 2 3 2 2 2" xfId="56374"/>
    <cellStyle name="Total 9 3 2 2 3 2 3" xfId="43355"/>
    <cellStyle name="Total 9 3 2 2 3 3" xfId="22767"/>
    <cellStyle name="Total 9 3 2 2 3 3 2" xfId="51946"/>
    <cellStyle name="Total 9 3 2 2 3 4" xfId="34323"/>
    <cellStyle name="Total 9 3 2 2 4" xfId="9553"/>
    <cellStyle name="Total 9 3 2 2 4 2" xfId="17440"/>
    <cellStyle name="Total 9 3 2 2 4 2 2" xfId="29173"/>
    <cellStyle name="Total 9 3 2 2 4 2 2 2" xfId="58352"/>
    <cellStyle name="Total 9 3 2 2 4 2 3" xfId="46621"/>
    <cellStyle name="Total 9 3 2 2 4 3" xfId="24745"/>
    <cellStyle name="Total 9 3 2 2 4 3 2" xfId="53924"/>
    <cellStyle name="Total 9 3 2 2 4 4" xfId="38736"/>
    <cellStyle name="Total 9 3 2 2 5" xfId="11739"/>
    <cellStyle name="Total 9 3 2 2 5 2" xfId="25755"/>
    <cellStyle name="Total 9 3 2 2 5 2 2" xfId="54934"/>
    <cellStyle name="Total 9 3 2 2 5 3" xfId="40920"/>
    <cellStyle name="Total 9 3 2 2 6" xfId="21327"/>
    <cellStyle name="Total 9 3 2 2 6 2" xfId="50506"/>
    <cellStyle name="Total 9 3 2 2 7" xfId="30984"/>
    <cellStyle name="Total 9 3 2 3" xfId="2701"/>
    <cellStyle name="Total 9 3 2 3 2" xfId="5860"/>
    <cellStyle name="Total 9 3 2 3 2 2" xfId="14741"/>
    <cellStyle name="Total 9 3 2 3 2 2 2" xfId="27555"/>
    <cellStyle name="Total 9 3 2 3 2 2 2 2" xfId="56734"/>
    <cellStyle name="Total 9 3 2 3 2 2 3" xfId="43922"/>
    <cellStyle name="Total 9 3 2 3 2 3" xfId="23127"/>
    <cellStyle name="Total 9 3 2 3 2 3 2" xfId="52306"/>
    <cellStyle name="Total 9 3 2 3 2 4" xfId="35043"/>
    <cellStyle name="Total 9 3 2 3 3" xfId="8121"/>
    <cellStyle name="Total 9 3 2 3 3 2" xfId="16408"/>
    <cellStyle name="Total 9 3 2 3 3 2 2" xfId="28605"/>
    <cellStyle name="Total 9 3 2 3 3 2 2 2" xfId="57784"/>
    <cellStyle name="Total 9 3 2 3 3 2 3" xfId="45589"/>
    <cellStyle name="Total 9 3 2 3 3 3" xfId="24177"/>
    <cellStyle name="Total 9 3 2 3 3 3 2" xfId="53356"/>
    <cellStyle name="Total 9 3 2 3 3 4" xfId="37304"/>
    <cellStyle name="Total 9 3 2 3 4" xfId="12376"/>
    <cellStyle name="Total 9 3 2 3 4 2" xfId="26115"/>
    <cellStyle name="Total 9 3 2 3 4 2 2" xfId="55294"/>
    <cellStyle name="Total 9 3 2 3 4 3" xfId="41557"/>
    <cellStyle name="Total 9 3 2 3 5" xfId="21687"/>
    <cellStyle name="Total 9 3 2 3 5 2" xfId="50866"/>
    <cellStyle name="Total 9 3 2 3 6" xfId="31884"/>
    <cellStyle name="Total 9 3 2 4" xfId="4420"/>
    <cellStyle name="Total 9 3 2 4 2" xfId="13618"/>
    <cellStyle name="Total 9 3 2 4 2 2" xfId="26835"/>
    <cellStyle name="Total 9 3 2 4 2 2 2" xfId="56014"/>
    <cellStyle name="Total 9 3 2 4 2 3" xfId="42799"/>
    <cellStyle name="Total 9 3 2 4 3" xfId="22407"/>
    <cellStyle name="Total 9 3 2 4 3 2" xfId="51586"/>
    <cellStyle name="Total 9 3 2 4 4" xfId="33603"/>
    <cellStyle name="Total 9 3 2 5" xfId="9031"/>
    <cellStyle name="Total 9 3 2 5 2" xfId="17075"/>
    <cellStyle name="Total 9 3 2 5 2 2" xfId="28967"/>
    <cellStyle name="Total 9 3 2 5 2 2 2" xfId="58146"/>
    <cellStyle name="Total 9 3 2 5 2 3" xfId="46256"/>
    <cellStyle name="Total 9 3 2 5 3" xfId="24539"/>
    <cellStyle name="Total 9 3 2 5 3 2" xfId="53718"/>
    <cellStyle name="Total 9 3 2 5 4" xfId="38214"/>
    <cellStyle name="Total 9 3 2 6" xfId="11078"/>
    <cellStyle name="Total 9 3 2 6 2" xfId="25371"/>
    <cellStyle name="Total 9 3 2 6 2 2" xfId="54550"/>
    <cellStyle name="Total 9 3 2 6 3" xfId="40259"/>
    <cellStyle name="Total 9 3 2 7" xfId="20943"/>
    <cellStyle name="Total 9 3 2 7 2" xfId="50122"/>
    <cellStyle name="Total 9 3 2 8" xfId="30060"/>
    <cellStyle name="Total 9 3 3" xfId="1055"/>
    <cellStyle name="Total 9 3 3 2" xfId="1965"/>
    <cellStyle name="Total 9 3 3 2 2" xfId="3765"/>
    <cellStyle name="Total 9 3 3 2 2 2" xfId="6708"/>
    <cellStyle name="Total 9 3 3 2 2 2 2" xfId="15402"/>
    <cellStyle name="Total 9 3 3 2 2 2 2 2" xfId="27989"/>
    <cellStyle name="Total 9 3 3 2 2 2 2 2 2" xfId="57168"/>
    <cellStyle name="Total 9 3 3 2 2 2 2 3" xfId="44583"/>
    <cellStyle name="Total 9 3 3 2 2 2 3" xfId="23561"/>
    <cellStyle name="Total 9 3 3 2 2 2 3 2" xfId="52740"/>
    <cellStyle name="Total 9 3 3 2 2 2 4" xfId="35891"/>
    <cellStyle name="Total 9 3 3 2 2 3" xfId="7448"/>
    <cellStyle name="Total 9 3 3 2 2 3 2" xfId="15940"/>
    <cellStyle name="Total 9 3 3 2 2 3 2 2" xfId="28343"/>
    <cellStyle name="Total 9 3 3 2 2 3 2 2 2" xfId="57522"/>
    <cellStyle name="Total 9 3 3 2 2 3 2 3" xfId="45121"/>
    <cellStyle name="Total 9 3 3 2 2 3 3" xfId="23915"/>
    <cellStyle name="Total 9 3 3 2 2 3 3 2" xfId="53094"/>
    <cellStyle name="Total 9 3 3 2 2 3 4" xfId="36631"/>
    <cellStyle name="Total 9 3 3 2 2 4" xfId="13135"/>
    <cellStyle name="Total 9 3 3 2 2 4 2" xfId="26549"/>
    <cellStyle name="Total 9 3 3 2 2 4 2 2" xfId="55728"/>
    <cellStyle name="Total 9 3 3 2 2 4 3" xfId="42316"/>
    <cellStyle name="Total 9 3 3 2 2 5" xfId="22121"/>
    <cellStyle name="Total 9 3 3 2 2 5 2" xfId="51300"/>
    <cellStyle name="Total 9 3 3 2 2 6" xfId="32948"/>
    <cellStyle name="Total 9 3 3 2 3" xfId="5268"/>
    <cellStyle name="Total 9 3 3 2 3 2" xfId="14281"/>
    <cellStyle name="Total 9 3 3 2 3 2 2" xfId="27269"/>
    <cellStyle name="Total 9 3 3 2 3 2 2 2" xfId="56448"/>
    <cellStyle name="Total 9 3 3 2 3 2 3" xfId="43462"/>
    <cellStyle name="Total 9 3 3 2 3 3" xfId="22841"/>
    <cellStyle name="Total 9 3 3 2 3 3 2" xfId="52020"/>
    <cellStyle name="Total 9 3 3 2 3 4" xfId="34451"/>
    <cellStyle name="Total 9 3 3 2 4" xfId="9434"/>
    <cellStyle name="Total 9 3 3 2 4 2" xfId="17355"/>
    <cellStyle name="Total 9 3 3 2 4 2 2" xfId="29122"/>
    <cellStyle name="Total 9 3 3 2 4 2 2 2" xfId="58301"/>
    <cellStyle name="Total 9 3 3 2 4 2 3" xfId="46536"/>
    <cellStyle name="Total 9 3 3 2 4 3" xfId="24694"/>
    <cellStyle name="Total 9 3 3 2 4 3 2" xfId="53873"/>
    <cellStyle name="Total 9 3 3 2 4 4" xfId="38617"/>
    <cellStyle name="Total 9 3 3 2 5" xfId="11859"/>
    <cellStyle name="Total 9 3 3 2 5 2" xfId="25829"/>
    <cellStyle name="Total 9 3 3 2 5 2 2" xfId="55008"/>
    <cellStyle name="Total 9 3 3 2 5 3" xfId="41040"/>
    <cellStyle name="Total 9 3 3 2 6" xfId="21401"/>
    <cellStyle name="Total 9 3 3 2 6 2" xfId="50580"/>
    <cellStyle name="Total 9 3 3 2 7" xfId="31148"/>
    <cellStyle name="Total 9 3 3 3" xfId="2865"/>
    <cellStyle name="Total 9 3 3 3 2" xfId="5988"/>
    <cellStyle name="Total 9 3 3 3 2 2" xfId="14845"/>
    <cellStyle name="Total 9 3 3 3 2 2 2" xfId="27629"/>
    <cellStyle name="Total 9 3 3 3 2 2 2 2" xfId="56808"/>
    <cellStyle name="Total 9 3 3 3 2 2 3" xfId="44026"/>
    <cellStyle name="Total 9 3 3 3 2 3" xfId="23201"/>
    <cellStyle name="Total 9 3 3 3 2 3 2" xfId="52380"/>
    <cellStyle name="Total 9 3 3 3 2 4" xfId="35171"/>
    <cellStyle name="Total 9 3 3 3 3" xfId="8000"/>
    <cellStyle name="Total 9 3 3 3 3 2" xfId="16324"/>
    <cellStyle name="Total 9 3 3 3 3 2 2" xfId="28556"/>
    <cellStyle name="Total 9 3 3 3 3 2 2 2" xfId="57735"/>
    <cellStyle name="Total 9 3 3 3 3 2 3" xfId="45505"/>
    <cellStyle name="Total 9 3 3 3 3 3" xfId="24128"/>
    <cellStyle name="Total 9 3 3 3 3 3 2" xfId="53307"/>
    <cellStyle name="Total 9 3 3 3 3 4" xfId="37183"/>
    <cellStyle name="Total 9 3 3 3 4" xfId="12498"/>
    <cellStyle name="Total 9 3 3 3 4 2" xfId="26189"/>
    <cellStyle name="Total 9 3 3 3 4 2 2" xfId="55368"/>
    <cellStyle name="Total 9 3 3 3 4 3" xfId="41679"/>
    <cellStyle name="Total 9 3 3 3 5" xfId="21761"/>
    <cellStyle name="Total 9 3 3 3 5 2" xfId="50940"/>
    <cellStyle name="Total 9 3 3 3 6" xfId="32048"/>
    <cellStyle name="Total 9 3 3 4" xfId="4548"/>
    <cellStyle name="Total 9 3 3 4 2" xfId="13724"/>
    <cellStyle name="Total 9 3 3 4 2 2" xfId="26909"/>
    <cellStyle name="Total 9 3 3 4 2 2 2" xfId="56088"/>
    <cellStyle name="Total 9 3 3 4 2 3" xfId="42905"/>
    <cellStyle name="Total 9 3 3 4 3" xfId="22481"/>
    <cellStyle name="Total 9 3 3 4 3 2" xfId="51660"/>
    <cellStyle name="Total 9 3 3 4 4" xfId="33731"/>
    <cellStyle name="Total 9 3 3 5" xfId="8715"/>
    <cellStyle name="Total 9 3 3 5 2" xfId="16838"/>
    <cellStyle name="Total 9 3 3 5 2 2" xfId="28838"/>
    <cellStyle name="Total 9 3 3 5 2 2 2" xfId="58017"/>
    <cellStyle name="Total 9 3 3 5 2 3" xfId="46019"/>
    <cellStyle name="Total 9 3 3 5 3" xfId="24410"/>
    <cellStyle name="Total 9 3 3 5 3 2" xfId="53589"/>
    <cellStyle name="Total 9 3 3 5 4" xfId="37898"/>
    <cellStyle name="Total 9 3 3 6" xfId="11222"/>
    <cellStyle name="Total 9 3 3 6 2" xfId="25466"/>
    <cellStyle name="Total 9 3 3 6 2 2" xfId="54645"/>
    <cellStyle name="Total 9 3 3 6 3" xfId="40403"/>
    <cellStyle name="Total 9 3 3 7" xfId="21038"/>
    <cellStyle name="Total 9 3 3 7 2" xfId="50217"/>
    <cellStyle name="Total 9 3 3 8" xfId="30245"/>
    <cellStyle name="Total 9 3 4" xfId="1205"/>
    <cellStyle name="Total 9 3 4 2" xfId="2109"/>
    <cellStyle name="Total 9 3 4 2 2" xfId="3909"/>
    <cellStyle name="Total 9 3 4 2 2 2" xfId="6825"/>
    <cellStyle name="Total 9 3 4 2 2 2 2" xfId="15495"/>
    <cellStyle name="Total 9 3 4 2 2 2 2 2" xfId="28052"/>
    <cellStyle name="Total 9 3 4 2 2 2 2 2 2" xfId="57231"/>
    <cellStyle name="Total 9 3 4 2 2 2 2 3" xfId="44676"/>
    <cellStyle name="Total 9 3 4 2 2 2 3" xfId="23624"/>
    <cellStyle name="Total 9 3 4 2 2 2 3 2" xfId="52803"/>
    <cellStyle name="Total 9 3 4 2 2 2 4" xfId="36008"/>
    <cellStyle name="Total 9 3 4 2 2 3" xfId="9726"/>
    <cellStyle name="Total 9 3 4 2 2 3 2" xfId="17566"/>
    <cellStyle name="Total 9 3 4 2 2 3 2 2" xfId="29240"/>
    <cellStyle name="Total 9 3 4 2 2 3 2 2 2" xfId="58419"/>
    <cellStyle name="Total 9 3 4 2 2 3 2 3" xfId="46747"/>
    <cellStyle name="Total 9 3 4 2 2 3 3" xfId="24812"/>
    <cellStyle name="Total 9 3 4 2 2 3 3 2" xfId="53991"/>
    <cellStyle name="Total 9 3 4 2 2 3 4" xfId="38909"/>
    <cellStyle name="Total 9 3 4 2 2 4" xfId="13237"/>
    <cellStyle name="Total 9 3 4 2 2 4 2" xfId="26612"/>
    <cellStyle name="Total 9 3 4 2 2 4 2 2" xfId="55791"/>
    <cellStyle name="Total 9 3 4 2 2 4 3" xfId="42418"/>
    <cellStyle name="Total 9 3 4 2 2 5" xfId="22184"/>
    <cellStyle name="Total 9 3 4 2 2 5 2" xfId="51363"/>
    <cellStyle name="Total 9 3 4 2 2 6" xfId="33092"/>
    <cellStyle name="Total 9 3 4 2 3" xfId="5385"/>
    <cellStyle name="Total 9 3 4 2 3 2" xfId="14373"/>
    <cellStyle name="Total 9 3 4 2 3 2 2" xfId="27332"/>
    <cellStyle name="Total 9 3 4 2 3 2 2 2" xfId="56511"/>
    <cellStyle name="Total 9 3 4 2 3 2 3" xfId="43554"/>
    <cellStyle name="Total 9 3 4 2 3 3" xfId="22904"/>
    <cellStyle name="Total 9 3 4 2 3 3 2" xfId="52083"/>
    <cellStyle name="Total 9 3 4 2 3 4" xfId="34568"/>
    <cellStyle name="Total 9 3 4 2 4" xfId="9332"/>
    <cellStyle name="Total 9 3 4 2 4 2" xfId="17289"/>
    <cellStyle name="Total 9 3 4 2 4 2 2" xfId="29082"/>
    <cellStyle name="Total 9 3 4 2 4 2 2 2" xfId="58261"/>
    <cellStyle name="Total 9 3 4 2 4 2 3" xfId="46470"/>
    <cellStyle name="Total 9 3 4 2 4 3" xfId="24654"/>
    <cellStyle name="Total 9 3 4 2 4 3 2" xfId="53833"/>
    <cellStyle name="Total 9 3 4 2 4 4" xfId="38515"/>
    <cellStyle name="Total 9 3 4 2 5" xfId="11963"/>
    <cellStyle name="Total 9 3 4 2 5 2" xfId="25892"/>
    <cellStyle name="Total 9 3 4 2 5 2 2" xfId="55071"/>
    <cellStyle name="Total 9 3 4 2 5 3" xfId="41144"/>
    <cellStyle name="Total 9 3 4 2 6" xfId="21464"/>
    <cellStyle name="Total 9 3 4 2 6 2" xfId="50643"/>
    <cellStyle name="Total 9 3 4 2 7" xfId="31292"/>
    <cellStyle name="Total 9 3 4 3" xfId="3009"/>
    <cellStyle name="Total 9 3 4 3 2" xfId="6105"/>
    <cellStyle name="Total 9 3 4 3 2 2" xfId="14934"/>
    <cellStyle name="Total 9 3 4 3 2 2 2" xfId="27692"/>
    <cellStyle name="Total 9 3 4 3 2 2 2 2" xfId="56871"/>
    <cellStyle name="Total 9 3 4 3 2 2 3" xfId="44115"/>
    <cellStyle name="Total 9 3 4 3 2 3" xfId="23264"/>
    <cellStyle name="Total 9 3 4 3 2 3 2" xfId="52443"/>
    <cellStyle name="Total 9 3 4 3 2 4" xfId="35288"/>
    <cellStyle name="Total 9 3 4 3 3" xfId="7911"/>
    <cellStyle name="Total 9 3 4 3 3 2" xfId="16260"/>
    <cellStyle name="Total 9 3 4 3 3 2 2" xfId="28522"/>
    <cellStyle name="Total 9 3 4 3 3 2 2 2" xfId="57701"/>
    <cellStyle name="Total 9 3 4 3 3 2 3" xfId="45441"/>
    <cellStyle name="Total 9 3 4 3 3 3" xfId="24094"/>
    <cellStyle name="Total 9 3 4 3 3 3 2" xfId="53273"/>
    <cellStyle name="Total 9 3 4 3 3 4" xfId="37094"/>
    <cellStyle name="Total 9 3 4 3 4" xfId="12598"/>
    <cellStyle name="Total 9 3 4 3 4 2" xfId="26252"/>
    <cellStyle name="Total 9 3 4 3 4 2 2" xfId="55431"/>
    <cellStyle name="Total 9 3 4 3 4 3" xfId="41779"/>
    <cellStyle name="Total 9 3 4 3 5" xfId="21824"/>
    <cellStyle name="Total 9 3 4 3 5 2" xfId="51003"/>
    <cellStyle name="Total 9 3 4 3 6" xfId="32192"/>
    <cellStyle name="Total 9 3 4 4" xfId="4665"/>
    <cellStyle name="Total 9 3 4 4 2" xfId="13814"/>
    <cellStyle name="Total 9 3 4 4 2 2" xfId="26972"/>
    <cellStyle name="Total 9 3 4 4 2 2 2" xfId="56151"/>
    <cellStyle name="Total 9 3 4 4 2 3" xfId="42995"/>
    <cellStyle name="Total 9 3 4 4 3" xfId="22544"/>
    <cellStyle name="Total 9 3 4 4 3 2" xfId="51723"/>
    <cellStyle name="Total 9 3 4 4 4" xfId="33848"/>
    <cellStyle name="Total 9 3 4 5" xfId="9717"/>
    <cellStyle name="Total 9 3 4 5 2" xfId="17557"/>
    <cellStyle name="Total 9 3 4 5 2 2" xfId="29235"/>
    <cellStyle name="Total 9 3 4 5 2 2 2" xfId="58414"/>
    <cellStyle name="Total 9 3 4 5 2 3" xfId="46738"/>
    <cellStyle name="Total 9 3 4 5 3" xfId="24807"/>
    <cellStyle name="Total 9 3 4 5 3 2" xfId="53986"/>
    <cellStyle name="Total 9 3 4 5 4" xfId="38900"/>
    <cellStyle name="Total 9 3 4 6" xfId="11332"/>
    <cellStyle name="Total 9 3 4 6 2" xfId="25532"/>
    <cellStyle name="Total 9 3 4 6 2 2" xfId="54711"/>
    <cellStyle name="Total 9 3 4 6 3" xfId="40513"/>
    <cellStyle name="Total 9 3 4 7" xfId="21104"/>
    <cellStyle name="Total 9 3 4 7 2" xfId="50283"/>
    <cellStyle name="Total 9 3 4 8" xfId="30392"/>
    <cellStyle name="Total 9 3 5" xfId="1351"/>
    <cellStyle name="Total 9 3 5 2" xfId="2253"/>
    <cellStyle name="Total 9 3 5 2 2" xfId="4053"/>
    <cellStyle name="Total 9 3 5 2 2 2" xfId="6942"/>
    <cellStyle name="Total 9 3 5 2 2 2 2" xfId="15585"/>
    <cellStyle name="Total 9 3 5 2 2 2 2 2" xfId="28115"/>
    <cellStyle name="Total 9 3 5 2 2 2 2 2 2" xfId="57294"/>
    <cellStyle name="Total 9 3 5 2 2 2 2 3" xfId="44766"/>
    <cellStyle name="Total 9 3 5 2 2 2 3" xfId="23687"/>
    <cellStyle name="Total 9 3 5 2 2 2 3 2" xfId="52866"/>
    <cellStyle name="Total 9 3 5 2 2 2 4" xfId="36125"/>
    <cellStyle name="Total 9 3 5 2 2 3" xfId="7027"/>
    <cellStyle name="Total 9 3 5 2 2 3 2" xfId="15644"/>
    <cellStyle name="Total 9 3 5 2 2 3 2 2" xfId="28153"/>
    <cellStyle name="Total 9 3 5 2 2 3 2 2 2" xfId="57332"/>
    <cellStyle name="Total 9 3 5 2 2 3 2 3" xfId="44825"/>
    <cellStyle name="Total 9 3 5 2 2 3 3" xfId="23725"/>
    <cellStyle name="Total 9 3 5 2 2 3 3 2" xfId="52904"/>
    <cellStyle name="Total 9 3 5 2 2 3 4" xfId="36210"/>
    <cellStyle name="Total 9 3 5 2 2 4" xfId="13339"/>
    <cellStyle name="Total 9 3 5 2 2 4 2" xfId="26675"/>
    <cellStyle name="Total 9 3 5 2 2 4 2 2" xfId="55854"/>
    <cellStyle name="Total 9 3 5 2 2 4 3" xfId="42520"/>
    <cellStyle name="Total 9 3 5 2 2 5" xfId="22247"/>
    <cellStyle name="Total 9 3 5 2 2 5 2" xfId="51426"/>
    <cellStyle name="Total 9 3 5 2 2 6" xfId="33236"/>
    <cellStyle name="Total 9 3 5 2 3" xfId="5502"/>
    <cellStyle name="Total 9 3 5 2 3 2" xfId="14465"/>
    <cellStyle name="Total 9 3 5 2 3 2 2" xfId="27395"/>
    <cellStyle name="Total 9 3 5 2 3 2 2 2" xfId="56574"/>
    <cellStyle name="Total 9 3 5 2 3 2 3" xfId="43646"/>
    <cellStyle name="Total 9 3 5 2 3 3" xfId="22967"/>
    <cellStyle name="Total 9 3 5 2 3 3 2" xfId="52146"/>
    <cellStyle name="Total 9 3 5 2 3 4" xfId="34685"/>
    <cellStyle name="Total 9 3 5 2 4" xfId="6982"/>
    <cellStyle name="Total 9 3 5 2 4 2" xfId="15612"/>
    <cellStyle name="Total 9 3 5 2 4 2 2" xfId="28135"/>
    <cellStyle name="Total 9 3 5 2 4 2 2 2" xfId="57314"/>
    <cellStyle name="Total 9 3 5 2 4 2 3" xfId="44793"/>
    <cellStyle name="Total 9 3 5 2 4 3" xfId="23707"/>
    <cellStyle name="Total 9 3 5 2 4 3 2" xfId="52886"/>
    <cellStyle name="Total 9 3 5 2 4 4" xfId="36165"/>
    <cellStyle name="Total 9 3 5 2 5" xfId="12062"/>
    <cellStyle name="Total 9 3 5 2 5 2" xfId="25955"/>
    <cellStyle name="Total 9 3 5 2 5 2 2" xfId="55134"/>
    <cellStyle name="Total 9 3 5 2 5 3" xfId="41243"/>
    <cellStyle name="Total 9 3 5 2 6" xfId="21527"/>
    <cellStyle name="Total 9 3 5 2 6 2" xfId="50706"/>
    <cellStyle name="Total 9 3 5 2 7" xfId="31436"/>
    <cellStyle name="Total 9 3 5 3" xfId="3153"/>
    <cellStyle name="Total 9 3 5 3 2" xfId="6222"/>
    <cellStyle name="Total 9 3 5 3 2 2" xfId="15025"/>
    <cellStyle name="Total 9 3 5 3 2 2 2" xfId="27755"/>
    <cellStyle name="Total 9 3 5 3 2 2 2 2" xfId="56934"/>
    <cellStyle name="Total 9 3 5 3 2 2 3" xfId="44206"/>
    <cellStyle name="Total 9 3 5 3 2 3" xfId="23327"/>
    <cellStyle name="Total 9 3 5 3 2 3 2" xfId="52506"/>
    <cellStyle name="Total 9 3 5 3 2 4" xfId="35405"/>
    <cellStyle name="Total 9 3 5 3 3" xfId="7216"/>
    <cellStyle name="Total 9 3 5 3 3 2" xfId="15778"/>
    <cellStyle name="Total 9 3 5 3 3 2 2" xfId="28237"/>
    <cellStyle name="Total 9 3 5 3 3 2 2 2" xfId="57416"/>
    <cellStyle name="Total 9 3 5 3 3 2 3" xfId="44959"/>
    <cellStyle name="Total 9 3 5 3 3 3" xfId="23809"/>
    <cellStyle name="Total 9 3 5 3 3 3 2" xfId="52988"/>
    <cellStyle name="Total 9 3 5 3 3 4" xfId="36399"/>
    <cellStyle name="Total 9 3 5 3 4" xfId="12700"/>
    <cellStyle name="Total 9 3 5 3 4 2" xfId="26315"/>
    <cellStyle name="Total 9 3 5 3 4 2 2" xfId="55494"/>
    <cellStyle name="Total 9 3 5 3 4 3" xfId="41881"/>
    <cellStyle name="Total 9 3 5 3 5" xfId="21887"/>
    <cellStyle name="Total 9 3 5 3 5 2" xfId="51066"/>
    <cellStyle name="Total 9 3 5 3 6" xfId="32336"/>
    <cellStyle name="Total 9 3 5 4" xfId="4782"/>
    <cellStyle name="Total 9 3 5 4 2" xfId="13902"/>
    <cellStyle name="Total 9 3 5 4 2 2" xfId="27035"/>
    <cellStyle name="Total 9 3 5 4 2 2 2" xfId="56214"/>
    <cellStyle name="Total 9 3 5 4 2 3" xfId="43083"/>
    <cellStyle name="Total 9 3 5 4 3" xfId="22607"/>
    <cellStyle name="Total 9 3 5 4 3 2" xfId="51786"/>
    <cellStyle name="Total 9 3 5 4 4" xfId="33965"/>
    <cellStyle name="Total 9 3 5 5" xfId="10031"/>
    <cellStyle name="Total 9 3 5 5 2" xfId="17784"/>
    <cellStyle name="Total 9 3 5 5 2 2" xfId="29360"/>
    <cellStyle name="Total 9 3 5 5 2 2 2" xfId="58539"/>
    <cellStyle name="Total 9 3 5 5 2 3" xfId="46965"/>
    <cellStyle name="Total 9 3 5 5 3" xfId="24932"/>
    <cellStyle name="Total 9 3 5 5 3 2" xfId="54111"/>
    <cellStyle name="Total 9 3 5 5 4" xfId="39214"/>
    <cellStyle name="Total 9 3 5 6" xfId="11431"/>
    <cellStyle name="Total 9 3 5 6 2" xfId="25595"/>
    <cellStyle name="Total 9 3 5 6 2 2" xfId="54774"/>
    <cellStyle name="Total 9 3 5 6 3" xfId="40612"/>
    <cellStyle name="Total 9 3 5 7" xfId="21167"/>
    <cellStyle name="Total 9 3 5 7 2" xfId="50346"/>
    <cellStyle name="Total 9 3 5 8" xfId="30536"/>
    <cellStyle name="Total 9 3 6" xfId="1533"/>
    <cellStyle name="Total 9 3 6 2" xfId="3333"/>
    <cellStyle name="Total 9 3 6 2 2" xfId="6366"/>
    <cellStyle name="Total 9 3 6 2 2 2" xfId="15128"/>
    <cellStyle name="Total 9 3 6 2 2 2 2" xfId="27827"/>
    <cellStyle name="Total 9 3 6 2 2 2 2 2" xfId="57006"/>
    <cellStyle name="Total 9 3 6 2 2 2 3" xfId="44309"/>
    <cellStyle name="Total 9 3 6 2 2 3" xfId="23399"/>
    <cellStyle name="Total 9 3 6 2 2 3 2" xfId="52578"/>
    <cellStyle name="Total 9 3 6 2 2 4" xfId="35549"/>
    <cellStyle name="Total 9 3 6 2 3" xfId="8114"/>
    <cellStyle name="Total 9 3 6 2 3 2" xfId="16405"/>
    <cellStyle name="Total 9 3 6 2 3 2 2" xfId="28602"/>
    <cellStyle name="Total 9 3 6 2 3 2 2 2" xfId="57781"/>
    <cellStyle name="Total 9 3 6 2 3 2 3" xfId="45586"/>
    <cellStyle name="Total 9 3 6 2 3 3" xfId="24174"/>
    <cellStyle name="Total 9 3 6 2 3 3 2" xfId="53353"/>
    <cellStyle name="Total 9 3 6 2 3 4" xfId="37297"/>
    <cellStyle name="Total 9 3 6 2 4" xfId="12824"/>
    <cellStyle name="Total 9 3 6 2 4 2" xfId="26387"/>
    <cellStyle name="Total 9 3 6 2 4 2 2" xfId="55566"/>
    <cellStyle name="Total 9 3 6 2 4 3" xfId="42005"/>
    <cellStyle name="Total 9 3 6 2 5" xfId="21959"/>
    <cellStyle name="Total 9 3 6 2 5 2" xfId="51138"/>
    <cellStyle name="Total 9 3 6 2 6" xfId="32516"/>
    <cellStyle name="Total 9 3 6 3" xfId="4926"/>
    <cellStyle name="Total 9 3 6 3 2" xfId="14007"/>
    <cellStyle name="Total 9 3 6 3 2 2" xfId="27107"/>
    <cellStyle name="Total 9 3 6 3 2 2 2" xfId="56286"/>
    <cellStyle name="Total 9 3 6 3 2 3" xfId="43188"/>
    <cellStyle name="Total 9 3 6 3 3" xfId="22679"/>
    <cellStyle name="Total 9 3 6 3 3 2" xfId="51858"/>
    <cellStyle name="Total 9 3 6 3 4" xfId="34109"/>
    <cellStyle name="Total 9 3 6 4" xfId="7637"/>
    <cellStyle name="Total 9 3 6 4 2" xfId="16071"/>
    <cellStyle name="Total 9 3 6 4 2 2" xfId="28415"/>
    <cellStyle name="Total 9 3 6 4 2 2 2" xfId="57594"/>
    <cellStyle name="Total 9 3 6 4 2 3" xfId="45252"/>
    <cellStyle name="Total 9 3 6 4 3" xfId="23987"/>
    <cellStyle name="Total 9 3 6 4 3 2" xfId="53166"/>
    <cellStyle name="Total 9 3 6 4 4" xfId="36820"/>
    <cellStyle name="Total 9 3 6 5" xfId="11552"/>
    <cellStyle name="Total 9 3 6 5 2" xfId="25667"/>
    <cellStyle name="Total 9 3 6 5 2 2" xfId="54846"/>
    <cellStyle name="Total 9 3 6 5 3" xfId="40733"/>
    <cellStyle name="Total 9 3 6 6" xfId="21239"/>
    <cellStyle name="Total 9 3 6 6 2" xfId="50418"/>
    <cellStyle name="Total 9 3 6 7" xfId="30716"/>
    <cellStyle name="Total 9 3 7" xfId="2433"/>
    <cellStyle name="Total 9 3 7 2" xfId="5646"/>
    <cellStyle name="Total 9 3 7 2 2" xfId="14574"/>
    <cellStyle name="Total 9 3 7 2 2 2" xfId="27467"/>
    <cellStyle name="Total 9 3 7 2 2 2 2" xfId="56646"/>
    <cellStyle name="Total 9 3 7 2 2 3" xfId="43755"/>
    <cellStyle name="Total 9 3 7 2 3" xfId="23039"/>
    <cellStyle name="Total 9 3 7 2 3 2" xfId="52218"/>
    <cellStyle name="Total 9 3 7 2 4" xfId="34829"/>
    <cellStyle name="Total 9 3 7 3" xfId="8457"/>
    <cellStyle name="Total 9 3 7 3 2" xfId="16648"/>
    <cellStyle name="Total 9 3 7 3 2 2" xfId="28729"/>
    <cellStyle name="Total 9 3 7 3 2 2 2" xfId="57908"/>
    <cellStyle name="Total 9 3 7 3 2 3" xfId="45829"/>
    <cellStyle name="Total 9 3 7 3 3" xfId="24301"/>
    <cellStyle name="Total 9 3 7 3 3 2" xfId="53480"/>
    <cellStyle name="Total 9 3 7 3 4" xfId="37640"/>
    <cellStyle name="Total 9 3 7 4" xfId="12186"/>
    <cellStyle name="Total 9 3 7 4 2" xfId="26027"/>
    <cellStyle name="Total 9 3 7 4 2 2" xfId="55206"/>
    <cellStyle name="Total 9 3 7 4 3" xfId="41367"/>
    <cellStyle name="Total 9 3 7 5" xfId="21599"/>
    <cellStyle name="Total 9 3 7 5 2" xfId="50778"/>
    <cellStyle name="Total 9 3 7 6" xfId="31616"/>
    <cellStyle name="Total 9 3 8" xfId="4206"/>
    <cellStyle name="Total 9 3 8 2" xfId="13455"/>
    <cellStyle name="Total 9 3 8 2 2" xfId="26747"/>
    <cellStyle name="Total 9 3 8 2 2 2" xfId="55926"/>
    <cellStyle name="Total 9 3 8 2 3" xfId="42636"/>
    <cellStyle name="Total 9 3 8 3" xfId="22319"/>
    <cellStyle name="Total 9 3 8 3 2" xfId="51498"/>
    <cellStyle name="Total 9 3 8 4" xfId="33389"/>
    <cellStyle name="Total 9 3 9" xfId="9489"/>
    <cellStyle name="Total 9 3 9 2" xfId="17395"/>
    <cellStyle name="Total 9 3 9 2 2" xfId="29149"/>
    <cellStyle name="Total 9 3 9 2 2 2" xfId="58328"/>
    <cellStyle name="Total 9 3 9 2 3" xfId="46576"/>
    <cellStyle name="Total 9 3 9 3" xfId="24721"/>
    <cellStyle name="Total 9 3 9 3 2" xfId="53900"/>
    <cellStyle name="Total 9 3 9 4" xfId="38672"/>
    <cellStyle name="Total 9 4" xfId="773"/>
    <cellStyle name="Total 9 4 2" xfId="1711"/>
    <cellStyle name="Total 9 4 2 2" xfId="3511"/>
    <cellStyle name="Total 9 4 2 2 2" xfId="6508"/>
    <cellStyle name="Total 9 4 2 2 2 2" xfId="15242"/>
    <cellStyle name="Total 9 4 2 2 2 2 2" xfId="27879"/>
    <cellStyle name="Total 9 4 2 2 2 2 2 2" xfId="57058"/>
    <cellStyle name="Total 9 4 2 2 2 2 3" xfId="44423"/>
    <cellStyle name="Total 9 4 2 2 2 3" xfId="23451"/>
    <cellStyle name="Total 9 4 2 2 2 3 2" xfId="52630"/>
    <cellStyle name="Total 9 4 2 2 2 4" xfId="35691"/>
    <cellStyle name="Total 9 4 2 2 3" xfId="8964"/>
    <cellStyle name="Total 9 4 2 2 3 2" xfId="17024"/>
    <cellStyle name="Total 9 4 2 2 3 2 2" xfId="28935"/>
    <cellStyle name="Total 9 4 2 2 3 2 2 2" xfId="58114"/>
    <cellStyle name="Total 9 4 2 2 3 2 3" xfId="46205"/>
    <cellStyle name="Total 9 4 2 2 3 3" xfId="24507"/>
    <cellStyle name="Total 9 4 2 2 3 3 2" xfId="53686"/>
    <cellStyle name="Total 9 4 2 2 3 4" xfId="38147"/>
    <cellStyle name="Total 9 4 2 2 4" xfId="12948"/>
    <cellStyle name="Total 9 4 2 2 4 2" xfId="26439"/>
    <cellStyle name="Total 9 4 2 2 4 2 2" xfId="55618"/>
    <cellStyle name="Total 9 4 2 2 4 3" xfId="42129"/>
    <cellStyle name="Total 9 4 2 2 5" xfId="22011"/>
    <cellStyle name="Total 9 4 2 2 5 2" xfId="51190"/>
    <cellStyle name="Total 9 4 2 2 6" xfId="32694"/>
    <cellStyle name="Total 9 4 2 3" xfId="5068"/>
    <cellStyle name="Total 9 4 2 3 2" xfId="14118"/>
    <cellStyle name="Total 9 4 2 3 2 2" xfId="27159"/>
    <cellStyle name="Total 9 4 2 3 2 2 2" xfId="56338"/>
    <cellStyle name="Total 9 4 2 3 2 3" xfId="43299"/>
    <cellStyle name="Total 9 4 2 3 3" xfId="22731"/>
    <cellStyle name="Total 9 4 2 3 3 2" xfId="51910"/>
    <cellStyle name="Total 9 4 2 3 4" xfId="34251"/>
    <cellStyle name="Total 9 4 2 4" xfId="8568"/>
    <cellStyle name="Total 9 4 2 4 2" xfId="16727"/>
    <cellStyle name="Total 9 4 2 4 2 2" xfId="28774"/>
    <cellStyle name="Total 9 4 2 4 2 2 2" xfId="57953"/>
    <cellStyle name="Total 9 4 2 4 2 3" xfId="45908"/>
    <cellStyle name="Total 9 4 2 4 3" xfId="24346"/>
    <cellStyle name="Total 9 4 2 4 3 2" xfId="53525"/>
    <cellStyle name="Total 9 4 2 4 4" xfId="37751"/>
    <cellStyle name="Total 9 4 2 5" xfId="11675"/>
    <cellStyle name="Total 9 4 2 5 2" xfId="25719"/>
    <cellStyle name="Total 9 4 2 5 2 2" xfId="54898"/>
    <cellStyle name="Total 9 4 2 5 3" xfId="40856"/>
    <cellStyle name="Total 9 4 2 6" xfId="21291"/>
    <cellStyle name="Total 9 4 2 6 2" xfId="50470"/>
    <cellStyle name="Total 9 4 2 7" xfId="30894"/>
    <cellStyle name="Total 9 4 3" xfId="2611"/>
    <cellStyle name="Total 9 4 3 2" xfId="5788"/>
    <cellStyle name="Total 9 4 3 2 2" xfId="14683"/>
    <cellStyle name="Total 9 4 3 2 2 2" xfId="27519"/>
    <cellStyle name="Total 9 4 3 2 2 2 2" xfId="56698"/>
    <cellStyle name="Total 9 4 3 2 2 3" xfId="43864"/>
    <cellStyle name="Total 9 4 3 2 3" xfId="23091"/>
    <cellStyle name="Total 9 4 3 2 3 2" xfId="52270"/>
    <cellStyle name="Total 9 4 3 2 4" xfId="34971"/>
    <cellStyle name="Total 9 4 3 3" xfId="10094"/>
    <cellStyle name="Total 9 4 3 3 2" xfId="17825"/>
    <cellStyle name="Total 9 4 3 3 2 2" xfId="29386"/>
    <cellStyle name="Total 9 4 3 3 2 2 2" xfId="58565"/>
    <cellStyle name="Total 9 4 3 3 2 3" xfId="47006"/>
    <cellStyle name="Total 9 4 3 3 3" xfId="24958"/>
    <cellStyle name="Total 9 4 3 3 3 2" xfId="54137"/>
    <cellStyle name="Total 9 4 3 3 4" xfId="39277"/>
    <cellStyle name="Total 9 4 3 4" xfId="12310"/>
    <cellStyle name="Total 9 4 3 4 2" xfId="26079"/>
    <cellStyle name="Total 9 4 3 4 2 2" xfId="55258"/>
    <cellStyle name="Total 9 4 3 4 3" xfId="41491"/>
    <cellStyle name="Total 9 4 3 5" xfId="21651"/>
    <cellStyle name="Total 9 4 3 5 2" xfId="50830"/>
    <cellStyle name="Total 9 4 3 6" xfId="31794"/>
    <cellStyle name="Total 9 4 4" xfId="4348"/>
    <cellStyle name="Total 9 4 4 2" xfId="13562"/>
    <cellStyle name="Total 9 4 4 2 2" xfId="26799"/>
    <cellStyle name="Total 9 4 4 2 2 2" xfId="55978"/>
    <cellStyle name="Total 9 4 4 2 3" xfId="42743"/>
    <cellStyle name="Total 9 4 4 3" xfId="22371"/>
    <cellStyle name="Total 9 4 4 3 2" xfId="51550"/>
    <cellStyle name="Total 9 4 4 4" xfId="33531"/>
    <cellStyle name="Total 9 4 5" xfId="7336"/>
    <cellStyle name="Total 9 4 5 2" xfId="15863"/>
    <cellStyle name="Total 9 4 5 2 2" xfId="28290"/>
    <cellStyle name="Total 9 4 5 2 2 2" xfId="57469"/>
    <cellStyle name="Total 9 4 5 2 3" xfId="45044"/>
    <cellStyle name="Total 9 4 5 3" xfId="23862"/>
    <cellStyle name="Total 9 4 5 3 2" xfId="53041"/>
    <cellStyle name="Total 9 4 5 4" xfId="36519"/>
    <cellStyle name="Total 9 4 6" xfId="11014"/>
    <cellStyle name="Total 9 4 6 2" xfId="25335"/>
    <cellStyle name="Total 9 4 6 2 2" xfId="54514"/>
    <cellStyle name="Total 9 4 6 3" xfId="40195"/>
    <cellStyle name="Total 9 4 7" xfId="20907"/>
    <cellStyle name="Total 9 4 7 2" xfId="50086"/>
    <cellStyle name="Total 9 4 8" xfId="29970"/>
    <cellStyle name="Total 9 5" xfId="965"/>
    <cellStyle name="Total 9 5 2" xfId="1875"/>
    <cellStyle name="Total 9 5 2 2" xfId="3675"/>
    <cellStyle name="Total 9 5 2 2 2" xfId="6636"/>
    <cellStyle name="Total 9 5 2 2 2 2" xfId="15348"/>
    <cellStyle name="Total 9 5 2 2 2 2 2" xfId="27953"/>
    <cellStyle name="Total 9 5 2 2 2 2 2 2" xfId="57132"/>
    <cellStyle name="Total 9 5 2 2 2 2 3" xfId="44529"/>
    <cellStyle name="Total 9 5 2 2 2 3" xfId="23525"/>
    <cellStyle name="Total 9 5 2 2 2 3 2" xfId="52704"/>
    <cellStyle name="Total 9 5 2 2 2 4" xfId="35819"/>
    <cellStyle name="Total 9 5 2 2 3" xfId="8842"/>
    <cellStyle name="Total 9 5 2 2 3 2" xfId="16932"/>
    <cellStyle name="Total 9 5 2 2 3 2 2" xfId="28888"/>
    <cellStyle name="Total 9 5 2 2 3 2 2 2" xfId="58067"/>
    <cellStyle name="Total 9 5 2 2 3 2 3" xfId="46113"/>
    <cellStyle name="Total 9 5 2 2 3 3" xfId="24460"/>
    <cellStyle name="Total 9 5 2 2 3 3 2" xfId="53639"/>
    <cellStyle name="Total 9 5 2 2 3 4" xfId="38025"/>
    <cellStyle name="Total 9 5 2 2 4" xfId="13069"/>
    <cellStyle name="Total 9 5 2 2 4 2" xfId="26513"/>
    <cellStyle name="Total 9 5 2 2 4 2 2" xfId="55692"/>
    <cellStyle name="Total 9 5 2 2 4 3" xfId="42250"/>
    <cellStyle name="Total 9 5 2 2 5" xfId="22085"/>
    <cellStyle name="Total 9 5 2 2 5 2" xfId="51264"/>
    <cellStyle name="Total 9 5 2 2 6" xfId="32858"/>
    <cellStyle name="Total 9 5 2 3" xfId="5196"/>
    <cellStyle name="Total 9 5 2 3 2" xfId="14226"/>
    <cellStyle name="Total 9 5 2 3 2 2" xfId="27233"/>
    <cellStyle name="Total 9 5 2 3 2 2 2" xfId="56412"/>
    <cellStyle name="Total 9 5 2 3 2 3" xfId="43407"/>
    <cellStyle name="Total 9 5 2 3 3" xfId="22805"/>
    <cellStyle name="Total 9 5 2 3 3 2" xfId="51984"/>
    <cellStyle name="Total 9 5 2 3 4" xfId="34379"/>
    <cellStyle name="Total 9 5 2 4" xfId="9824"/>
    <cellStyle name="Total 9 5 2 4 2" xfId="17640"/>
    <cellStyle name="Total 9 5 2 4 2 2" xfId="29281"/>
    <cellStyle name="Total 9 5 2 4 2 2 2" xfId="58460"/>
    <cellStyle name="Total 9 5 2 4 2 3" xfId="46821"/>
    <cellStyle name="Total 9 5 2 4 3" xfId="24853"/>
    <cellStyle name="Total 9 5 2 4 3 2" xfId="54032"/>
    <cellStyle name="Total 9 5 2 4 4" xfId="39007"/>
    <cellStyle name="Total 9 5 2 5" xfId="11794"/>
    <cellStyle name="Total 9 5 2 5 2" xfId="25793"/>
    <cellStyle name="Total 9 5 2 5 2 2" xfId="54972"/>
    <cellStyle name="Total 9 5 2 5 3" xfId="40975"/>
    <cellStyle name="Total 9 5 2 6" xfId="21365"/>
    <cellStyle name="Total 9 5 2 6 2" xfId="50544"/>
    <cellStyle name="Total 9 5 2 7" xfId="31058"/>
    <cellStyle name="Total 9 5 3" xfId="2775"/>
    <cellStyle name="Total 9 5 3 2" xfId="5916"/>
    <cellStyle name="Total 9 5 3 2 2" xfId="14791"/>
    <cellStyle name="Total 9 5 3 2 2 2" xfId="27593"/>
    <cellStyle name="Total 9 5 3 2 2 2 2" xfId="56772"/>
    <cellStyle name="Total 9 5 3 2 2 3" xfId="43972"/>
    <cellStyle name="Total 9 5 3 2 3" xfId="23165"/>
    <cellStyle name="Total 9 5 3 2 3 2" xfId="52344"/>
    <cellStyle name="Total 9 5 3 2 4" xfId="35099"/>
    <cellStyle name="Total 9 5 3 3" xfId="9049"/>
    <cellStyle name="Total 9 5 3 3 2" xfId="17087"/>
    <cellStyle name="Total 9 5 3 3 2 2" xfId="28974"/>
    <cellStyle name="Total 9 5 3 3 2 2 2" xfId="58153"/>
    <cellStyle name="Total 9 5 3 3 2 3" xfId="46268"/>
    <cellStyle name="Total 9 5 3 3 3" xfId="24546"/>
    <cellStyle name="Total 9 5 3 3 3 2" xfId="53725"/>
    <cellStyle name="Total 9 5 3 3 4" xfId="38232"/>
    <cellStyle name="Total 9 5 3 4" xfId="12434"/>
    <cellStyle name="Total 9 5 3 4 2" xfId="26153"/>
    <cellStyle name="Total 9 5 3 4 2 2" xfId="55332"/>
    <cellStyle name="Total 9 5 3 4 3" xfId="41615"/>
    <cellStyle name="Total 9 5 3 5" xfId="21725"/>
    <cellStyle name="Total 9 5 3 5 2" xfId="50904"/>
    <cellStyle name="Total 9 5 3 6" xfId="31958"/>
    <cellStyle name="Total 9 5 4" xfId="4476"/>
    <cellStyle name="Total 9 5 4 2" xfId="13669"/>
    <cellStyle name="Total 9 5 4 2 2" xfId="26873"/>
    <cellStyle name="Total 9 5 4 2 2 2" xfId="56052"/>
    <cellStyle name="Total 9 5 4 2 3" xfId="42850"/>
    <cellStyle name="Total 9 5 4 3" xfId="22445"/>
    <cellStyle name="Total 9 5 4 3 2" xfId="51624"/>
    <cellStyle name="Total 9 5 4 4" xfId="33659"/>
    <cellStyle name="Total 9 5 5" xfId="9720"/>
    <cellStyle name="Total 9 5 5 2" xfId="17560"/>
    <cellStyle name="Total 9 5 5 2 2" xfId="29237"/>
    <cellStyle name="Total 9 5 5 2 2 2" xfId="58416"/>
    <cellStyle name="Total 9 5 5 2 3" xfId="46741"/>
    <cellStyle name="Total 9 5 5 3" xfId="24809"/>
    <cellStyle name="Total 9 5 5 3 2" xfId="53988"/>
    <cellStyle name="Total 9 5 5 4" xfId="38903"/>
    <cellStyle name="Total 9 5 6" xfId="11159"/>
    <cellStyle name="Total 9 5 6 2" xfId="25430"/>
    <cellStyle name="Total 9 5 6 2 2" xfId="54609"/>
    <cellStyle name="Total 9 5 6 3" xfId="40340"/>
    <cellStyle name="Total 9 5 7" xfId="21002"/>
    <cellStyle name="Total 9 5 7 2" xfId="50181"/>
    <cellStyle name="Total 9 5 8" xfId="30155"/>
    <cellStyle name="Total 9 6" xfId="1115"/>
    <cellStyle name="Total 9 6 2" xfId="2019"/>
    <cellStyle name="Total 9 6 2 2" xfId="3819"/>
    <cellStyle name="Total 9 6 2 2 2" xfId="6753"/>
    <cellStyle name="Total 9 6 2 2 2 2" xfId="15439"/>
    <cellStyle name="Total 9 6 2 2 2 2 2" xfId="28016"/>
    <cellStyle name="Total 9 6 2 2 2 2 2 2" xfId="57195"/>
    <cellStyle name="Total 9 6 2 2 2 2 3" xfId="44620"/>
    <cellStyle name="Total 9 6 2 2 2 3" xfId="23588"/>
    <cellStyle name="Total 9 6 2 2 2 3 2" xfId="52767"/>
    <cellStyle name="Total 9 6 2 2 2 4" xfId="35936"/>
    <cellStyle name="Total 9 6 2 2 3" xfId="10181"/>
    <cellStyle name="Total 9 6 2 2 3 2" xfId="17887"/>
    <cellStyle name="Total 9 6 2 2 3 2 2" xfId="29422"/>
    <cellStyle name="Total 9 6 2 2 3 2 2 2" xfId="58601"/>
    <cellStyle name="Total 9 6 2 2 3 2 3" xfId="47068"/>
    <cellStyle name="Total 9 6 2 2 3 3" xfId="24994"/>
    <cellStyle name="Total 9 6 2 2 3 3 2" xfId="54173"/>
    <cellStyle name="Total 9 6 2 2 3 4" xfId="39364"/>
    <cellStyle name="Total 9 6 2 2 4" xfId="13176"/>
    <cellStyle name="Total 9 6 2 2 4 2" xfId="26576"/>
    <cellStyle name="Total 9 6 2 2 4 2 2" xfId="55755"/>
    <cellStyle name="Total 9 6 2 2 4 3" xfId="42357"/>
    <cellStyle name="Total 9 6 2 2 5" xfId="22148"/>
    <cellStyle name="Total 9 6 2 2 5 2" xfId="51327"/>
    <cellStyle name="Total 9 6 2 2 6" xfId="33002"/>
    <cellStyle name="Total 9 6 2 3" xfId="5313"/>
    <cellStyle name="Total 9 6 2 3 2" xfId="14318"/>
    <cellStyle name="Total 9 6 2 3 2 2" xfId="27296"/>
    <cellStyle name="Total 9 6 2 3 2 2 2" xfId="56475"/>
    <cellStyle name="Total 9 6 2 3 2 3" xfId="43499"/>
    <cellStyle name="Total 9 6 2 3 3" xfId="22868"/>
    <cellStyle name="Total 9 6 2 3 3 2" xfId="52047"/>
    <cellStyle name="Total 9 6 2 3 4" xfId="34496"/>
    <cellStyle name="Total 9 6 2 4" xfId="8940"/>
    <cellStyle name="Total 9 6 2 4 2" xfId="17006"/>
    <cellStyle name="Total 9 6 2 4 2 2" xfId="28926"/>
    <cellStyle name="Total 9 6 2 4 2 2 2" xfId="58105"/>
    <cellStyle name="Total 9 6 2 4 2 3" xfId="46187"/>
    <cellStyle name="Total 9 6 2 4 3" xfId="24498"/>
    <cellStyle name="Total 9 6 2 4 3 2" xfId="53677"/>
    <cellStyle name="Total 9 6 2 4 4" xfId="38123"/>
    <cellStyle name="Total 9 6 2 5" xfId="11900"/>
    <cellStyle name="Total 9 6 2 5 2" xfId="25856"/>
    <cellStyle name="Total 9 6 2 5 2 2" xfId="55035"/>
    <cellStyle name="Total 9 6 2 5 3" xfId="41081"/>
    <cellStyle name="Total 9 6 2 6" xfId="21428"/>
    <cellStyle name="Total 9 6 2 6 2" xfId="50607"/>
    <cellStyle name="Total 9 6 2 7" xfId="31202"/>
    <cellStyle name="Total 9 6 3" xfId="2919"/>
    <cellStyle name="Total 9 6 3 2" xfId="6033"/>
    <cellStyle name="Total 9 6 3 2 2" xfId="14879"/>
    <cellStyle name="Total 9 6 3 2 2 2" xfId="27656"/>
    <cellStyle name="Total 9 6 3 2 2 2 2" xfId="56835"/>
    <cellStyle name="Total 9 6 3 2 2 3" xfId="44060"/>
    <cellStyle name="Total 9 6 3 2 3" xfId="23228"/>
    <cellStyle name="Total 9 6 3 2 3 2" xfId="52407"/>
    <cellStyle name="Total 9 6 3 2 4" xfId="35216"/>
    <cellStyle name="Total 9 6 3 3" xfId="10467"/>
    <cellStyle name="Total 9 6 3 3 2" xfId="18084"/>
    <cellStyle name="Total 9 6 3 3 2 2" xfId="29530"/>
    <cellStyle name="Total 9 6 3 3 2 2 2" xfId="58709"/>
    <cellStyle name="Total 9 6 3 3 2 3" xfId="47265"/>
    <cellStyle name="Total 9 6 3 3 3" xfId="25102"/>
    <cellStyle name="Total 9 6 3 3 3 2" xfId="54281"/>
    <cellStyle name="Total 9 6 3 3 4" xfId="39650"/>
    <cellStyle name="Total 9 6 3 4" xfId="12536"/>
    <cellStyle name="Total 9 6 3 4 2" xfId="26216"/>
    <cellStyle name="Total 9 6 3 4 2 2" xfId="55395"/>
    <cellStyle name="Total 9 6 3 4 3" xfId="41717"/>
    <cellStyle name="Total 9 6 3 5" xfId="21788"/>
    <cellStyle name="Total 9 6 3 5 2" xfId="50967"/>
    <cellStyle name="Total 9 6 3 6" xfId="32102"/>
    <cellStyle name="Total 9 6 4" xfId="4593"/>
    <cellStyle name="Total 9 6 4 2" xfId="13759"/>
    <cellStyle name="Total 9 6 4 2 2" xfId="26936"/>
    <cellStyle name="Total 9 6 4 2 2 2" xfId="56115"/>
    <cellStyle name="Total 9 6 4 2 3" xfId="42940"/>
    <cellStyle name="Total 9 6 4 3" xfId="22508"/>
    <cellStyle name="Total 9 6 4 3 2" xfId="51687"/>
    <cellStyle name="Total 9 6 4 4" xfId="33776"/>
    <cellStyle name="Total 9 6 5" xfId="9917"/>
    <cellStyle name="Total 9 6 5 2" xfId="17703"/>
    <cellStyle name="Total 9 6 5 2 2" xfId="29315"/>
    <cellStyle name="Total 9 6 5 2 2 2" xfId="58494"/>
    <cellStyle name="Total 9 6 5 2 3" xfId="46884"/>
    <cellStyle name="Total 9 6 5 3" xfId="24887"/>
    <cellStyle name="Total 9 6 5 3 2" xfId="54066"/>
    <cellStyle name="Total 9 6 5 4" xfId="39100"/>
    <cellStyle name="Total 9 6 6" xfId="11268"/>
    <cellStyle name="Total 9 6 6 2" xfId="25496"/>
    <cellStyle name="Total 9 6 6 2 2" xfId="54675"/>
    <cellStyle name="Total 9 6 6 3" xfId="40449"/>
    <cellStyle name="Total 9 6 7" xfId="21068"/>
    <cellStyle name="Total 9 6 7 2" xfId="50247"/>
    <cellStyle name="Total 9 6 8" xfId="30302"/>
    <cellStyle name="Total 9 7" xfId="1261"/>
    <cellStyle name="Total 9 7 2" xfId="2163"/>
    <cellStyle name="Total 9 7 2 2" xfId="3963"/>
    <cellStyle name="Total 9 7 2 2 2" xfId="6870"/>
    <cellStyle name="Total 9 7 2 2 2 2" xfId="15529"/>
    <cellStyle name="Total 9 7 2 2 2 2 2" xfId="28079"/>
    <cellStyle name="Total 9 7 2 2 2 2 2 2" xfId="57258"/>
    <cellStyle name="Total 9 7 2 2 2 2 3" xfId="44710"/>
    <cellStyle name="Total 9 7 2 2 2 3" xfId="23651"/>
    <cellStyle name="Total 9 7 2 2 2 3 2" xfId="52830"/>
    <cellStyle name="Total 9 7 2 2 2 4" xfId="36053"/>
    <cellStyle name="Total 9 7 2 2 3" xfId="7117"/>
    <cellStyle name="Total 9 7 2 2 3 2" xfId="15707"/>
    <cellStyle name="Total 9 7 2 2 3 2 2" xfId="28189"/>
    <cellStyle name="Total 9 7 2 2 3 2 2 2" xfId="57368"/>
    <cellStyle name="Total 9 7 2 2 3 2 3" xfId="44888"/>
    <cellStyle name="Total 9 7 2 2 3 3" xfId="23761"/>
    <cellStyle name="Total 9 7 2 2 3 3 2" xfId="52940"/>
    <cellStyle name="Total 9 7 2 2 3 4" xfId="36300"/>
    <cellStyle name="Total 9 7 2 2 4" xfId="13274"/>
    <cellStyle name="Total 9 7 2 2 4 2" xfId="26639"/>
    <cellStyle name="Total 9 7 2 2 4 2 2" xfId="55818"/>
    <cellStyle name="Total 9 7 2 2 4 3" xfId="42455"/>
    <cellStyle name="Total 9 7 2 2 5" xfId="22211"/>
    <cellStyle name="Total 9 7 2 2 5 2" xfId="51390"/>
    <cellStyle name="Total 9 7 2 2 6" xfId="33146"/>
    <cellStyle name="Total 9 7 2 3" xfId="5430"/>
    <cellStyle name="Total 9 7 2 3 2" xfId="14407"/>
    <cellStyle name="Total 9 7 2 3 2 2" xfId="27359"/>
    <cellStyle name="Total 9 7 2 3 2 2 2" xfId="56538"/>
    <cellStyle name="Total 9 7 2 3 2 3" xfId="43588"/>
    <cellStyle name="Total 9 7 2 3 3" xfId="22931"/>
    <cellStyle name="Total 9 7 2 3 3 2" xfId="52110"/>
    <cellStyle name="Total 9 7 2 3 4" xfId="34613"/>
    <cellStyle name="Total 9 7 2 4" xfId="10021"/>
    <cellStyle name="Total 9 7 2 4 2" xfId="17776"/>
    <cellStyle name="Total 9 7 2 4 2 2" xfId="29354"/>
    <cellStyle name="Total 9 7 2 4 2 2 2" xfId="58533"/>
    <cellStyle name="Total 9 7 2 4 2 3" xfId="46957"/>
    <cellStyle name="Total 9 7 2 4 3" xfId="24926"/>
    <cellStyle name="Total 9 7 2 4 3 2" xfId="54105"/>
    <cellStyle name="Total 9 7 2 4 4" xfId="39204"/>
    <cellStyle name="Total 9 7 2 5" xfId="11999"/>
    <cellStyle name="Total 9 7 2 5 2" xfId="25919"/>
    <cellStyle name="Total 9 7 2 5 2 2" xfId="55098"/>
    <cellStyle name="Total 9 7 2 5 3" xfId="41180"/>
    <cellStyle name="Total 9 7 2 6" xfId="21491"/>
    <cellStyle name="Total 9 7 2 6 2" xfId="50670"/>
    <cellStyle name="Total 9 7 2 7" xfId="31346"/>
    <cellStyle name="Total 9 7 3" xfId="3063"/>
    <cellStyle name="Total 9 7 3 2" xfId="6150"/>
    <cellStyle name="Total 9 7 3 2 2" xfId="14968"/>
    <cellStyle name="Total 9 7 3 2 2 2" xfId="27719"/>
    <cellStyle name="Total 9 7 3 2 2 2 2" xfId="56898"/>
    <cellStyle name="Total 9 7 3 2 2 3" xfId="44149"/>
    <cellStyle name="Total 9 7 3 2 3" xfId="23291"/>
    <cellStyle name="Total 9 7 3 2 3 2" xfId="52470"/>
    <cellStyle name="Total 9 7 3 2 4" xfId="35333"/>
    <cellStyle name="Total 9 7 3 3" xfId="9228"/>
    <cellStyle name="Total 9 7 3 3 2" xfId="17213"/>
    <cellStyle name="Total 9 7 3 3 2 2" xfId="29039"/>
    <cellStyle name="Total 9 7 3 3 2 2 2" xfId="58218"/>
    <cellStyle name="Total 9 7 3 3 2 3" xfId="46394"/>
    <cellStyle name="Total 9 7 3 3 3" xfId="24611"/>
    <cellStyle name="Total 9 7 3 3 3 2" xfId="53790"/>
    <cellStyle name="Total 9 7 3 3 4" xfId="38411"/>
    <cellStyle name="Total 9 7 3 4" xfId="12635"/>
    <cellStyle name="Total 9 7 3 4 2" xfId="26279"/>
    <cellStyle name="Total 9 7 3 4 2 2" xfId="55458"/>
    <cellStyle name="Total 9 7 3 4 3" xfId="41816"/>
    <cellStyle name="Total 9 7 3 5" xfId="21851"/>
    <cellStyle name="Total 9 7 3 5 2" xfId="51030"/>
    <cellStyle name="Total 9 7 3 6" xfId="32246"/>
    <cellStyle name="Total 9 7 4" xfId="4710"/>
    <cellStyle name="Total 9 7 4 2" xfId="13848"/>
    <cellStyle name="Total 9 7 4 2 2" xfId="26999"/>
    <cellStyle name="Total 9 7 4 2 2 2" xfId="56178"/>
    <cellStyle name="Total 9 7 4 2 3" xfId="43029"/>
    <cellStyle name="Total 9 7 4 3" xfId="22571"/>
    <cellStyle name="Total 9 7 4 3 2" xfId="51750"/>
    <cellStyle name="Total 9 7 4 4" xfId="33893"/>
    <cellStyle name="Total 9 7 5" xfId="7399"/>
    <cellStyle name="Total 9 7 5 2" xfId="15911"/>
    <cellStyle name="Total 9 7 5 2 2" xfId="28325"/>
    <cellStyle name="Total 9 7 5 2 2 2" xfId="57504"/>
    <cellStyle name="Total 9 7 5 2 3" xfId="45092"/>
    <cellStyle name="Total 9 7 5 3" xfId="23897"/>
    <cellStyle name="Total 9 7 5 3 2" xfId="53076"/>
    <cellStyle name="Total 9 7 5 4" xfId="36582"/>
    <cellStyle name="Total 9 7 6" xfId="11370"/>
    <cellStyle name="Total 9 7 6 2" xfId="25559"/>
    <cellStyle name="Total 9 7 6 2 2" xfId="54738"/>
    <cellStyle name="Total 9 7 6 3" xfId="40551"/>
    <cellStyle name="Total 9 7 7" xfId="21131"/>
    <cellStyle name="Total 9 7 7 2" xfId="50310"/>
    <cellStyle name="Total 9 7 8" xfId="30446"/>
    <cellStyle name="Total 9 8" xfId="1443"/>
    <cellStyle name="Total 9 8 2" xfId="3243"/>
    <cellStyle name="Total 9 8 2 2" xfId="6294"/>
    <cellStyle name="Total 9 8 2 2 2" xfId="15077"/>
    <cellStyle name="Total 9 8 2 2 2 2" xfId="27791"/>
    <cellStyle name="Total 9 8 2 2 2 2 2" xfId="56970"/>
    <cellStyle name="Total 9 8 2 2 2 3" xfId="44258"/>
    <cellStyle name="Total 9 8 2 2 3" xfId="23363"/>
    <cellStyle name="Total 9 8 2 2 3 2" xfId="52542"/>
    <cellStyle name="Total 9 8 2 2 4" xfId="35477"/>
    <cellStyle name="Total 9 8 2 3" xfId="10087"/>
    <cellStyle name="Total 9 8 2 3 2" xfId="17818"/>
    <cellStyle name="Total 9 8 2 3 2 2" xfId="29381"/>
    <cellStyle name="Total 9 8 2 3 2 2 2" xfId="58560"/>
    <cellStyle name="Total 9 8 2 3 2 3" xfId="46999"/>
    <cellStyle name="Total 9 8 2 3 3" xfId="24953"/>
    <cellStyle name="Total 9 8 2 3 3 2" xfId="54132"/>
    <cellStyle name="Total 9 8 2 3 4" xfId="39270"/>
    <cellStyle name="Total 9 8 2 4" xfId="12762"/>
    <cellStyle name="Total 9 8 2 4 2" xfId="26351"/>
    <cellStyle name="Total 9 8 2 4 2 2" xfId="55530"/>
    <cellStyle name="Total 9 8 2 4 3" xfId="41943"/>
    <cellStyle name="Total 9 8 2 5" xfId="21923"/>
    <cellStyle name="Total 9 8 2 5 2" xfId="51102"/>
    <cellStyle name="Total 9 8 2 6" xfId="32426"/>
    <cellStyle name="Total 9 8 3" xfId="4854"/>
    <cellStyle name="Total 9 8 3 2" xfId="13953"/>
    <cellStyle name="Total 9 8 3 2 2" xfId="27071"/>
    <cellStyle name="Total 9 8 3 2 2 2" xfId="56250"/>
    <cellStyle name="Total 9 8 3 2 3" xfId="43134"/>
    <cellStyle name="Total 9 8 3 3" xfId="22643"/>
    <cellStyle name="Total 9 8 3 3 2" xfId="51822"/>
    <cellStyle name="Total 9 8 3 4" xfId="34037"/>
    <cellStyle name="Total 9 8 4" xfId="9867"/>
    <cellStyle name="Total 9 8 4 2" xfId="17668"/>
    <cellStyle name="Total 9 8 4 2 2" xfId="29296"/>
    <cellStyle name="Total 9 8 4 2 2 2" xfId="58475"/>
    <cellStyle name="Total 9 8 4 2 3" xfId="46849"/>
    <cellStyle name="Total 9 8 4 3" xfId="24868"/>
    <cellStyle name="Total 9 8 4 3 2" xfId="54047"/>
    <cellStyle name="Total 9 8 4 4" xfId="39050"/>
    <cellStyle name="Total 9 8 5" xfId="11491"/>
    <cellStyle name="Total 9 8 5 2" xfId="25631"/>
    <cellStyle name="Total 9 8 5 2 2" xfId="54810"/>
    <cellStyle name="Total 9 8 5 3" xfId="40672"/>
    <cellStyle name="Total 9 8 6" xfId="21203"/>
    <cellStyle name="Total 9 8 6 2" xfId="50382"/>
    <cellStyle name="Total 9 8 7" xfId="30626"/>
    <cellStyle name="Total 9 9" xfId="2343"/>
    <cellStyle name="Total 9 9 2" xfId="5574"/>
    <cellStyle name="Total 9 9 2 2" xfId="14519"/>
    <cellStyle name="Total 9 9 2 2 2" xfId="27431"/>
    <cellStyle name="Total 9 9 2 2 2 2" xfId="56610"/>
    <cellStyle name="Total 9 9 2 2 3" xfId="43700"/>
    <cellStyle name="Total 9 9 2 3" xfId="23003"/>
    <cellStyle name="Total 9 9 2 3 2" xfId="52182"/>
    <cellStyle name="Total 9 9 2 4" xfId="34757"/>
    <cellStyle name="Total 9 9 3" xfId="7275"/>
    <cellStyle name="Total 9 9 3 2" xfId="15820"/>
    <cellStyle name="Total 9 9 3 2 2" xfId="28264"/>
    <cellStyle name="Total 9 9 3 2 2 2" xfId="57443"/>
    <cellStyle name="Total 9 9 3 2 3" xfId="45001"/>
    <cellStyle name="Total 9 9 3 3" xfId="23836"/>
    <cellStyle name="Total 9 9 3 3 2" xfId="53015"/>
    <cellStyle name="Total 9 9 3 4" xfId="36458"/>
    <cellStyle name="Total 9 9 4" xfId="12123"/>
    <cellStyle name="Total 9 9 4 2" xfId="25991"/>
    <cellStyle name="Total 9 9 4 2 2" xfId="55170"/>
    <cellStyle name="Total 9 9 4 3" xfId="41304"/>
    <cellStyle name="Total 9 9 5" xfId="21563"/>
    <cellStyle name="Total 9 9 5 2" xfId="50742"/>
    <cellStyle name="Total 9 9 6" xfId="31526"/>
  </cellStyles>
  <dxfs count="184"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b/>
        <i val="0"/>
        <color rgb="FF00B05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numFmt numFmtId="35" formatCode="_-* #,##0.00_-;\-* #,##0.00_-;_-* &quot;-&quot;??_-;_-@_-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35" formatCode="_-* #,##0.00_-;\-* #,##0.00_-;_-* &quot;-&quot;??_-;_-@_-"/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5" formatCode="_-* #,##0.00_-;\-* #,##0.00_-;_-* &quot;-&quot;??_-;_-@_-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5" formatCode="_-* #,##0.00_-;\-* #,##0.00_-;_-* &quot;-&quot;??_-;_-@_-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Relatório!$AX$5</c:f>
              <c:strCache>
                <c:ptCount val="1"/>
                <c:pt idx="0">
                  <c:v>Retorno (%)</c:v>
                </c:pt>
              </c:strCache>
            </c:strRef>
          </c:tx>
          <c:invertIfNegative val="0"/>
          <c:cat>
            <c:strRef>
              <c:f>historico!$M$18</c:f>
              <c:strCache>
                <c:ptCount val="1"/>
                <c:pt idx="0">
                  <c:v>Março/2016</c:v>
                </c:pt>
              </c:strCache>
            </c:strRef>
          </c:cat>
          <c:val>
            <c:numRef>
              <c:f>historico!$T$18</c:f>
              <c:numCache>
                <c:formatCode>0.00%</c:formatCode>
                <c:ptCount val="1"/>
                <c:pt idx="0">
                  <c:v>2.671168458402616E-2</c:v>
                </c:pt>
              </c:numCache>
            </c:numRef>
          </c:val>
        </c:ser>
        <c:ser>
          <c:idx val="1"/>
          <c:order val="1"/>
          <c:tx>
            <c:strRef>
              <c:f>Relatório!$AY$5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historico!$M$18</c:f>
              <c:strCache>
                <c:ptCount val="1"/>
                <c:pt idx="0">
                  <c:v>Março/2016</c:v>
                </c:pt>
              </c:strCache>
            </c:strRef>
          </c:cat>
          <c:val>
            <c:numRef>
              <c:f>historico!$U$18</c:f>
              <c:numCache>
                <c:formatCode>0.00%</c:formatCode>
                <c:ptCount val="1"/>
                <c:pt idx="0">
                  <c:v>9.2889677878305044E-3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-2122958064"/>
        <c:axId val="-2123938384"/>
        <c:axId val="0"/>
      </c:bar3DChart>
      <c:catAx>
        <c:axId val="-2122958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-2123938384"/>
        <c:crosses val="autoZero"/>
        <c:auto val="1"/>
        <c:lblAlgn val="ctr"/>
        <c:lblOffset val="100"/>
        <c:noMultiLvlLbl val="0"/>
      </c:catAx>
      <c:valAx>
        <c:axId val="-212393838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-212295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2667" footer="0.31496062000002667"/>
    <c:pageSetup/>
  </c:printSettings>
</c:chartSpace>
</file>

<file path=xl/ctrlProps/ctrlProp1.xml><?xml version="1.0" encoding="utf-8"?>
<formControlPr xmlns="http://schemas.microsoft.com/office/spreadsheetml/2009/9/main" objectType="Drop" dropLines="40" dropStyle="combo" dx="16" fmlaLink="Dados_Clientes!$F$2" fmlaRange="Dados_Clientes!$E$2:$E$37" noThreeD="1" sel="16" val="0"/>
</file>

<file path=xl/ctrlProps/ctrlProp10.xml><?xml version="1.0" encoding="utf-8"?>
<formControlPr xmlns="http://schemas.microsoft.com/office/spreadsheetml/2009/9/main" objectType="Drop" dropLines="20" dropStyle="combo" dx="16" fmlaLink="Carteira!$B$10" fmlaRange="'Dados dos fundos'!$B$2:$B$200" noThreeD="1" sel="89" val="70"/>
</file>

<file path=xl/ctrlProps/ctrlProp11.xml><?xml version="1.0" encoding="utf-8"?>
<formControlPr xmlns="http://schemas.microsoft.com/office/spreadsheetml/2009/9/main" objectType="Drop" dropLines="20" dropStyle="combo" dx="16" fmlaLink="Carteira!$B$11" fmlaRange="'Dados dos fundos'!$B$2:$B$200" noThreeD="1" sel="1" val="0"/>
</file>

<file path=xl/ctrlProps/ctrlProp12.xml><?xml version="1.0" encoding="utf-8"?>
<formControlPr xmlns="http://schemas.microsoft.com/office/spreadsheetml/2009/9/main" objectType="Drop" dropLines="20" dropStyle="combo" dx="16" fmlaLink="Carteira!$B$12" fmlaRange="'Dados dos fundos'!$B$2:$B$200" noThreeD="1" sel="1" val="0"/>
</file>

<file path=xl/ctrlProps/ctrlProp13.xml><?xml version="1.0" encoding="utf-8"?>
<formControlPr xmlns="http://schemas.microsoft.com/office/spreadsheetml/2009/9/main" objectType="Drop" dropLines="20" dropStyle="combo" dx="16" fmlaLink="Carteira!$B$13" fmlaRange="'Dados dos fundos'!$B$2:$B$200" noThreeD="1" sel="1" val="0"/>
</file>

<file path=xl/ctrlProps/ctrlProp14.xml><?xml version="1.0" encoding="utf-8"?>
<formControlPr xmlns="http://schemas.microsoft.com/office/spreadsheetml/2009/9/main" objectType="Drop" dropLines="20" dropStyle="combo" dx="16" fmlaLink="Carteira!$B$14" fmlaRange="'Dados dos fundos'!$B$2:$B$200" noThreeD="1" sel="1" val="0"/>
</file>

<file path=xl/ctrlProps/ctrlProp15.xml><?xml version="1.0" encoding="utf-8"?>
<formControlPr xmlns="http://schemas.microsoft.com/office/spreadsheetml/2009/9/main" objectType="Drop" dropLines="20" dropStyle="combo" dx="16" fmlaLink="Carteira!$B$15" fmlaRange="'Dados dos fundos'!$B$2:$B$200" noThreeD="1" sel="1" val="0"/>
</file>

<file path=xl/ctrlProps/ctrlProp16.xml><?xml version="1.0" encoding="utf-8"?>
<formControlPr xmlns="http://schemas.microsoft.com/office/spreadsheetml/2009/9/main" objectType="Drop" dropLines="20" dropStyle="combo" dx="16" fmlaLink="Carteira!$B$16" fmlaRange="'Dados dos fundos'!$B$2:$B$200" noThreeD="1" sel="1" val="0"/>
</file>

<file path=xl/ctrlProps/ctrlProp17.xml><?xml version="1.0" encoding="utf-8"?>
<formControlPr xmlns="http://schemas.microsoft.com/office/spreadsheetml/2009/9/main" objectType="Drop" dropLines="20" dropStyle="combo" dx="16" fmlaLink="Carteira!$B$17" fmlaRange="'Dados dos fundos'!$B$2:$B$200" noThreeD="1" sel="1" val="0"/>
</file>

<file path=xl/ctrlProps/ctrlProp18.xml><?xml version="1.0" encoding="utf-8"?>
<formControlPr xmlns="http://schemas.microsoft.com/office/spreadsheetml/2009/9/main" objectType="Drop" dropLines="20" dropStyle="combo" dx="16" fmlaLink="Carteira!$B$18" fmlaRange="'Dados dos fundos'!$B$2:$B$200" noThreeD="1" sel="1" val="0"/>
</file>

<file path=xl/ctrlProps/ctrlProp19.xml><?xml version="1.0" encoding="utf-8"?>
<formControlPr xmlns="http://schemas.microsoft.com/office/spreadsheetml/2009/9/main" objectType="Drop" dropLines="20" dropStyle="combo" dx="16" fmlaLink="Carteira!$B$19" fmlaRange="'Dados dos fundos'!$B$2:$B$200" noThreeD="1" sel="1" val="0"/>
</file>

<file path=xl/ctrlProps/ctrlProp2.xml><?xml version="1.0" encoding="utf-8"?>
<formControlPr xmlns="http://schemas.microsoft.com/office/spreadsheetml/2009/9/main" objectType="Drop" dropLines="12" dropStyle="combo" dx="16" fmlaLink="Dados_Clientes!$C$10" fmlaRange="Dados_Clientes!$B$10:$B$21" noThreeD="1" sel="3" val="0"/>
</file>

<file path=xl/ctrlProps/ctrlProp20.xml><?xml version="1.0" encoding="utf-8"?>
<formControlPr xmlns="http://schemas.microsoft.com/office/spreadsheetml/2009/9/main" objectType="Drop" dropLines="20" dropStyle="combo" dx="16" fmlaLink="Carteira!$B$20" fmlaRange="'Dados dos fundos'!$B$2:$B$200" noThreeD="1" sel="1" val="0"/>
</file>

<file path=xl/ctrlProps/ctrlProp21.xml><?xml version="1.0" encoding="utf-8"?>
<formControlPr xmlns="http://schemas.microsoft.com/office/spreadsheetml/2009/9/main" objectType="Drop" dropLines="20" dropStyle="combo" dx="16" fmlaLink="Carteira!$B$21" fmlaRange="'Dados dos fundos'!$B$2:$B$200" noThreeD="1" sel="1" val="0"/>
</file>

<file path=xl/ctrlProps/ctrlProp22.xml><?xml version="1.0" encoding="utf-8"?>
<formControlPr xmlns="http://schemas.microsoft.com/office/spreadsheetml/2009/9/main" objectType="Drop" dropLines="20" dropStyle="combo" dx="16" fmlaLink="Carteira!$B$22" fmlaRange="'Dados dos fundos'!$B$2:$B$200" noThreeD="1" sel="1" val="0"/>
</file>

<file path=xl/ctrlProps/ctrlProp23.xml><?xml version="1.0" encoding="utf-8"?>
<formControlPr xmlns="http://schemas.microsoft.com/office/spreadsheetml/2009/9/main" objectType="Drop" dropLines="20" dropStyle="combo" dx="16" fmlaLink="Carteira!$B$23" fmlaRange="'Dados dos fundos'!$B$2:$B$200" noThreeD="1" sel="1" val="0"/>
</file>

<file path=xl/ctrlProps/ctrlProp24.xml><?xml version="1.0" encoding="utf-8"?>
<formControlPr xmlns="http://schemas.microsoft.com/office/spreadsheetml/2009/9/main" objectType="Drop" dropLines="20" dropStyle="combo" dx="16" fmlaLink="Carteira!$B$24" fmlaRange="'Dados dos fundos'!$B$2:$B$200" noThreeD="1" sel="1" val="0"/>
</file>

<file path=xl/ctrlProps/ctrlProp25.xml><?xml version="1.0" encoding="utf-8"?>
<formControlPr xmlns="http://schemas.microsoft.com/office/spreadsheetml/2009/9/main" objectType="Drop" dropLines="20" dropStyle="combo" dx="16" fmlaLink="Carteira!$B$25" fmlaRange="'Dados dos fundos'!$B$2:$B$200" noThreeD="1" sel="1" val="0"/>
</file>

<file path=xl/ctrlProps/ctrlProp26.xml><?xml version="1.0" encoding="utf-8"?>
<formControlPr xmlns="http://schemas.microsoft.com/office/spreadsheetml/2009/9/main" objectType="Drop" dropLines="20" dropStyle="combo" dx="16" fmlaLink="Carteira!$B$26" fmlaRange="'Dados dos fundos'!$B$2:$B$200" noThreeD="1" sel="1" val="0"/>
</file>

<file path=xl/ctrlProps/ctrlProp27.xml><?xml version="1.0" encoding="utf-8"?>
<formControlPr xmlns="http://schemas.microsoft.com/office/spreadsheetml/2009/9/main" objectType="Drop" dropLines="20" dropStyle="combo" dx="16" fmlaLink="Carteira!$B$27" fmlaRange="'Dados dos fundos'!$B$2:$B$200" noThreeD="1" sel="1" val="0"/>
</file>

<file path=xl/ctrlProps/ctrlProp28.xml><?xml version="1.0" encoding="utf-8"?>
<formControlPr xmlns="http://schemas.microsoft.com/office/spreadsheetml/2009/9/main" objectType="Drop" dropLines="20" dropStyle="combo" dx="16" fmlaLink="Carteira!$B$28" fmlaRange="'Dados dos fundos'!$B$2:$B$200" noThreeD="1" sel="1" val="0"/>
</file>

<file path=xl/ctrlProps/ctrlProp29.xml><?xml version="1.0" encoding="utf-8"?>
<formControlPr xmlns="http://schemas.microsoft.com/office/spreadsheetml/2009/9/main" objectType="Drop" dropLines="20" dropStyle="combo" dx="16" fmlaLink="Carteira!$B$29" fmlaRange="'Dados dos fundos'!$B$2:$B$200" noThreeD="1" sel="1" val="0"/>
</file>

<file path=xl/ctrlProps/ctrlProp3.xml><?xml version="1.0" encoding="utf-8"?>
<formControlPr xmlns="http://schemas.microsoft.com/office/spreadsheetml/2009/9/main" objectType="Drop" dropLines="20" dropStyle="combo" dx="16" fmlaLink="Carteira!$B$3" fmlaRange="'Dados dos fundos'!$B$2:$B$200" noThreeD="1" sel="29" val="17"/>
</file>

<file path=xl/ctrlProps/ctrlProp30.xml><?xml version="1.0" encoding="utf-8"?>
<formControlPr xmlns="http://schemas.microsoft.com/office/spreadsheetml/2009/9/main" objectType="Drop" dropLines="20" dropStyle="combo" dx="16" fmlaLink="Carteira!$B$30" fmlaRange="'Dados dos fundos'!$B$2:$B$200" noThreeD="1" sel="1" val="0"/>
</file>

<file path=xl/ctrlProps/ctrlProp31.xml><?xml version="1.0" encoding="utf-8"?>
<formControlPr xmlns="http://schemas.microsoft.com/office/spreadsheetml/2009/9/main" objectType="Drop" dropLines="20" dropStyle="combo" dx="16" fmlaLink="Carteira!$B$31" fmlaRange="'Dados dos fundos'!$B$2:$B$200" noThreeD="1" sel="1" val="0"/>
</file>

<file path=xl/ctrlProps/ctrlProp32.xml><?xml version="1.0" encoding="utf-8"?>
<formControlPr xmlns="http://schemas.microsoft.com/office/spreadsheetml/2009/9/main" objectType="Drop" dropLines="20" dropStyle="combo" dx="16" fmlaLink="Carteira!$B$32" fmlaRange="'Dados dos fundos'!$B$2:$B$200" noThreeD="1" sel="1" val="0"/>
</file>

<file path=xl/ctrlProps/ctrlProp33.xml><?xml version="1.0" encoding="utf-8"?>
<formControlPr xmlns="http://schemas.microsoft.com/office/spreadsheetml/2009/9/main" objectType="Drop" dropLines="20" dropStyle="combo" dx="16" fmlaLink="Carteira!$B$33" fmlaRange="'Dados dos fundos'!$B$2:$B$200" noThreeD="1" sel="1" val="0"/>
</file>

<file path=xl/ctrlProps/ctrlProp34.xml><?xml version="1.0" encoding="utf-8"?>
<formControlPr xmlns="http://schemas.microsoft.com/office/spreadsheetml/2009/9/main" objectType="Drop" dropLines="20" dropStyle="combo" dx="16" fmlaLink="Carteira!$B$34" fmlaRange="'Dados dos fundos'!$B$2:$B$200" noThreeD="1" sel="1" val="0"/>
</file>

<file path=xl/ctrlProps/ctrlProp35.xml><?xml version="1.0" encoding="utf-8"?>
<formControlPr xmlns="http://schemas.microsoft.com/office/spreadsheetml/2009/9/main" objectType="Drop" dropLines="20" dropStyle="combo" dx="16" fmlaLink="Carteira!$B$35" fmlaRange="'Dados dos fundos'!$B$2:$B$200" noThreeD="1" sel="1" val="0"/>
</file>

<file path=xl/ctrlProps/ctrlProp36.xml><?xml version="1.0" encoding="utf-8"?>
<formControlPr xmlns="http://schemas.microsoft.com/office/spreadsheetml/2009/9/main" objectType="Drop" dropLines="20" dropStyle="combo" dx="16" fmlaLink="Carteira!$B$36" fmlaRange="'Dados dos fundos'!$B$2:$B$163" noThreeD="1" sel="1" val="0"/>
</file>

<file path=xl/ctrlProps/ctrlProp37.xml><?xml version="1.0" encoding="utf-8"?>
<formControlPr xmlns="http://schemas.microsoft.com/office/spreadsheetml/2009/9/main" objectType="Drop" dropLines="20" dropStyle="combo" dx="16" fmlaLink="Carteira!$B$37" fmlaRange="'Dados dos fundos'!$B$2:$B$200" noThreeD="1" sel="1" val="0"/>
</file>

<file path=xl/ctrlProps/ctrlProp38.xml><?xml version="1.0" encoding="utf-8"?>
<formControlPr xmlns="http://schemas.microsoft.com/office/spreadsheetml/2009/9/main" objectType="Drop" dropLines="20" dropStyle="combo" dx="16" fmlaLink="Carteira!$B$38" fmlaRange="'Dados dos fundos'!$B$2:$B$200" noThreeD="1" sel="1" val="0"/>
</file>

<file path=xl/ctrlProps/ctrlProp39.xml><?xml version="1.0" encoding="utf-8"?>
<formControlPr xmlns="http://schemas.microsoft.com/office/spreadsheetml/2009/9/main" objectType="Drop" dropLines="20" dropStyle="combo" dx="16" fmlaLink="Carteira!$B$39" fmlaRange="'Dados dos fundos'!$B$2:$B$200" noThreeD="1" sel="1" val="0"/>
</file>

<file path=xl/ctrlProps/ctrlProp4.xml><?xml version="1.0" encoding="utf-8"?>
<formControlPr xmlns="http://schemas.microsoft.com/office/spreadsheetml/2009/9/main" objectType="Drop" dropLines="20" dropStyle="combo" dx="16" fmlaLink="Carteira!$B$4" fmlaRange="'Dados dos fundos'!$B$2:$B$200" noThreeD="1" sel="32" val="12"/>
</file>

<file path=xl/ctrlProps/ctrlProp40.xml><?xml version="1.0" encoding="utf-8"?>
<formControlPr xmlns="http://schemas.microsoft.com/office/spreadsheetml/2009/9/main" objectType="Drop" dropLines="20" dropStyle="combo" dx="16" fmlaLink="Carteira!$B$40" fmlaRange="'Dados dos fundos'!$B$2:$B$200" noThreeD="1" sel="1" val="0"/>
</file>

<file path=xl/ctrlProps/ctrlProp41.xml><?xml version="1.0" encoding="utf-8"?>
<formControlPr xmlns="http://schemas.microsoft.com/office/spreadsheetml/2009/9/main" objectType="Drop" dropLines="20" dropStyle="combo" dx="16" fmlaLink="Carteira!$B$41" fmlaRange="'Dados dos fundos'!$B$2:$B$200" noThreeD="1" sel="1" val="0"/>
</file>

<file path=xl/ctrlProps/ctrlProp42.xml><?xml version="1.0" encoding="utf-8"?>
<formControlPr xmlns="http://schemas.microsoft.com/office/spreadsheetml/2009/9/main" objectType="Drop" dropLines="20" dropStyle="combo" dx="16" fmlaLink="Carteira!$B$42" fmlaRange="'Dados dos fundos'!$B$2:$B$200" noThreeD="1" sel="1" val="0"/>
</file>

<file path=xl/ctrlProps/ctrlProp5.xml><?xml version="1.0" encoding="utf-8"?>
<formControlPr xmlns="http://schemas.microsoft.com/office/spreadsheetml/2009/9/main" objectType="Drop" dropLines="20" dropStyle="combo" dx="16" fmlaLink="Carteira!$B$5" fmlaRange="'Dados dos fundos'!$B$2:$B$200" noThreeD="1" sel="39" val="37"/>
</file>

<file path=xl/ctrlProps/ctrlProp6.xml><?xml version="1.0" encoding="utf-8"?>
<formControlPr xmlns="http://schemas.microsoft.com/office/spreadsheetml/2009/9/main" objectType="Drop" dropLines="20" dropStyle="combo" dx="16" fmlaLink="Carteira!$B$6" fmlaRange="'Dados dos fundos'!$B$2:$B$200" noThreeD="1" sel="28" val="10"/>
</file>

<file path=xl/ctrlProps/ctrlProp7.xml><?xml version="1.0" encoding="utf-8"?>
<formControlPr xmlns="http://schemas.microsoft.com/office/spreadsheetml/2009/9/main" objectType="Drop" dropLines="20" dropStyle="combo" dx="16" fmlaLink="Carteira!$B$7" fmlaRange="'Dados dos fundos'!$B$2:$B$200" noThreeD="1" sel="60" val="54"/>
</file>

<file path=xl/ctrlProps/ctrlProp8.xml><?xml version="1.0" encoding="utf-8"?>
<formControlPr xmlns="http://schemas.microsoft.com/office/spreadsheetml/2009/9/main" objectType="Drop" dropLines="20" dropStyle="combo" dx="16" fmlaLink="Carteira!$B$8" fmlaRange="'Dados dos fundos'!$B$2:$B$200" noThreeD="1" sel="74" val="71"/>
</file>

<file path=xl/ctrlProps/ctrlProp9.xml><?xml version="1.0" encoding="utf-8"?>
<formControlPr xmlns="http://schemas.microsoft.com/office/spreadsheetml/2009/9/main" objectType="Drop" dropLines="20" dropStyle="combo" dx="16" fmlaLink="Carteira!$B$9" fmlaRange="'Dados dos fundos'!$B$2:$B$200" noThreeD="1" sel="88" val="84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Relatorio excel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Relatorio excel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w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Relatorio exce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Plan3!A1"/><Relationship Id="rId7" Type="http://schemas.openxmlformats.org/officeDocument/2006/relationships/image" Target="../media/image14.wmf"/><Relationship Id="rId2" Type="http://schemas.openxmlformats.org/officeDocument/2006/relationships/hyperlink" Target="#Plan2!A1"/><Relationship Id="rId1" Type="http://schemas.openxmlformats.org/officeDocument/2006/relationships/hyperlink" Target="#Plan1!A1"/><Relationship Id="rId6" Type="http://schemas.openxmlformats.org/officeDocument/2006/relationships/hyperlink" Target="#CadPrev!A1"/><Relationship Id="rId5" Type="http://schemas.openxmlformats.org/officeDocument/2006/relationships/hyperlink" Target="#Plan5!A1"/><Relationship Id="rId4" Type="http://schemas.openxmlformats.org/officeDocument/2006/relationships/hyperlink" Target="#Plan4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Relatorio excel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Relatorio excel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Relatorio excel'!A1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2" Type="http://schemas.openxmlformats.org/officeDocument/2006/relationships/image" Target="../media/image3.emf"/><Relationship Id="rId1" Type="http://schemas.openxmlformats.org/officeDocument/2006/relationships/image" Target="../media/image2.w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w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695325</xdr:colOff>
      <xdr:row>3</xdr:row>
      <xdr:rowOff>171450</xdr:rowOff>
    </xdr:from>
    <xdr:to>
      <xdr:col>6</xdr:col>
      <xdr:colOff>1209675</xdr:colOff>
      <xdr:row>5</xdr:row>
      <xdr:rowOff>133350</xdr:rowOff>
    </xdr:to>
    <xdr:sp macro="[0]!Capa" textlink="">
      <xdr:nvSpPr>
        <xdr:cNvPr id="2" name="Retângulo de cantos arredondados 1"/>
        <xdr:cNvSpPr/>
      </xdr:nvSpPr>
      <xdr:spPr>
        <a:xfrm>
          <a:off x="5629275" y="742950"/>
          <a:ext cx="514350" cy="3429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Capa</a:t>
          </a:r>
        </a:p>
      </xdr:txBody>
    </xdr:sp>
    <xdr:clientData/>
  </xdr:twoCellAnchor>
  <xdr:twoCellAnchor>
    <xdr:from>
      <xdr:col>7</xdr:col>
      <xdr:colOff>19050</xdr:colOff>
      <xdr:row>3</xdr:row>
      <xdr:rowOff>161925</xdr:rowOff>
    </xdr:from>
    <xdr:to>
      <xdr:col>7</xdr:col>
      <xdr:colOff>866775</xdr:colOff>
      <xdr:row>5</xdr:row>
      <xdr:rowOff>142875</xdr:rowOff>
    </xdr:to>
    <xdr:sp macro="[0]!relatorio" textlink="">
      <xdr:nvSpPr>
        <xdr:cNvPr id="3" name="Retângulo de cantos arredondados 2"/>
        <xdr:cNvSpPr/>
      </xdr:nvSpPr>
      <xdr:spPr>
        <a:xfrm>
          <a:off x="6381750" y="733425"/>
          <a:ext cx="847725" cy="361950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Relatorio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1</xdr:row>
          <xdr:rowOff>0</xdr:rowOff>
        </xdr:from>
        <xdr:to>
          <xdr:col>3</xdr:col>
          <xdr:colOff>1409700</xdr:colOff>
          <xdr:row>2</xdr:row>
          <xdr:rowOff>19050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</xdr:row>
          <xdr:rowOff>180975</xdr:rowOff>
        </xdr:from>
        <xdr:to>
          <xdr:col>5</xdr:col>
          <xdr:colOff>1104900</xdr:colOff>
          <xdr:row>4</xdr:row>
          <xdr:rowOff>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9</xdr:row>
          <xdr:rowOff>38100</xdr:rowOff>
        </xdr:from>
        <xdr:to>
          <xdr:col>3</xdr:col>
          <xdr:colOff>1609725</xdr:colOff>
          <xdr:row>9</xdr:row>
          <xdr:rowOff>238125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10</xdr:row>
          <xdr:rowOff>38100</xdr:rowOff>
        </xdr:from>
        <xdr:to>
          <xdr:col>3</xdr:col>
          <xdr:colOff>1609725</xdr:colOff>
          <xdr:row>10</xdr:row>
          <xdr:rowOff>238125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11</xdr:row>
          <xdr:rowOff>38100</xdr:rowOff>
        </xdr:from>
        <xdr:to>
          <xdr:col>3</xdr:col>
          <xdr:colOff>1609725</xdr:colOff>
          <xdr:row>11</xdr:row>
          <xdr:rowOff>238125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12</xdr:row>
          <xdr:rowOff>38100</xdr:rowOff>
        </xdr:from>
        <xdr:to>
          <xdr:col>3</xdr:col>
          <xdr:colOff>1609725</xdr:colOff>
          <xdr:row>12</xdr:row>
          <xdr:rowOff>238125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13</xdr:row>
          <xdr:rowOff>38100</xdr:rowOff>
        </xdr:from>
        <xdr:to>
          <xdr:col>3</xdr:col>
          <xdr:colOff>1609725</xdr:colOff>
          <xdr:row>13</xdr:row>
          <xdr:rowOff>238125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14</xdr:row>
          <xdr:rowOff>38100</xdr:rowOff>
        </xdr:from>
        <xdr:to>
          <xdr:col>3</xdr:col>
          <xdr:colOff>1609725</xdr:colOff>
          <xdr:row>14</xdr:row>
          <xdr:rowOff>238125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15</xdr:row>
          <xdr:rowOff>38100</xdr:rowOff>
        </xdr:from>
        <xdr:to>
          <xdr:col>3</xdr:col>
          <xdr:colOff>1609725</xdr:colOff>
          <xdr:row>15</xdr:row>
          <xdr:rowOff>238125</xdr:rowOff>
        </xdr:to>
        <xdr:sp macro="" textlink="">
          <xdr:nvSpPr>
            <xdr:cNvPr id="1034" name="Drop Down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16</xdr:row>
          <xdr:rowOff>38100</xdr:rowOff>
        </xdr:from>
        <xdr:to>
          <xdr:col>3</xdr:col>
          <xdr:colOff>1609725</xdr:colOff>
          <xdr:row>16</xdr:row>
          <xdr:rowOff>238125</xdr:rowOff>
        </xdr:to>
        <xdr:sp macro="" textlink="">
          <xdr:nvSpPr>
            <xdr:cNvPr id="1035" name="Drop Down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</xdr:row>
          <xdr:rowOff>38100</xdr:rowOff>
        </xdr:from>
        <xdr:to>
          <xdr:col>3</xdr:col>
          <xdr:colOff>1609725</xdr:colOff>
          <xdr:row>17</xdr:row>
          <xdr:rowOff>238125</xdr:rowOff>
        </xdr:to>
        <xdr:sp macro="" textlink="">
          <xdr:nvSpPr>
            <xdr:cNvPr id="1036" name="Drop Down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18</xdr:row>
          <xdr:rowOff>38100</xdr:rowOff>
        </xdr:from>
        <xdr:to>
          <xdr:col>3</xdr:col>
          <xdr:colOff>1609725</xdr:colOff>
          <xdr:row>18</xdr:row>
          <xdr:rowOff>238125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19</xdr:row>
          <xdr:rowOff>38100</xdr:rowOff>
        </xdr:from>
        <xdr:to>
          <xdr:col>3</xdr:col>
          <xdr:colOff>1609725</xdr:colOff>
          <xdr:row>19</xdr:row>
          <xdr:rowOff>238125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20</xdr:row>
          <xdr:rowOff>38100</xdr:rowOff>
        </xdr:from>
        <xdr:to>
          <xdr:col>3</xdr:col>
          <xdr:colOff>1609725</xdr:colOff>
          <xdr:row>20</xdr:row>
          <xdr:rowOff>238125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21</xdr:row>
          <xdr:rowOff>38100</xdr:rowOff>
        </xdr:from>
        <xdr:to>
          <xdr:col>3</xdr:col>
          <xdr:colOff>1609725</xdr:colOff>
          <xdr:row>21</xdr:row>
          <xdr:rowOff>238125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22</xdr:row>
          <xdr:rowOff>38100</xdr:rowOff>
        </xdr:from>
        <xdr:to>
          <xdr:col>3</xdr:col>
          <xdr:colOff>1609725</xdr:colOff>
          <xdr:row>22</xdr:row>
          <xdr:rowOff>238125</xdr:rowOff>
        </xdr:to>
        <xdr:sp macro="" textlink="">
          <xdr:nvSpPr>
            <xdr:cNvPr id="1041" name="Drop Down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23</xdr:row>
          <xdr:rowOff>38100</xdr:rowOff>
        </xdr:from>
        <xdr:to>
          <xdr:col>3</xdr:col>
          <xdr:colOff>1609725</xdr:colOff>
          <xdr:row>23</xdr:row>
          <xdr:rowOff>238125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24</xdr:row>
          <xdr:rowOff>38100</xdr:rowOff>
        </xdr:from>
        <xdr:to>
          <xdr:col>3</xdr:col>
          <xdr:colOff>1609725</xdr:colOff>
          <xdr:row>24</xdr:row>
          <xdr:rowOff>238125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25</xdr:row>
          <xdr:rowOff>38100</xdr:rowOff>
        </xdr:from>
        <xdr:to>
          <xdr:col>3</xdr:col>
          <xdr:colOff>1609725</xdr:colOff>
          <xdr:row>25</xdr:row>
          <xdr:rowOff>238125</xdr:rowOff>
        </xdr:to>
        <xdr:sp macro="" textlink="">
          <xdr:nvSpPr>
            <xdr:cNvPr id="1044" name="Drop Down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26</xdr:row>
          <xdr:rowOff>38100</xdr:rowOff>
        </xdr:from>
        <xdr:to>
          <xdr:col>3</xdr:col>
          <xdr:colOff>1609725</xdr:colOff>
          <xdr:row>26</xdr:row>
          <xdr:rowOff>238125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27</xdr:row>
          <xdr:rowOff>38100</xdr:rowOff>
        </xdr:from>
        <xdr:to>
          <xdr:col>3</xdr:col>
          <xdr:colOff>1609725</xdr:colOff>
          <xdr:row>27</xdr:row>
          <xdr:rowOff>238125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28</xdr:row>
          <xdr:rowOff>38100</xdr:rowOff>
        </xdr:from>
        <xdr:to>
          <xdr:col>3</xdr:col>
          <xdr:colOff>1609725</xdr:colOff>
          <xdr:row>28</xdr:row>
          <xdr:rowOff>238125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29</xdr:row>
          <xdr:rowOff>38100</xdr:rowOff>
        </xdr:from>
        <xdr:to>
          <xdr:col>3</xdr:col>
          <xdr:colOff>1609725</xdr:colOff>
          <xdr:row>29</xdr:row>
          <xdr:rowOff>238125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30</xdr:row>
          <xdr:rowOff>38100</xdr:rowOff>
        </xdr:from>
        <xdr:to>
          <xdr:col>3</xdr:col>
          <xdr:colOff>1609725</xdr:colOff>
          <xdr:row>30</xdr:row>
          <xdr:rowOff>238125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31</xdr:row>
          <xdr:rowOff>38100</xdr:rowOff>
        </xdr:from>
        <xdr:to>
          <xdr:col>3</xdr:col>
          <xdr:colOff>1609725</xdr:colOff>
          <xdr:row>31</xdr:row>
          <xdr:rowOff>238125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32</xdr:row>
          <xdr:rowOff>38100</xdr:rowOff>
        </xdr:from>
        <xdr:to>
          <xdr:col>3</xdr:col>
          <xdr:colOff>1609725</xdr:colOff>
          <xdr:row>32</xdr:row>
          <xdr:rowOff>238125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33</xdr:row>
          <xdr:rowOff>38100</xdr:rowOff>
        </xdr:from>
        <xdr:to>
          <xdr:col>3</xdr:col>
          <xdr:colOff>1609725</xdr:colOff>
          <xdr:row>33</xdr:row>
          <xdr:rowOff>238125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34</xdr:row>
          <xdr:rowOff>38100</xdr:rowOff>
        </xdr:from>
        <xdr:to>
          <xdr:col>3</xdr:col>
          <xdr:colOff>1609725</xdr:colOff>
          <xdr:row>34</xdr:row>
          <xdr:rowOff>238125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35</xdr:row>
          <xdr:rowOff>38100</xdr:rowOff>
        </xdr:from>
        <xdr:to>
          <xdr:col>3</xdr:col>
          <xdr:colOff>1609725</xdr:colOff>
          <xdr:row>35</xdr:row>
          <xdr:rowOff>238125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36</xdr:row>
          <xdr:rowOff>38100</xdr:rowOff>
        </xdr:from>
        <xdr:to>
          <xdr:col>3</xdr:col>
          <xdr:colOff>1609725</xdr:colOff>
          <xdr:row>36</xdr:row>
          <xdr:rowOff>238125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37</xdr:row>
          <xdr:rowOff>38100</xdr:rowOff>
        </xdr:from>
        <xdr:to>
          <xdr:col>3</xdr:col>
          <xdr:colOff>1609725</xdr:colOff>
          <xdr:row>37</xdr:row>
          <xdr:rowOff>238125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38</xdr:row>
          <xdr:rowOff>38100</xdr:rowOff>
        </xdr:from>
        <xdr:to>
          <xdr:col>3</xdr:col>
          <xdr:colOff>1609725</xdr:colOff>
          <xdr:row>38</xdr:row>
          <xdr:rowOff>238125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39</xdr:row>
          <xdr:rowOff>38100</xdr:rowOff>
        </xdr:from>
        <xdr:to>
          <xdr:col>3</xdr:col>
          <xdr:colOff>1609725</xdr:colOff>
          <xdr:row>39</xdr:row>
          <xdr:rowOff>238125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40</xdr:row>
          <xdr:rowOff>38100</xdr:rowOff>
        </xdr:from>
        <xdr:to>
          <xdr:col>3</xdr:col>
          <xdr:colOff>1609725</xdr:colOff>
          <xdr:row>40</xdr:row>
          <xdr:rowOff>238125</xdr:rowOff>
        </xdr:to>
        <xdr:sp macro="" textlink="">
          <xdr:nvSpPr>
            <xdr:cNvPr id="1059" name="Drop Down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41</xdr:row>
          <xdr:rowOff>38100</xdr:rowOff>
        </xdr:from>
        <xdr:to>
          <xdr:col>3</xdr:col>
          <xdr:colOff>1609725</xdr:colOff>
          <xdr:row>41</xdr:row>
          <xdr:rowOff>238125</xdr:rowOff>
        </xdr:to>
        <xdr:sp macro="" textlink="">
          <xdr:nvSpPr>
            <xdr:cNvPr id="1060" name="Drop Down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42</xdr:row>
          <xdr:rowOff>38100</xdr:rowOff>
        </xdr:from>
        <xdr:to>
          <xdr:col>3</xdr:col>
          <xdr:colOff>1609725</xdr:colOff>
          <xdr:row>42</xdr:row>
          <xdr:rowOff>238125</xdr:rowOff>
        </xdr:to>
        <xdr:sp macro="" textlink="">
          <xdr:nvSpPr>
            <xdr:cNvPr id="1061" name="Drop Down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43</xdr:row>
          <xdr:rowOff>38100</xdr:rowOff>
        </xdr:from>
        <xdr:to>
          <xdr:col>3</xdr:col>
          <xdr:colOff>1609725</xdr:colOff>
          <xdr:row>43</xdr:row>
          <xdr:rowOff>238125</xdr:rowOff>
        </xdr:to>
        <xdr:sp macro="" textlink="">
          <xdr:nvSpPr>
            <xdr:cNvPr id="1062" name="Drop Down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44</xdr:row>
          <xdr:rowOff>38100</xdr:rowOff>
        </xdr:from>
        <xdr:to>
          <xdr:col>3</xdr:col>
          <xdr:colOff>1609725</xdr:colOff>
          <xdr:row>44</xdr:row>
          <xdr:rowOff>238125</xdr:rowOff>
        </xdr:to>
        <xdr:sp macro="" textlink="">
          <xdr:nvSpPr>
            <xdr:cNvPr id="1063" name="Drop Down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45</xdr:row>
          <xdr:rowOff>38100</xdr:rowOff>
        </xdr:from>
        <xdr:to>
          <xdr:col>3</xdr:col>
          <xdr:colOff>1609725</xdr:colOff>
          <xdr:row>45</xdr:row>
          <xdr:rowOff>238125</xdr:rowOff>
        </xdr:to>
        <xdr:sp macro="" textlink="">
          <xdr:nvSpPr>
            <xdr:cNvPr id="1064" name="Drop Down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46</xdr:row>
          <xdr:rowOff>38100</xdr:rowOff>
        </xdr:from>
        <xdr:to>
          <xdr:col>3</xdr:col>
          <xdr:colOff>1609725</xdr:colOff>
          <xdr:row>46</xdr:row>
          <xdr:rowOff>238125</xdr:rowOff>
        </xdr:to>
        <xdr:sp macro="" textlink="">
          <xdr:nvSpPr>
            <xdr:cNvPr id="1065" name="Drop Down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47</xdr:row>
          <xdr:rowOff>38100</xdr:rowOff>
        </xdr:from>
        <xdr:to>
          <xdr:col>3</xdr:col>
          <xdr:colOff>1609725</xdr:colOff>
          <xdr:row>47</xdr:row>
          <xdr:rowOff>238125</xdr:rowOff>
        </xdr:to>
        <xdr:sp macro="" textlink="">
          <xdr:nvSpPr>
            <xdr:cNvPr id="1066" name="Drop Down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48</xdr:row>
          <xdr:rowOff>38100</xdr:rowOff>
        </xdr:from>
        <xdr:to>
          <xdr:col>3</xdr:col>
          <xdr:colOff>1609725</xdr:colOff>
          <xdr:row>48</xdr:row>
          <xdr:rowOff>238125</xdr:rowOff>
        </xdr:to>
        <xdr:sp macro="" textlink="">
          <xdr:nvSpPr>
            <xdr:cNvPr id="1067" name="Drop Down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0</xdr:row>
      <xdr:rowOff>57150</xdr:rowOff>
    </xdr:from>
    <xdr:to>
      <xdr:col>1</xdr:col>
      <xdr:colOff>238124</xdr:colOff>
      <xdr:row>2</xdr:row>
      <xdr:rowOff>209550</xdr:rowOff>
    </xdr:to>
    <xdr:sp macro="" textlink="">
      <xdr:nvSpPr>
        <xdr:cNvPr id="2" name="Seta para a esquerda 1">
          <a:hlinkClick xmlns:r="http://schemas.openxmlformats.org/officeDocument/2006/relationships" r:id="rId1"/>
        </xdr:cNvPr>
        <xdr:cNvSpPr/>
      </xdr:nvSpPr>
      <xdr:spPr>
        <a:xfrm>
          <a:off x="114299" y="57150"/>
          <a:ext cx="733425" cy="533400"/>
        </a:xfrm>
        <a:prstGeom prst="leftArrow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050" b="1"/>
            <a:t>Voltar</a:t>
          </a:r>
        </a:p>
      </xdr:txBody>
    </xdr:sp>
    <xdr:clientData/>
  </xdr:twoCellAnchor>
  <xdr:twoCellAnchor>
    <xdr:from>
      <xdr:col>1</xdr:col>
      <xdr:colOff>28575</xdr:colOff>
      <xdr:row>4</xdr:row>
      <xdr:rowOff>0</xdr:rowOff>
    </xdr:from>
    <xdr:to>
      <xdr:col>6</xdr:col>
      <xdr:colOff>571500</xdr:colOff>
      <xdr:row>7</xdr:row>
      <xdr:rowOff>104775</xdr:rowOff>
    </xdr:to>
    <xdr:sp macro="" textlink="">
      <xdr:nvSpPr>
        <xdr:cNvPr id="3" name="Retângulo de cantos arredondados 2"/>
        <xdr:cNvSpPr/>
      </xdr:nvSpPr>
      <xdr:spPr>
        <a:xfrm>
          <a:off x="1857375" y="828675"/>
          <a:ext cx="5534025" cy="723900"/>
        </a:xfrm>
        <a:prstGeom prst="roundRect">
          <a:avLst/>
        </a:prstGeom>
        <a:solidFill>
          <a:sysClr val="window" lastClr="FFFFFF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tIns="108000" rtlCol="0" anchor="b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lang="pt-BR" sz="1100">
              <a:solidFill>
                <a:sysClr val="windowText" lastClr="000000"/>
              </a:solidFill>
              <a:latin typeface="Trebuchet MS" pitchFamily="34" charset="0"/>
              <a:ea typeface="+mn-ea"/>
              <a:cs typeface="+mn-cs"/>
            </a:rPr>
            <a:t>  O Índice Sharpe é um indicador de performance que ajusta o retorno ao risco. Este índice avalia se um determinado fundo de investimento apresenta uma rentabilidade ponderada ao risco que o investidor está exposto. 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95250</xdr:rowOff>
    </xdr:from>
    <xdr:to>
      <xdr:col>1</xdr:col>
      <xdr:colOff>542925</xdr:colOff>
      <xdr:row>2</xdr:row>
      <xdr:rowOff>180975</xdr:rowOff>
    </xdr:to>
    <xdr:sp macro="" textlink="">
      <xdr:nvSpPr>
        <xdr:cNvPr id="2" name="Seta para a esquerda 1">
          <a:hlinkClick xmlns:r="http://schemas.openxmlformats.org/officeDocument/2006/relationships" r:id="rId1"/>
        </xdr:cNvPr>
        <xdr:cNvSpPr/>
      </xdr:nvSpPr>
      <xdr:spPr>
        <a:xfrm>
          <a:off x="171450" y="95250"/>
          <a:ext cx="657225" cy="466725"/>
        </a:xfrm>
        <a:prstGeom prst="leftArrow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050" b="1"/>
            <a:t>Voltar</a:t>
          </a:r>
          <a:endParaRPr lang="pt-BR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0</xdr:row>
      <xdr:rowOff>9525</xdr:rowOff>
    </xdr:from>
    <xdr:to>
      <xdr:col>3</xdr:col>
      <xdr:colOff>323850</xdr:colOff>
      <xdr:row>5</xdr:row>
      <xdr:rowOff>104775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" y="9525"/>
          <a:ext cx="16097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390525</xdr:colOff>
      <xdr:row>1</xdr:row>
      <xdr:rowOff>9525</xdr:rowOff>
    </xdr:from>
    <xdr:to>
      <xdr:col>10</xdr:col>
      <xdr:colOff>123825</xdr:colOff>
      <xdr:row>1</xdr:row>
      <xdr:rowOff>47625</xdr:rowOff>
    </xdr:to>
    <xdr:sp macro="" textlink="">
      <xdr:nvSpPr>
        <xdr:cNvPr id="3" name="Rectangle 57"/>
        <xdr:cNvSpPr>
          <a:spLocks noChangeArrowheads="1"/>
        </xdr:cNvSpPr>
      </xdr:nvSpPr>
      <xdr:spPr bwMode="auto">
        <a:xfrm>
          <a:off x="4076700" y="200025"/>
          <a:ext cx="2609850" cy="38100"/>
        </a:xfrm>
        <a:prstGeom prst="rect">
          <a:avLst/>
        </a:prstGeom>
        <a:solidFill>
          <a:srgbClr val="C0A062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66673</xdr:rowOff>
    </xdr:from>
    <xdr:to>
      <xdr:col>10</xdr:col>
      <xdr:colOff>90012</xdr:colOff>
      <xdr:row>50</xdr:row>
      <xdr:rowOff>161926</xdr:rowOff>
    </xdr:to>
    <xdr:pic>
      <xdr:nvPicPr>
        <xdr:cNvPr id="3" name="Picture 1" descr="capa relatorio consultori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66673"/>
          <a:ext cx="6376512" cy="9763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13</xdr:row>
          <xdr:rowOff>38100</xdr:rowOff>
        </xdr:from>
        <xdr:to>
          <xdr:col>10</xdr:col>
          <xdr:colOff>0</xdr:colOff>
          <xdr:row>15</xdr:row>
          <xdr:rowOff>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39</xdr:row>
          <xdr:rowOff>152400</xdr:rowOff>
        </xdr:from>
        <xdr:to>
          <xdr:col>10</xdr:col>
          <xdr:colOff>0</xdr:colOff>
          <xdr:row>42</xdr:row>
          <xdr:rowOff>19050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5</xdr:row>
          <xdr:rowOff>76200</xdr:rowOff>
        </xdr:from>
        <xdr:to>
          <xdr:col>10</xdr:col>
          <xdr:colOff>0</xdr:colOff>
          <xdr:row>8</xdr:row>
          <xdr:rowOff>76200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112</xdr:col>
      <xdr:colOff>523875</xdr:colOff>
      <xdr:row>7</xdr:row>
      <xdr:rowOff>188119</xdr:rowOff>
    </xdr:from>
    <xdr:to>
      <xdr:col>121</xdr:col>
      <xdr:colOff>57150</xdr:colOff>
      <xdr:row>12</xdr:row>
      <xdr:rowOff>130969</xdr:rowOff>
    </xdr:to>
    <xdr:pic>
      <xdr:nvPicPr>
        <xdr:cNvPr id="2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009500" y="1521619"/>
          <a:ext cx="499824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323850</xdr:colOff>
      <xdr:row>5</xdr:row>
      <xdr:rowOff>28574</xdr:rowOff>
    </xdr:from>
    <xdr:to>
      <xdr:col>22</xdr:col>
      <xdr:colOff>361950</xdr:colOff>
      <xdr:row>8</xdr:row>
      <xdr:rowOff>154516</xdr:rowOff>
    </xdr:to>
    <xdr:sp macro="" textlink="">
      <xdr:nvSpPr>
        <xdr:cNvPr id="3" name="Text Box 44"/>
        <xdr:cNvSpPr txBox="1">
          <a:spLocks noChangeArrowheads="1"/>
        </xdr:cNvSpPr>
      </xdr:nvSpPr>
      <xdr:spPr bwMode="auto">
        <a:xfrm>
          <a:off x="10077450" y="981074"/>
          <a:ext cx="3724275" cy="695326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91440" tIns="45720" rIns="91440" bIns="45720" anchor="t" upright="1"/>
        <a:lstStyle/>
        <a:p>
          <a:pPr rtl="1"/>
          <a:endParaRPr lang="pt-BR" sz="1100" b="0" i="0">
            <a:latin typeface="+mn-lt"/>
            <a:ea typeface="+mn-ea"/>
            <a:cs typeface="+mn-cs"/>
          </a:endParaRPr>
        </a:p>
        <a:p>
          <a:pPr rtl="1"/>
          <a:endParaRPr lang="pt-BR" sz="1100" b="0" i="0">
            <a:latin typeface="+mn-lt"/>
            <a:ea typeface="+mn-ea"/>
            <a:cs typeface="+mn-cs"/>
          </a:endParaRPr>
        </a:p>
        <a:p>
          <a:pPr rtl="1"/>
          <a:endParaRPr lang="pt-BR" sz="1100" b="0" i="0">
            <a:latin typeface="+mn-lt"/>
            <a:ea typeface="+mn-ea"/>
            <a:cs typeface="+mn-cs"/>
          </a:endParaRPr>
        </a:p>
        <a:p>
          <a:pPr rtl="1"/>
          <a:endParaRPr lang="pt-BR" sz="1100" b="0" i="0">
            <a:latin typeface="+mn-lt"/>
            <a:ea typeface="+mn-ea"/>
            <a:cs typeface="+mn-cs"/>
          </a:endParaRPr>
        </a:p>
        <a:p>
          <a:pPr rtl="1"/>
          <a:endParaRPr lang="pt-BR" sz="1100" b="0" i="0">
            <a:latin typeface="+mn-lt"/>
            <a:ea typeface="+mn-ea"/>
            <a:cs typeface="+mn-cs"/>
          </a:endParaRPr>
        </a:p>
        <a:p>
          <a:pPr rtl="1"/>
          <a:endParaRPr lang="pt-BR" sz="1100" b="0" i="0">
            <a:latin typeface="+mn-lt"/>
            <a:ea typeface="+mn-ea"/>
            <a:cs typeface="+mn-cs"/>
          </a:endParaRPr>
        </a:p>
        <a:p>
          <a:pPr rtl="1"/>
          <a:endParaRPr lang="pt-BR" sz="1100" b="0" i="0">
            <a:latin typeface="+mn-lt"/>
            <a:ea typeface="+mn-ea"/>
            <a:cs typeface="+mn-cs"/>
          </a:endParaRPr>
        </a:p>
        <a:p>
          <a:pPr rtl="1"/>
          <a:endParaRPr lang="pt-BR" sz="1100" b="0" i="0">
            <a:latin typeface="+mn-lt"/>
            <a:ea typeface="+mn-ea"/>
            <a:cs typeface="+mn-cs"/>
          </a:endParaRPr>
        </a:p>
        <a:p>
          <a:pPr rtl="1"/>
          <a:endParaRPr lang="pt-BR" sz="1100" b="0" i="0">
            <a:latin typeface="+mn-lt"/>
            <a:ea typeface="+mn-ea"/>
            <a:cs typeface="+mn-cs"/>
          </a:endParaRPr>
        </a:p>
        <a:p>
          <a:pPr rtl="1"/>
          <a:endParaRPr lang="pt-BR" sz="1100" b="0" i="0">
            <a:latin typeface="+mn-lt"/>
            <a:ea typeface="+mn-ea"/>
            <a:cs typeface="+mn-cs"/>
          </a:endParaRPr>
        </a:p>
        <a:p>
          <a:pPr rtl="1"/>
          <a:endParaRPr lang="pt-BR" sz="1100" b="0" i="0">
            <a:latin typeface="+mn-lt"/>
            <a:ea typeface="+mn-ea"/>
            <a:cs typeface="+mn-cs"/>
          </a:endParaRPr>
        </a:p>
        <a:p>
          <a:pPr rtl="1"/>
          <a:endParaRPr lang="pt-BR" sz="1100" b="0" i="0">
            <a:latin typeface="+mn-lt"/>
            <a:ea typeface="+mn-ea"/>
            <a:cs typeface="+mn-cs"/>
          </a:endParaRPr>
        </a:p>
        <a:p>
          <a:pPr rtl="1"/>
          <a:endParaRPr lang="pt-BR" sz="1100" b="0" i="0">
            <a:latin typeface="+mn-lt"/>
            <a:ea typeface="+mn-ea"/>
            <a:cs typeface="+mn-cs"/>
          </a:endParaRPr>
        </a:p>
        <a:p>
          <a:pPr rtl="1"/>
          <a:endParaRPr lang="pt-BR" sz="1100" b="0" i="0">
            <a:latin typeface="+mn-lt"/>
            <a:ea typeface="+mn-ea"/>
            <a:cs typeface="+mn-cs"/>
          </a:endParaRPr>
        </a:p>
        <a:p>
          <a:pPr algn="l" rtl="1">
            <a:defRPr sz="1000"/>
          </a:pPr>
          <a:endParaRPr lang="pt-B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defRPr sz="1000"/>
          </a:pPr>
          <a:endParaRPr lang="pt-B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504825</xdr:colOff>
      <xdr:row>6</xdr:row>
      <xdr:rowOff>38100</xdr:rowOff>
    </xdr:from>
    <xdr:to>
      <xdr:col>23</xdr:col>
      <xdr:colOff>466725</xdr:colOff>
      <xdr:row>7</xdr:row>
      <xdr:rowOff>171450</xdr:rowOff>
    </xdr:to>
    <xdr:sp macro="" textlink="">
      <xdr:nvSpPr>
        <xdr:cNvPr id="4" name="AutoShape 47"/>
        <xdr:cNvSpPr>
          <a:spLocks noChangeArrowheads="1"/>
        </xdr:cNvSpPr>
      </xdr:nvSpPr>
      <xdr:spPr bwMode="auto">
        <a:xfrm>
          <a:off x="13916025" y="1181100"/>
          <a:ext cx="571500" cy="342900"/>
        </a:xfrm>
        <a:custGeom>
          <a:avLst/>
          <a:gdLst>
            <a:gd name="G0" fmla="+- 16200 0 0"/>
            <a:gd name="G1" fmla="+- 5400 0 0"/>
            <a:gd name="G2" fmla="+- 21600 0 5400"/>
            <a:gd name="G3" fmla="+- 10800 0 5400"/>
            <a:gd name="G4" fmla="+- 21600 0 16200"/>
            <a:gd name="G5" fmla="*/ G4 G3 10800"/>
            <a:gd name="G6" fmla="+- 21600 0 G5"/>
            <a:gd name="T0" fmla="*/ 16200 w 21600"/>
            <a:gd name="T1" fmla="*/ 0 h 21600"/>
            <a:gd name="T2" fmla="*/ 0 w 21600"/>
            <a:gd name="T3" fmla="*/ 10800 h 21600"/>
            <a:gd name="T4" fmla="*/ 16200 w 21600"/>
            <a:gd name="T5" fmla="*/ 21600 h 21600"/>
            <a:gd name="T6" fmla="*/ 21600 w 21600"/>
            <a:gd name="T7" fmla="*/ 1080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3375 w 21600"/>
            <a:gd name="T13" fmla="*/ G1 h 21600"/>
            <a:gd name="T14" fmla="*/ G6 w 21600"/>
            <a:gd name="T15" fmla="*/ G2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6200" y="0"/>
              </a:moveTo>
              <a:lnTo>
                <a:pt x="16200" y="5400"/>
              </a:lnTo>
              <a:lnTo>
                <a:pt x="3375" y="5400"/>
              </a:lnTo>
              <a:lnTo>
                <a:pt x="3375" y="16200"/>
              </a:lnTo>
              <a:lnTo>
                <a:pt x="16200" y="16200"/>
              </a:lnTo>
              <a:lnTo>
                <a:pt x="16200" y="21600"/>
              </a:lnTo>
              <a:lnTo>
                <a:pt x="21600" y="10800"/>
              </a:lnTo>
              <a:close/>
            </a:path>
            <a:path w="21600" h="21600">
              <a:moveTo>
                <a:pt x="1350" y="5400"/>
              </a:moveTo>
              <a:lnTo>
                <a:pt x="1350" y="16200"/>
              </a:lnTo>
              <a:lnTo>
                <a:pt x="2700" y="16200"/>
              </a:lnTo>
              <a:lnTo>
                <a:pt x="2700" y="5400"/>
              </a:lnTo>
              <a:close/>
            </a:path>
            <a:path w="21600" h="21600">
              <a:moveTo>
                <a:pt x="0" y="5400"/>
              </a:moveTo>
              <a:lnTo>
                <a:pt x="0" y="16200"/>
              </a:lnTo>
              <a:lnTo>
                <a:pt x="675" y="16200"/>
              </a:lnTo>
              <a:lnTo>
                <a:pt x="675" y="5400"/>
              </a:lnTo>
              <a:close/>
            </a:path>
          </a:pathLst>
        </a:custGeom>
        <a:solidFill>
          <a:srgbClr val="FFCC0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/>
        <a:lstStyle/>
        <a:p>
          <a:endParaRPr lang="pt-BR"/>
        </a:p>
      </xdr:txBody>
    </xdr:sp>
    <xdr:clientData/>
  </xdr:twoCellAnchor>
  <xdr:twoCellAnchor>
    <xdr:from>
      <xdr:col>23</xdr:col>
      <xdr:colOff>590550</xdr:colOff>
      <xdr:row>5</xdr:row>
      <xdr:rowOff>38100</xdr:rowOff>
    </xdr:from>
    <xdr:to>
      <xdr:col>26</xdr:col>
      <xdr:colOff>419100</xdr:colOff>
      <xdr:row>8</xdr:row>
      <xdr:rowOff>28575</xdr:rowOff>
    </xdr:to>
    <xdr:sp macro="" textlink="">
      <xdr:nvSpPr>
        <xdr:cNvPr id="5" name="Text Box 45"/>
        <xdr:cNvSpPr txBox="1">
          <a:spLocks noChangeArrowheads="1"/>
        </xdr:cNvSpPr>
      </xdr:nvSpPr>
      <xdr:spPr bwMode="auto">
        <a:xfrm>
          <a:off x="14611350" y="990600"/>
          <a:ext cx="1657350" cy="581025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pt-BR" sz="1000" b="0" i="1" strike="noStrike">
            <a:solidFill>
              <a:srgbClr val="000000"/>
            </a:solidFill>
            <a:latin typeface="Trebuchet MS"/>
          </a:endParaRPr>
        </a:p>
        <a:p>
          <a:pPr algn="l" rtl="1">
            <a:defRPr sz="1000"/>
          </a:pPr>
          <a:r>
            <a:rPr lang="pt-BR" sz="1000" b="0" i="1" strike="noStrike">
              <a:solidFill>
                <a:srgbClr val="000000"/>
              </a:solidFill>
              <a:latin typeface="Trebuchet MS"/>
            </a:rPr>
            <a:t>     </a:t>
          </a:r>
          <a:r>
            <a:rPr lang="pt-BR" sz="1000" b="1" i="1" strike="noStrike">
              <a:solidFill>
                <a:srgbClr val="FFFFFF"/>
              </a:solidFill>
              <a:latin typeface="Trebuchet MS"/>
            </a:rPr>
            <a:t>Meta Atuarial/Mês</a:t>
          </a:r>
          <a:endParaRPr lang="pt-BR" sz="1000" b="0" i="1" strike="noStrike">
            <a:solidFill>
              <a:srgbClr val="000000"/>
            </a:solidFill>
            <a:latin typeface="Trebuchet MS"/>
          </a:endParaRPr>
        </a:p>
        <a:p>
          <a:pPr algn="l" rtl="1">
            <a:defRPr sz="1000"/>
          </a:pPr>
          <a:endParaRPr lang="pt-BR" sz="1000" b="0" i="1" strike="noStrike">
            <a:solidFill>
              <a:srgbClr val="000000"/>
            </a:solidFill>
            <a:latin typeface="Trebuchet MS"/>
          </a:endParaRPr>
        </a:p>
      </xdr:txBody>
    </xdr:sp>
    <xdr:clientData/>
  </xdr:twoCellAnchor>
  <xdr:twoCellAnchor editAs="oneCell">
    <xdr:from>
      <xdr:col>16</xdr:col>
      <xdr:colOff>457200</xdr:colOff>
      <xdr:row>11</xdr:row>
      <xdr:rowOff>171450</xdr:rowOff>
    </xdr:from>
    <xdr:to>
      <xdr:col>20</xdr:col>
      <xdr:colOff>114300</xdr:colOff>
      <xdr:row>15</xdr:row>
      <xdr:rowOff>19050</xdr:rowOff>
    </xdr:to>
    <xdr:sp macro="" textlink="">
      <xdr:nvSpPr>
        <xdr:cNvPr id="6" name="Text Box 44"/>
        <xdr:cNvSpPr txBox="1">
          <a:spLocks noChangeArrowheads="1"/>
        </xdr:cNvSpPr>
      </xdr:nvSpPr>
      <xdr:spPr bwMode="auto">
        <a:xfrm>
          <a:off x="10210800" y="2286000"/>
          <a:ext cx="2124075" cy="609600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pt-B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r>
            <a:rPr lang="pt-B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 META</a:t>
          </a:r>
          <a:r>
            <a:rPr lang="pt-BR" sz="1200" b="1" i="0" strike="noStrike" baseline="0">
              <a:solidFill>
                <a:srgbClr val="000000"/>
              </a:solidFill>
              <a:latin typeface="Times New Roman"/>
              <a:cs typeface="Times New Roman"/>
            </a:rPr>
            <a:t> ATUARIAL </a:t>
          </a:r>
          <a:endParaRPr lang="pt-BR" sz="1200" b="1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314325</xdr:colOff>
      <xdr:row>12</xdr:row>
      <xdr:rowOff>133350</xdr:rowOff>
    </xdr:from>
    <xdr:to>
      <xdr:col>21</xdr:col>
      <xdr:colOff>333375</xdr:colOff>
      <xdr:row>15</xdr:row>
      <xdr:rowOff>9525</xdr:rowOff>
    </xdr:to>
    <xdr:sp macro="" textlink="">
      <xdr:nvSpPr>
        <xdr:cNvPr id="7" name="AutoShape 47"/>
        <xdr:cNvSpPr>
          <a:spLocks noChangeArrowheads="1"/>
        </xdr:cNvSpPr>
      </xdr:nvSpPr>
      <xdr:spPr bwMode="auto">
        <a:xfrm>
          <a:off x="12534900" y="2438400"/>
          <a:ext cx="628650" cy="447675"/>
        </a:xfrm>
        <a:custGeom>
          <a:avLst/>
          <a:gdLst>
            <a:gd name="G0" fmla="+- 16200 0 0"/>
            <a:gd name="G1" fmla="+- 5400 0 0"/>
            <a:gd name="G2" fmla="+- 21600 0 5400"/>
            <a:gd name="G3" fmla="+- 10800 0 5400"/>
            <a:gd name="G4" fmla="+- 21600 0 16200"/>
            <a:gd name="G5" fmla="*/ G4 G3 10800"/>
            <a:gd name="G6" fmla="+- 21600 0 G5"/>
            <a:gd name="T0" fmla="*/ 16200 w 21600"/>
            <a:gd name="T1" fmla="*/ 0 h 21600"/>
            <a:gd name="T2" fmla="*/ 0 w 21600"/>
            <a:gd name="T3" fmla="*/ 10800 h 21600"/>
            <a:gd name="T4" fmla="*/ 16200 w 21600"/>
            <a:gd name="T5" fmla="*/ 21600 h 21600"/>
            <a:gd name="T6" fmla="*/ 21600 w 21600"/>
            <a:gd name="T7" fmla="*/ 1080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3375 w 21600"/>
            <a:gd name="T13" fmla="*/ G1 h 21600"/>
            <a:gd name="T14" fmla="*/ G6 w 21600"/>
            <a:gd name="T15" fmla="*/ G2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6200" y="0"/>
              </a:moveTo>
              <a:lnTo>
                <a:pt x="16200" y="5400"/>
              </a:lnTo>
              <a:lnTo>
                <a:pt x="3375" y="5400"/>
              </a:lnTo>
              <a:lnTo>
                <a:pt x="3375" y="16200"/>
              </a:lnTo>
              <a:lnTo>
                <a:pt x="16200" y="16200"/>
              </a:lnTo>
              <a:lnTo>
                <a:pt x="16200" y="21600"/>
              </a:lnTo>
              <a:lnTo>
                <a:pt x="21600" y="10800"/>
              </a:lnTo>
              <a:close/>
            </a:path>
            <a:path w="21600" h="21600">
              <a:moveTo>
                <a:pt x="1350" y="5400"/>
              </a:moveTo>
              <a:lnTo>
                <a:pt x="1350" y="16200"/>
              </a:lnTo>
              <a:lnTo>
                <a:pt x="2700" y="16200"/>
              </a:lnTo>
              <a:lnTo>
                <a:pt x="2700" y="5400"/>
              </a:lnTo>
              <a:close/>
            </a:path>
            <a:path w="21600" h="21600">
              <a:moveTo>
                <a:pt x="0" y="5400"/>
              </a:moveTo>
              <a:lnTo>
                <a:pt x="0" y="16200"/>
              </a:lnTo>
              <a:lnTo>
                <a:pt x="675" y="16200"/>
              </a:lnTo>
              <a:lnTo>
                <a:pt x="675" y="5400"/>
              </a:lnTo>
              <a:close/>
            </a:path>
          </a:pathLst>
        </a:custGeom>
        <a:solidFill>
          <a:srgbClr val="FFCC0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/>
        <a:lstStyle/>
        <a:p>
          <a:endParaRPr lang="pt-BR"/>
        </a:p>
      </xdr:txBody>
    </xdr:sp>
    <xdr:clientData/>
  </xdr:twoCellAnchor>
  <xdr:twoCellAnchor editAs="oneCell">
    <xdr:from>
      <xdr:col>98</xdr:col>
      <xdr:colOff>438150</xdr:colOff>
      <xdr:row>5</xdr:row>
      <xdr:rowOff>123825</xdr:rowOff>
    </xdr:from>
    <xdr:to>
      <xdr:col>102</xdr:col>
      <xdr:colOff>571500</xdr:colOff>
      <xdr:row>9</xdr:row>
      <xdr:rowOff>40216</xdr:rowOff>
    </xdr:to>
    <xdr:sp macro="" textlink="">
      <xdr:nvSpPr>
        <xdr:cNvPr id="8" name="Text Box 37"/>
        <xdr:cNvSpPr txBox="1">
          <a:spLocks noChangeArrowheads="1"/>
        </xdr:cNvSpPr>
      </xdr:nvSpPr>
      <xdr:spPr bwMode="auto">
        <a:xfrm>
          <a:off x="67722750" y="1076325"/>
          <a:ext cx="2571750" cy="666750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endParaRPr lang="pt-B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endParaRPr lang="pt-B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161</xdr:col>
      <xdr:colOff>2464593</xdr:colOff>
      <xdr:row>20</xdr:row>
      <xdr:rowOff>26329</xdr:rowOff>
    </xdr:from>
    <xdr:to>
      <xdr:col>164</xdr:col>
      <xdr:colOff>61911</xdr:colOff>
      <xdr:row>31</xdr:row>
      <xdr:rowOff>104775</xdr:rowOff>
    </xdr:to>
    <xdr:pic>
      <xdr:nvPicPr>
        <xdr:cNvPr id="9" name="Imagem 2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926268" y="3836329"/>
          <a:ext cx="3569493" cy="2173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504825</xdr:colOff>
      <xdr:row>19</xdr:row>
      <xdr:rowOff>57150</xdr:rowOff>
    </xdr:from>
    <xdr:to>
      <xdr:col>51</xdr:col>
      <xdr:colOff>371475</xdr:colOff>
      <xdr:row>31</xdr:row>
      <xdr:rowOff>171450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352425</xdr:colOff>
          <xdr:row>5</xdr:row>
          <xdr:rowOff>142875</xdr:rowOff>
        </xdr:from>
        <xdr:to>
          <xdr:col>22</xdr:col>
          <xdr:colOff>257175</xdr:colOff>
          <xdr:row>8</xdr:row>
          <xdr:rowOff>114300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533400</xdr:colOff>
          <xdr:row>27</xdr:row>
          <xdr:rowOff>76200</xdr:rowOff>
        </xdr:from>
        <xdr:to>
          <xdr:col>73</xdr:col>
          <xdr:colOff>19050</xdr:colOff>
          <xdr:row>29</xdr:row>
          <xdr:rowOff>161925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98</xdr:col>
          <xdr:colOff>485775</xdr:colOff>
          <xdr:row>5</xdr:row>
          <xdr:rowOff>133350</xdr:rowOff>
        </xdr:from>
        <xdr:to>
          <xdr:col>102</xdr:col>
          <xdr:colOff>476250</xdr:colOff>
          <xdr:row>8</xdr:row>
          <xdr:rowOff>171450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0</xdr:row>
      <xdr:rowOff>0</xdr:rowOff>
    </xdr:from>
    <xdr:to>
      <xdr:col>1</xdr:col>
      <xdr:colOff>773905</xdr:colOff>
      <xdr:row>1</xdr:row>
      <xdr:rowOff>0</xdr:rowOff>
    </xdr:to>
    <xdr:sp macro="" textlink="">
      <xdr:nvSpPr>
        <xdr:cNvPr id="2" name="Seta para a esquerda 1">
          <a:hlinkClick xmlns:r="http://schemas.openxmlformats.org/officeDocument/2006/relationships" r:id="rId1"/>
        </xdr:cNvPr>
        <xdr:cNvSpPr/>
      </xdr:nvSpPr>
      <xdr:spPr>
        <a:xfrm>
          <a:off x="47624" y="0"/>
          <a:ext cx="821531" cy="523875"/>
        </a:xfrm>
        <a:prstGeom prst="leftArrow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8</xdr:row>
      <xdr:rowOff>19049</xdr:rowOff>
    </xdr:from>
    <xdr:to>
      <xdr:col>3</xdr:col>
      <xdr:colOff>590550</xdr:colOff>
      <xdr:row>11</xdr:row>
      <xdr:rowOff>161924</xdr:rowOff>
    </xdr:to>
    <xdr:sp macro="" textlink="">
      <xdr:nvSpPr>
        <xdr:cNvPr id="2" name="Retângulo de cantos arredondados 1">
          <a:hlinkClick xmlns:r="http://schemas.openxmlformats.org/officeDocument/2006/relationships" r:id="rId1"/>
        </xdr:cNvPr>
        <xdr:cNvSpPr/>
      </xdr:nvSpPr>
      <xdr:spPr>
        <a:xfrm>
          <a:off x="533400" y="1581149"/>
          <a:ext cx="1885950" cy="714375"/>
        </a:xfrm>
        <a:prstGeom prst="roundRect">
          <a:avLst/>
        </a:prstGeom>
      </xdr:spPr>
      <xdr:style>
        <a:lnRef idx="0">
          <a:schemeClr val="dk1"/>
        </a:lnRef>
        <a:fillRef idx="100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/>
            <a:t>RETORNO MÊS</a:t>
          </a:r>
        </a:p>
      </xdr:txBody>
    </xdr:sp>
    <xdr:clientData/>
  </xdr:twoCellAnchor>
  <xdr:twoCellAnchor>
    <xdr:from>
      <xdr:col>0</xdr:col>
      <xdr:colOff>533400</xdr:colOff>
      <xdr:row>14</xdr:row>
      <xdr:rowOff>19050</xdr:rowOff>
    </xdr:from>
    <xdr:to>
      <xdr:col>3</xdr:col>
      <xdr:colOff>590550</xdr:colOff>
      <xdr:row>17</xdr:row>
      <xdr:rowOff>171450</xdr:rowOff>
    </xdr:to>
    <xdr:sp macro="" textlink="">
      <xdr:nvSpPr>
        <xdr:cNvPr id="3" name="Retângulo de cantos arredondados 2">
          <a:hlinkClick xmlns:r="http://schemas.openxmlformats.org/officeDocument/2006/relationships" r:id="rId2"/>
        </xdr:cNvPr>
        <xdr:cNvSpPr/>
      </xdr:nvSpPr>
      <xdr:spPr>
        <a:xfrm>
          <a:off x="533400" y="2724150"/>
          <a:ext cx="1885950" cy="723900"/>
        </a:xfrm>
        <a:prstGeom prst="roundRect">
          <a:avLst/>
        </a:prstGeom>
      </xdr:spPr>
      <xdr:style>
        <a:lnRef idx="0">
          <a:schemeClr val="dk1"/>
        </a:lnRef>
        <a:fillRef idx="100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/>
            <a:t>RETORNO  ANO</a:t>
          </a:r>
        </a:p>
      </xdr:txBody>
    </xdr:sp>
    <xdr:clientData/>
  </xdr:twoCellAnchor>
  <xdr:twoCellAnchor>
    <xdr:from>
      <xdr:col>0</xdr:col>
      <xdr:colOff>533400</xdr:colOff>
      <xdr:row>20</xdr:row>
      <xdr:rowOff>19049</xdr:rowOff>
    </xdr:from>
    <xdr:to>
      <xdr:col>3</xdr:col>
      <xdr:colOff>590550</xdr:colOff>
      <xdr:row>23</xdr:row>
      <xdr:rowOff>171450</xdr:rowOff>
    </xdr:to>
    <xdr:sp macro="" textlink="">
      <xdr:nvSpPr>
        <xdr:cNvPr id="4" name="Retângulo de cantos arredondados 3">
          <a:hlinkClick xmlns:r="http://schemas.openxmlformats.org/officeDocument/2006/relationships" r:id="rId3"/>
        </xdr:cNvPr>
        <xdr:cNvSpPr/>
      </xdr:nvSpPr>
      <xdr:spPr>
        <a:xfrm>
          <a:off x="533400" y="3867149"/>
          <a:ext cx="1885950" cy="723901"/>
        </a:xfrm>
        <a:prstGeom prst="roundRect">
          <a:avLst/>
        </a:prstGeom>
      </xdr:spPr>
      <xdr:style>
        <a:lnRef idx="0">
          <a:schemeClr val="dk1"/>
        </a:lnRef>
        <a:fillRef idx="100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/>
            <a:t>VaR</a:t>
          </a:r>
        </a:p>
      </xdr:txBody>
    </xdr:sp>
    <xdr:clientData/>
  </xdr:twoCellAnchor>
  <xdr:twoCellAnchor>
    <xdr:from>
      <xdr:col>10</xdr:col>
      <xdr:colOff>533400</xdr:colOff>
      <xdr:row>8</xdr:row>
      <xdr:rowOff>19049</xdr:rowOff>
    </xdr:from>
    <xdr:to>
      <xdr:col>13</xdr:col>
      <xdr:colOff>590550</xdr:colOff>
      <xdr:row>11</xdr:row>
      <xdr:rowOff>171450</xdr:rowOff>
    </xdr:to>
    <xdr:sp macro="" textlink="">
      <xdr:nvSpPr>
        <xdr:cNvPr id="5" name="Retângulo de cantos arredondados 4">
          <a:hlinkClick xmlns:r="http://schemas.openxmlformats.org/officeDocument/2006/relationships" r:id="rId4"/>
        </xdr:cNvPr>
        <xdr:cNvSpPr/>
      </xdr:nvSpPr>
      <xdr:spPr>
        <a:xfrm>
          <a:off x="6629400" y="1581149"/>
          <a:ext cx="1885950" cy="723901"/>
        </a:xfrm>
        <a:prstGeom prst="roundRect">
          <a:avLst/>
        </a:prstGeom>
      </xdr:spPr>
      <xdr:style>
        <a:lnRef idx="0">
          <a:schemeClr val="dk1"/>
        </a:lnRef>
        <a:fillRef idx="100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/>
            <a:t>ÍNDICE SHARPE</a:t>
          </a:r>
        </a:p>
      </xdr:txBody>
    </xdr:sp>
    <xdr:clientData/>
  </xdr:twoCellAnchor>
  <xdr:twoCellAnchor>
    <xdr:from>
      <xdr:col>10</xdr:col>
      <xdr:colOff>542925</xdr:colOff>
      <xdr:row>14</xdr:row>
      <xdr:rowOff>19049</xdr:rowOff>
    </xdr:from>
    <xdr:to>
      <xdr:col>13</xdr:col>
      <xdr:colOff>600075</xdr:colOff>
      <xdr:row>17</xdr:row>
      <xdr:rowOff>171450</xdr:rowOff>
    </xdr:to>
    <xdr:sp macro="" textlink="">
      <xdr:nvSpPr>
        <xdr:cNvPr id="6" name="Retângulo de cantos arredondados 5">
          <a:hlinkClick xmlns:r="http://schemas.openxmlformats.org/officeDocument/2006/relationships" r:id="rId5"/>
        </xdr:cNvPr>
        <xdr:cNvSpPr/>
      </xdr:nvSpPr>
      <xdr:spPr>
        <a:xfrm>
          <a:off x="6638925" y="2724149"/>
          <a:ext cx="1885950" cy="723901"/>
        </a:xfrm>
        <a:prstGeom prst="roundRect">
          <a:avLst/>
        </a:prstGeom>
      </xdr:spPr>
      <xdr:style>
        <a:lnRef idx="0">
          <a:schemeClr val="dk1"/>
        </a:lnRef>
        <a:fillRef idx="100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/>
            <a:t>ENQUADRAMENTO</a:t>
          </a:r>
        </a:p>
      </xdr:txBody>
    </xdr:sp>
    <xdr:clientData/>
  </xdr:twoCellAnchor>
  <xdr:twoCellAnchor>
    <xdr:from>
      <xdr:col>10</xdr:col>
      <xdr:colOff>542925</xdr:colOff>
      <xdr:row>19</xdr:row>
      <xdr:rowOff>190499</xdr:rowOff>
    </xdr:from>
    <xdr:to>
      <xdr:col>13</xdr:col>
      <xdr:colOff>600075</xdr:colOff>
      <xdr:row>23</xdr:row>
      <xdr:rowOff>152400</xdr:rowOff>
    </xdr:to>
    <xdr:sp macro="" textlink="">
      <xdr:nvSpPr>
        <xdr:cNvPr id="7" name="Retângulo de cantos arredondados 6">
          <a:hlinkClick xmlns:r="http://schemas.openxmlformats.org/officeDocument/2006/relationships" r:id="rId6"/>
        </xdr:cNvPr>
        <xdr:cNvSpPr/>
      </xdr:nvSpPr>
      <xdr:spPr>
        <a:xfrm>
          <a:off x="6638925" y="3848099"/>
          <a:ext cx="1885950" cy="723901"/>
        </a:xfrm>
        <a:prstGeom prst="roundRect">
          <a:avLst/>
        </a:prstGeom>
      </xdr:spPr>
      <xdr:style>
        <a:lnRef idx="0">
          <a:schemeClr val="dk1"/>
        </a:lnRef>
        <a:fillRef idx="100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/>
            <a:t>CADPREV</a:t>
          </a:r>
        </a:p>
      </xdr:txBody>
    </xdr:sp>
    <xdr:clientData/>
  </xdr:twoCellAnchor>
  <xdr:twoCellAnchor editAs="oneCell">
    <xdr:from>
      <xdr:col>4</xdr:col>
      <xdr:colOff>400050</xdr:colOff>
      <xdr:row>10</xdr:row>
      <xdr:rowOff>123825</xdr:rowOff>
    </xdr:from>
    <xdr:to>
      <xdr:col>10</xdr:col>
      <xdr:colOff>85725</xdr:colOff>
      <xdr:row>20</xdr:row>
      <xdr:rowOff>47625</xdr:rowOff>
    </xdr:to>
    <xdr:pic>
      <xdr:nvPicPr>
        <xdr:cNvPr id="8" name="Picture 7" descr="log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38450" y="2028825"/>
          <a:ext cx="33432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104775</xdr:rowOff>
    </xdr:from>
    <xdr:to>
      <xdr:col>1</xdr:col>
      <xdr:colOff>647700</xdr:colOff>
      <xdr:row>2</xdr:row>
      <xdr:rowOff>0</xdr:rowOff>
    </xdr:to>
    <xdr:sp macro="" textlink="">
      <xdr:nvSpPr>
        <xdr:cNvPr id="2" name="Seta para a esquerda 1">
          <a:hlinkClick xmlns:r="http://schemas.openxmlformats.org/officeDocument/2006/relationships" r:id="rId1"/>
        </xdr:cNvPr>
        <xdr:cNvSpPr/>
      </xdr:nvSpPr>
      <xdr:spPr>
        <a:xfrm>
          <a:off x="180975" y="104775"/>
          <a:ext cx="704850" cy="466725"/>
        </a:xfrm>
        <a:prstGeom prst="leftArrow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050" b="1"/>
            <a:t>Voltar</a:t>
          </a:r>
          <a:endParaRPr lang="pt-BR" sz="11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0</xdr:row>
      <xdr:rowOff>76200</xdr:rowOff>
    </xdr:from>
    <xdr:to>
      <xdr:col>1</xdr:col>
      <xdr:colOff>304799</xdr:colOff>
      <xdr:row>1</xdr:row>
      <xdr:rowOff>352425</xdr:rowOff>
    </xdr:to>
    <xdr:sp macro="" textlink="">
      <xdr:nvSpPr>
        <xdr:cNvPr id="2" name="Seta para a esquerda 1">
          <a:hlinkClick xmlns:r="http://schemas.openxmlformats.org/officeDocument/2006/relationships" r:id="rId1"/>
        </xdr:cNvPr>
        <xdr:cNvSpPr/>
      </xdr:nvSpPr>
      <xdr:spPr>
        <a:xfrm>
          <a:off x="114299" y="76200"/>
          <a:ext cx="714375" cy="466725"/>
        </a:xfrm>
        <a:prstGeom prst="leftArrow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050" b="1"/>
            <a:t>Voltar</a:t>
          </a:r>
          <a:endParaRPr lang="pt-B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180473</xdr:colOff>
      <xdr:row>1</xdr:row>
      <xdr:rowOff>24564</xdr:rowOff>
    </xdr:from>
    <xdr:to>
      <xdr:col>1</xdr:col>
      <xdr:colOff>571501</xdr:colOff>
      <xdr:row>3</xdr:row>
      <xdr:rowOff>110289</xdr:rowOff>
    </xdr:to>
    <xdr:sp macro="" textlink="">
      <xdr:nvSpPr>
        <xdr:cNvPr id="2" name="Seta para a esquerda 1">
          <a:hlinkClick xmlns:r="http://schemas.openxmlformats.org/officeDocument/2006/relationships" r:id="rId1"/>
        </xdr:cNvPr>
        <xdr:cNvSpPr/>
      </xdr:nvSpPr>
      <xdr:spPr>
        <a:xfrm>
          <a:off x="180473" y="215064"/>
          <a:ext cx="711870" cy="536909"/>
        </a:xfrm>
        <a:prstGeom prst="leftArrow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050" b="1"/>
            <a:t>Voltar</a:t>
          </a:r>
        </a:p>
      </xdr:txBody>
    </xdr:sp>
    <xdr:clientData/>
  </xdr:twoCellAnchor>
  <xdr:twoCellAnchor>
    <xdr:from>
      <xdr:col>1</xdr:col>
      <xdr:colOff>1104901</xdr:colOff>
      <xdr:row>2</xdr:row>
      <xdr:rowOff>114300</xdr:rowOff>
    </xdr:from>
    <xdr:to>
      <xdr:col>9</xdr:col>
      <xdr:colOff>314326</xdr:colOff>
      <xdr:row>6</xdr:row>
      <xdr:rowOff>19050</xdr:rowOff>
    </xdr:to>
    <xdr:sp macro="" textlink="">
      <xdr:nvSpPr>
        <xdr:cNvPr id="3" name="Retângulo de cantos arredondados 2"/>
        <xdr:cNvSpPr/>
      </xdr:nvSpPr>
      <xdr:spPr>
        <a:xfrm>
          <a:off x="1714501" y="561975"/>
          <a:ext cx="6153150" cy="666750"/>
        </a:xfrm>
        <a:prstGeom prst="roundRect">
          <a:avLst/>
        </a:prstGeom>
        <a:solidFill>
          <a:sysClr val="window" lastClr="FFFFFF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tIns="108000" rtlCol="0" anchor="b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lang="pt-BR" sz="1100">
              <a:solidFill>
                <a:sysClr val="windowText" lastClr="000000"/>
              </a:solidFill>
              <a:latin typeface="Trebuchet MS" pitchFamily="34" charset="0"/>
              <a:ea typeface="+mn-ea"/>
              <a:cs typeface="+mn-cs"/>
            </a:rPr>
            <a:t>O VaR sintetiza a maior (ou pior) perda esperada dentro de determinados períodos de tempo e intervalos de confiança. Para análise do risco, atribuiu-se uma probabilidade de acerto de 0,95 ou um grau de confiança de 95% de ocorrência para um intervalo de tempo de 75 dias.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AppData/Roaming/Microsoft/Excel/Modelo_dezembro_201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VaR_Calculo"/>
      <sheetName val="VaR_Calculo_Historico"/>
      <sheetName val="PL"/>
      <sheetName val="Indice"/>
      <sheetName val="Apoio"/>
      <sheetName val="Fundos"/>
      <sheetName val="Pai"/>
      <sheetName val="6"/>
      <sheetName val="10"/>
      <sheetName val="Capa"/>
      <sheetName val="Relatório"/>
      <sheetName val="CAD"/>
      <sheetName val="CadPrev"/>
      <sheetName val="Carteira"/>
      <sheetName val="enquadramento"/>
      <sheetName val="Retorno"/>
      <sheetName val="Calculo_Indice_Sharpe"/>
      <sheetName val="historico"/>
      <sheetName val="Plan1"/>
      <sheetName val="Plan2"/>
      <sheetName val="Plan3"/>
      <sheetName val="Plan4"/>
      <sheetName val="Plan6"/>
      <sheetName val="Plan5"/>
      <sheetName val="Relatorio excel"/>
      <sheetName val="Trimest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vmlDrawing" Target="../drawings/vmlDrawing2.vml"/><Relationship Id="rId7" Type="http://schemas.openxmlformats.org/officeDocument/2006/relationships/oleObject" Target="../embeddings/oleObject2.bin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6" Type="http://schemas.openxmlformats.org/officeDocument/2006/relationships/image" Target="../media/image2.wmf"/><Relationship Id="rId5" Type="http://schemas.openxmlformats.org/officeDocument/2006/relationships/oleObject" Target="../embeddings/oleObject1.bin"/><Relationship Id="rId10" Type="http://schemas.openxmlformats.org/officeDocument/2006/relationships/image" Target="../media/image4.wmf"/><Relationship Id="rId4" Type="http://schemas.openxmlformats.org/officeDocument/2006/relationships/vmlDrawing" Target="../drawings/vmlDrawing3.vml"/><Relationship Id="rId9" Type="http://schemas.openxmlformats.org/officeDocument/2006/relationships/oleObject" Target="../embeddings/oleObject3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vmlDrawing" Target="../drawings/vmlDrawing4.vml"/><Relationship Id="rId7" Type="http://schemas.openxmlformats.org/officeDocument/2006/relationships/oleObject" Target="../embeddings/oleObject5.bin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6" Type="http://schemas.openxmlformats.org/officeDocument/2006/relationships/image" Target="../media/image8.emf"/><Relationship Id="rId5" Type="http://schemas.openxmlformats.org/officeDocument/2006/relationships/oleObject" Target="../embeddings/oleObject4.bin"/><Relationship Id="rId10" Type="http://schemas.openxmlformats.org/officeDocument/2006/relationships/image" Target="../media/image4.wmf"/><Relationship Id="rId4" Type="http://schemas.openxmlformats.org/officeDocument/2006/relationships/vmlDrawing" Target="../drawings/vmlDrawing5.vml"/><Relationship Id="rId9" Type="http://schemas.openxmlformats.org/officeDocument/2006/relationships/oleObject" Target="../embeddings/oleObject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/>
  <dimension ref="B2:J49"/>
  <sheetViews>
    <sheetView showGridLines="0" workbookViewId="0">
      <pane ySplit="9" topLeftCell="A10" activePane="bottomLeft" state="frozen"/>
      <selection pane="bottomLeft" activeCell="E17" sqref="E17"/>
    </sheetView>
  </sheetViews>
  <sheetFormatPr defaultColWidth="9.140625" defaultRowHeight="15" x14ac:dyDescent="0.3"/>
  <cols>
    <col min="1" max="1" width="1.140625" style="6" customWidth="1"/>
    <col min="2" max="2" width="6" style="6" customWidth="1"/>
    <col min="3" max="3" width="1.140625" style="6" customWidth="1"/>
    <col min="4" max="4" width="24.28515625" style="6" customWidth="1"/>
    <col min="5" max="5" width="20" style="6" customWidth="1"/>
    <col min="6" max="10" width="21.42578125" style="6" customWidth="1"/>
    <col min="11" max="16384" width="9.140625" style="6"/>
  </cols>
  <sheetData>
    <row r="2" spans="2:10" x14ac:dyDescent="0.3">
      <c r="E2" s="342" t="str">
        <f>VLOOKUP(Dados_Clientes!F2,Dados_Clientes!F3:G51,2,FALSE)</f>
        <v>INSTITUTO DE PREVIDÊNCIA MUNICIPAL DE ITAPEVA</v>
      </c>
      <c r="F2" s="343"/>
      <c r="G2" s="343"/>
      <c r="H2" s="343"/>
      <c r="I2" s="343"/>
      <c r="J2" s="344"/>
    </row>
    <row r="4" spans="2:10" x14ac:dyDescent="0.3">
      <c r="B4" s="55">
        <f>VLOOKUP(Dados_Clientes!F2,Dados_Clientes!F3:I72,4,FALSE)</f>
        <v>0.06</v>
      </c>
      <c r="D4" s="54" t="str">
        <f>VLOOKUP(Dados_Clientes!F2,Dados_Clientes!F3:I72,3,FALSE)</f>
        <v>INPC</v>
      </c>
    </row>
    <row r="5" spans="2:10" x14ac:dyDescent="0.3">
      <c r="E5" s="6" t="s">
        <v>539</v>
      </c>
      <c r="J5" s="107" t="s">
        <v>702</v>
      </c>
    </row>
    <row r="7" spans="2:10" x14ac:dyDescent="0.3">
      <c r="D7" s="8" t="s">
        <v>6</v>
      </c>
      <c r="E7" s="116">
        <v>285796.01</v>
      </c>
      <c r="F7" s="6" t="s">
        <v>539</v>
      </c>
    </row>
    <row r="9" spans="2:10" x14ac:dyDescent="0.3">
      <c r="D9" s="3" t="s">
        <v>0</v>
      </c>
      <c r="E9" s="3" t="s">
        <v>1</v>
      </c>
      <c r="F9" s="3" t="s">
        <v>2</v>
      </c>
      <c r="G9" s="3" t="s">
        <v>3</v>
      </c>
      <c r="H9" s="3" t="s">
        <v>4</v>
      </c>
      <c r="I9" s="3" t="s">
        <v>806</v>
      </c>
      <c r="J9" s="3" t="s">
        <v>5</v>
      </c>
    </row>
    <row r="10" spans="2:10" ht="22.5" customHeight="1" x14ac:dyDescent="0.3">
      <c r="B10" s="7">
        <v>1</v>
      </c>
      <c r="E10" s="9" t="str">
        <f>Carteira!E3</f>
        <v>07.111.384/0001-69</v>
      </c>
      <c r="F10" s="10">
        <v>3282733.81</v>
      </c>
      <c r="G10" s="10"/>
      <c r="H10" s="10">
        <v>3378168.77</v>
      </c>
      <c r="I10" s="10"/>
      <c r="J10" s="10">
        <v>0</v>
      </c>
    </row>
    <row r="11" spans="2:10" ht="22.5" customHeight="1" x14ac:dyDescent="0.3">
      <c r="B11" s="7">
        <v>2</v>
      </c>
      <c r="E11" s="9" t="str">
        <f>Carteira!E4</f>
        <v>13.077.418/0001-49</v>
      </c>
      <c r="F11" s="10">
        <v>363984.75</v>
      </c>
      <c r="G11" s="10"/>
      <c r="H11" s="10"/>
      <c r="I11" s="10"/>
      <c r="J11" s="10">
        <v>368033.64</v>
      </c>
    </row>
    <row r="12" spans="2:10" ht="22.5" customHeight="1" x14ac:dyDescent="0.3">
      <c r="B12" s="7">
        <v>3</v>
      </c>
      <c r="E12" s="9" t="str">
        <f>Carteira!E5</f>
        <v>20.734.937/0001-06</v>
      </c>
      <c r="F12" s="10">
        <v>531483.21</v>
      </c>
      <c r="G12" s="10"/>
      <c r="H12" s="10"/>
      <c r="I12" s="10"/>
      <c r="J12" s="10">
        <v>535928.17000000004</v>
      </c>
    </row>
    <row r="13" spans="2:10" ht="22.5" customHeight="1" x14ac:dyDescent="0.3">
      <c r="B13" s="7">
        <v>4</v>
      </c>
      <c r="E13" s="9" t="str">
        <f>Carteira!E6</f>
        <v>11.328.882/0001-35</v>
      </c>
      <c r="F13" s="144">
        <v>0</v>
      </c>
      <c r="G13" s="10">
        <v>3378168.77</v>
      </c>
      <c r="H13" s="10"/>
      <c r="I13" s="10"/>
      <c r="J13" s="10">
        <v>3391984.3</v>
      </c>
    </row>
    <row r="14" spans="2:10" ht="22.5" customHeight="1" x14ac:dyDescent="0.3">
      <c r="B14" s="7">
        <v>5</v>
      </c>
      <c r="E14" s="9" t="str">
        <f>Carteira!E7</f>
        <v>20.139.299/0001-77</v>
      </c>
      <c r="F14" s="10">
        <v>1076412</v>
      </c>
      <c r="G14" s="10"/>
      <c r="H14" s="10"/>
      <c r="I14" s="10"/>
      <c r="J14" s="10">
        <v>1086173</v>
      </c>
    </row>
    <row r="15" spans="2:10" ht="22.5" customHeight="1" x14ac:dyDescent="0.3">
      <c r="B15" s="7">
        <v>6</v>
      </c>
      <c r="E15" s="9" t="str">
        <f>Carteira!E8</f>
        <v>03.737.206/0001-97</v>
      </c>
      <c r="F15" s="10">
        <v>628197.5</v>
      </c>
      <c r="G15" s="10"/>
      <c r="H15" s="10"/>
      <c r="I15" s="10"/>
      <c r="J15" s="10">
        <v>635599.06999999995</v>
      </c>
    </row>
    <row r="16" spans="2:10" ht="22.5" customHeight="1" x14ac:dyDescent="0.3">
      <c r="B16" s="7">
        <v>7</v>
      </c>
      <c r="E16" s="9" t="str">
        <f>Carteira!E9</f>
        <v>10.740.670/0001-06</v>
      </c>
      <c r="F16" s="144">
        <v>0</v>
      </c>
      <c r="G16" s="10">
        <v>2141111.31</v>
      </c>
      <c r="H16" s="10"/>
      <c r="I16" s="10"/>
      <c r="J16" s="10">
        <v>2150018.08</v>
      </c>
    </row>
    <row r="17" spans="2:10" ht="22.5" customHeight="1" x14ac:dyDescent="0.3">
      <c r="B17" s="7">
        <v>8</v>
      </c>
      <c r="E17" s="9" t="str">
        <f>Carteira!E10</f>
        <v>10.577.519/0001-90</v>
      </c>
      <c r="F17" s="10">
        <v>2072427.17</v>
      </c>
      <c r="G17" s="10"/>
      <c r="H17" s="10">
        <v>2141111.31</v>
      </c>
      <c r="I17" s="10"/>
      <c r="J17" s="10">
        <v>0</v>
      </c>
    </row>
    <row r="18" spans="2:10" ht="22.5" customHeight="1" x14ac:dyDescent="0.3">
      <c r="B18" s="7">
        <v>9</v>
      </c>
      <c r="E18" s="9" t="str">
        <f>Carteira!E11</f>
        <v/>
      </c>
      <c r="F18" s="10"/>
      <c r="G18" s="10"/>
      <c r="H18" s="10"/>
      <c r="I18" s="10"/>
      <c r="J18" s="10"/>
    </row>
    <row r="19" spans="2:10" ht="22.5" customHeight="1" x14ac:dyDescent="0.3">
      <c r="B19" s="7">
        <v>10</v>
      </c>
      <c r="E19" s="9" t="str">
        <f>Carteira!E12</f>
        <v/>
      </c>
      <c r="F19" s="10"/>
      <c r="G19" s="10"/>
      <c r="H19" s="10"/>
      <c r="I19" s="10"/>
      <c r="J19" s="10"/>
    </row>
    <row r="20" spans="2:10" ht="22.5" customHeight="1" x14ac:dyDescent="0.3">
      <c r="B20" s="7">
        <v>11</v>
      </c>
      <c r="E20" s="9" t="str">
        <f>Carteira!E13</f>
        <v/>
      </c>
      <c r="F20" s="10"/>
      <c r="G20" s="10"/>
      <c r="H20" s="10"/>
      <c r="I20" s="10"/>
      <c r="J20" s="10"/>
    </row>
    <row r="21" spans="2:10" ht="22.5" customHeight="1" x14ac:dyDescent="0.3">
      <c r="B21" s="7">
        <v>12</v>
      </c>
      <c r="E21" s="9" t="str">
        <f>Carteira!E14</f>
        <v/>
      </c>
      <c r="F21" s="10"/>
      <c r="G21" s="10"/>
      <c r="H21" s="10"/>
      <c r="I21" s="10"/>
      <c r="J21" s="10"/>
    </row>
    <row r="22" spans="2:10" ht="22.5" customHeight="1" x14ac:dyDescent="0.3">
      <c r="B22" s="7">
        <v>13</v>
      </c>
      <c r="E22" s="9" t="str">
        <f>Carteira!E15</f>
        <v/>
      </c>
      <c r="F22" s="10"/>
      <c r="G22" s="10"/>
      <c r="H22" s="10"/>
      <c r="I22" s="10"/>
      <c r="J22" s="10"/>
    </row>
    <row r="23" spans="2:10" ht="22.5" customHeight="1" x14ac:dyDescent="0.3">
      <c r="B23" s="7">
        <v>14</v>
      </c>
      <c r="E23" s="9" t="str">
        <f>Carteira!E16</f>
        <v/>
      </c>
      <c r="F23" s="10"/>
      <c r="G23" s="10"/>
      <c r="H23" s="10"/>
      <c r="I23" s="10"/>
      <c r="J23" s="10"/>
    </row>
    <row r="24" spans="2:10" ht="22.5" customHeight="1" x14ac:dyDescent="0.3">
      <c r="B24" s="7">
        <v>15</v>
      </c>
      <c r="E24" s="9" t="str">
        <f>Carteira!E17</f>
        <v/>
      </c>
      <c r="F24" s="112"/>
      <c r="G24" s="10"/>
      <c r="H24" s="10"/>
      <c r="I24" s="10"/>
      <c r="J24" s="10"/>
    </row>
    <row r="25" spans="2:10" ht="22.5" customHeight="1" x14ac:dyDescent="0.3">
      <c r="B25" s="7">
        <v>16</v>
      </c>
      <c r="E25" s="9" t="str">
        <f>Carteira!E18</f>
        <v/>
      </c>
      <c r="F25" s="10"/>
      <c r="G25" s="10"/>
      <c r="H25" s="10"/>
      <c r="I25" s="10"/>
      <c r="J25" s="10"/>
    </row>
    <row r="26" spans="2:10" ht="22.5" customHeight="1" x14ac:dyDescent="0.3">
      <c r="B26" s="7">
        <v>17</v>
      </c>
      <c r="E26" s="9" t="str">
        <f>Carteira!E19</f>
        <v/>
      </c>
      <c r="F26" s="112"/>
      <c r="G26" s="10"/>
      <c r="H26" s="10"/>
      <c r="I26" s="10"/>
      <c r="J26" s="10"/>
    </row>
    <row r="27" spans="2:10" ht="22.5" customHeight="1" x14ac:dyDescent="0.3">
      <c r="B27" s="7">
        <v>18</v>
      </c>
      <c r="E27" s="9" t="str">
        <f>Carteira!E20</f>
        <v/>
      </c>
      <c r="F27" s="10"/>
      <c r="G27" s="10"/>
      <c r="H27" s="10"/>
      <c r="I27" s="10"/>
      <c r="J27" s="10"/>
    </row>
    <row r="28" spans="2:10" ht="22.5" customHeight="1" x14ac:dyDescent="0.3">
      <c r="B28" s="7">
        <v>19</v>
      </c>
      <c r="E28" s="9" t="str">
        <f>Carteira!E21</f>
        <v/>
      </c>
      <c r="F28" s="10"/>
      <c r="G28" s="10"/>
      <c r="H28" s="10"/>
      <c r="I28" s="10"/>
      <c r="J28" s="10"/>
    </row>
    <row r="29" spans="2:10" ht="22.5" customHeight="1" x14ac:dyDescent="0.3">
      <c r="B29" s="7">
        <v>20</v>
      </c>
      <c r="E29" s="9" t="str">
        <f>Carteira!E22</f>
        <v/>
      </c>
      <c r="F29" s="10"/>
      <c r="G29" s="10"/>
      <c r="H29" s="10"/>
      <c r="I29" s="10"/>
      <c r="J29" s="10"/>
    </row>
    <row r="30" spans="2:10" ht="22.5" customHeight="1" x14ac:dyDescent="0.3">
      <c r="B30" s="7">
        <v>21</v>
      </c>
      <c r="E30" s="9" t="str">
        <f>Carteira!E23</f>
        <v/>
      </c>
      <c r="F30" s="10"/>
      <c r="G30" s="10"/>
      <c r="H30" s="10"/>
      <c r="I30" s="10"/>
      <c r="J30" s="10"/>
    </row>
    <row r="31" spans="2:10" ht="22.5" customHeight="1" x14ac:dyDescent="0.3">
      <c r="B31" s="7">
        <v>22</v>
      </c>
      <c r="E31" s="9" t="str">
        <f>Carteira!E24</f>
        <v/>
      </c>
      <c r="F31" s="10"/>
      <c r="G31" s="10"/>
      <c r="H31" s="10"/>
      <c r="I31" s="10"/>
      <c r="J31" s="10"/>
    </row>
    <row r="32" spans="2:10" ht="22.5" customHeight="1" x14ac:dyDescent="0.3">
      <c r="B32" s="7">
        <v>23</v>
      </c>
      <c r="E32" s="9" t="str">
        <f>Carteira!E25</f>
        <v/>
      </c>
      <c r="F32" s="10"/>
      <c r="G32" s="10"/>
      <c r="H32" s="10"/>
      <c r="I32" s="10"/>
      <c r="J32" s="10"/>
    </row>
    <row r="33" spans="2:10" ht="22.5" customHeight="1" x14ac:dyDescent="0.3">
      <c r="B33" s="7">
        <v>24</v>
      </c>
      <c r="E33" s="9" t="str">
        <f>Carteira!E26</f>
        <v/>
      </c>
      <c r="F33" s="10"/>
      <c r="G33" s="10"/>
      <c r="H33" s="10"/>
      <c r="I33" s="10"/>
      <c r="J33" s="10"/>
    </row>
    <row r="34" spans="2:10" ht="22.5" customHeight="1" x14ac:dyDescent="0.3">
      <c r="B34" s="7">
        <v>25</v>
      </c>
      <c r="E34" s="9" t="str">
        <f>Carteira!E27</f>
        <v/>
      </c>
      <c r="F34" s="10"/>
      <c r="G34" s="10"/>
      <c r="H34" s="10"/>
      <c r="I34" s="10"/>
      <c r="J34" s="10"/>
    </row>
    <row r="35" spans="2:10" ht="22.5" customHeight="1" x14ac:dyDescent="0.3">
      <c r="B35" s="7">
        <v>26</v>
      </c>
      <c r="E35" s="9" t="str">
        <f>Carteira!E28</f>
        <v/>
      </c>
      <c r="F35" s="10"/>
      <c r="G35" s="10"/>
      <c r="H35" s="10"/>
      <c r="I35" s="10"/>
      <c r="J35" s="10"/>
    </row>
    <row r="36" spans="2:10" ht="22.5" customHeight="1" x14ac:dyDescent="0.3">
      <c r="B36" s="7">
        <v>27</v>
      </c>
      <c r="E36" s="9" t="str">
        <f>Carteira!E29</f>
        <v/>
      </c>
      <c r="F36" s="10"/>
      <c r="G36" s="10"/>
      <c r="H36" s="10"/>
      <c r="I36" s="10"/>
      <c r="J36" s="10"/>
    </row>
    <row r="37" spans="2:10" ht="22.5" customHeight="1" x14ac:dyDescent="0.3">
      <c r="B37" s="7">
        <v>28</v>
      </c>
      <c r="E37" s="9" t="str">
        <f>Carteira!E30</f>
        <v/>
      </c>
      <c r="F37" s="112"/>
      <c r="G37" s="10"/>
      <c r="H37" s="10"/>
      <c r="I37" s="10"/>
      <c r="J37" s="10"/>
    </row>
    <row r="38" spans="2:10" ht="22.5" customHeight="1" x14ac:dyDescent="0.3">
      <c r="B38" s="7">
        <v>29</v>
      </c>
      <c r="E38" s="9" t="str">
        <f>Carteira!E31</f>
        <v/>
      </c>
      <c r="F38" s="10"/>
      <c r="G38" s="10"/>
      <c r="H38" s="10"/>
      <c r="I38" s="10"/>
      <c r="J38" s="10"/>
    </row>
    <row r="39" spans="2:10" ht="22.5" customHeight="1" x14ac:dyDescent="0.3">
      <c r="B39" s="7">
        <v>30</v>
      </c>
      <c r="E39" s="9" t="str">
        <f>Carteira!E32</f>
        <v/>
      </c>
      <c r="F39" s="10"/>
      <c r="G39" s="10"/>
      <c r="H39" s="10"/>
      <c r="I39" s="10"/>
      <c r="J39" s="10"/>
    </row>
    <row r="40" spans="2:10" ht="22.5" customHeight="1" x14ac:dyDescent="0.3">
      <c r="B40" s="7">
        <v>31</v>
      </c>
      <c r="E40" s="9" t="str">
        <f>Carteira!E33</f>
        <v/>
      </c>
      <c r="F40" s="10"/>
      <c r="G40" s="10"/>
      <c r="H40" s="10"/>
      <c r="I40" s="10"/>
      <c r="J40" s="10"/>
    </row>
    <row r="41" spans="2:10" ht="22.5" customHeight="1" x14ac:dyDescent="0.3">
      <c r="B41" s="7">
        <v>32</v>
      </c>
      <c r="E41" s="9" t="str">
        <f>Carteira!E34</f>
        <v/>
      </c>
      <c r="F41" s="222"/>
      <c r="G41" s="10"/>
      <c r="H41" s="10"/>
      <c r="I41" s="10"/>
      <c r="J41" s="10"/>
    </row>
    <row r="42" spans="2:10" ht="22.5" customHeight="1" x14ac:dyDescent="0.3">
      <c r="B42" s="7">
        <v>33</v>
      </c>
      <c r="E42" s="9" t="str">
        <f>Carteira!E35</f>
        <v/>
      </c>
      <c r="F42" s="10"/>
      <c r="G42" s="10"/>
      <c r="H42" s="10"/>
      <c r="I42" s="10"/>
      <c r="J42" s="10"/>
    </row>
    <row r="43" spans="2:10" ht="22.5" customHeight="1" x14ac:dyDescent="0.3">
      <c r="B43" s="7">
        <v>34</v>
      </c>
      <c r="E43" s="9" t="str">
        <f>Carteira!E36</f>
        <v/>
      </c>
      <c r="F43" s="10"/>
      <c r="G43" s="10"/>
      <c r="H43" s="10"/>
      <c r="I43" s="10"/>
      <c r="J43" s="10"/>
    </row>
    <row r="44" spans="2:10" ht="22.5" customHeight="1" x14ac:dyDescent="0.3">
      <c r="B44" s="7">
        <v>35</v>
      </c>
      <c r="E44" s="9" t="str">
        <f>Carteira!E37</f>
        <v/>
      </c>
      <c r="F44" s="10"/>
      <c r="G44" s="10"/>
      <c r="H44" s="10"/>
      <c r="I44" s="10"/>
      <c r="J44" s="10"/>
    </row>
    <row r="45" spans="2:10" ht="22.5" customHeight="1" x14ac:dyDescent="0.3">
      <c r="B45" s="7">
        <v>36</v>
      </c>
      <c r="E45" s="9" t="str">
        <f>Carteira!E38</f>
        <v/>
      </c>
      <c r="F45" s="10"/>
      <c r="G45" s="10"/>
      <c r="H45" s="10"/>
      <c r="I45" s="10"/>
      <c r="J45" s="10"/>
    </row>
    <row r="46" spans="2:10" ht="22.5" customHeight="1" x14ac:dyDescent="0.3">
      <c r="B46" s="7">
        <v>37</v>
      </c>
      <c r="E46" s="9" t="str">
        <f>Carteira!E39</f>
        <v/>
      </c>
      <c r="F46" s="10"/>
      <c r="G46" s="10"/>
      <c r="H46" s="10"/>
      <c r="I46" s="10"/>
      <c r="J46" s="10"/>
    </row>
    <row r="47" spans="2:10" ht="22.5" customHeight="1" x14ac:dyDescent="0.3">
      <c r="B47" s="7">
        <v>38</v>
      </c>
      <c r="E47" s="9" t="str">
        <f>Carteira!E40</f>
        <v/>
      </c>
      <c r="F47" s="10"/>
      <c r="G47" s="10"/>
      <c r="H47" s="10"/>
      <c r="I47" s="10"/>
      <c r="J47" s="10"/>
    </row>
    <row r="48" spans="2:10" ht="22.5" customHeight="1" x14ac:dyDescent="0.3">
      <c r="B48" s="7">
        <v>39</v>
      </c>
      <c r="E48" s="9" t="str">
        <f>Carteira!E41</f>
        <v/>
      </c>
      <c r="F48" s="10"/>
      <c r="G48" s="10"/>
      <c r="H48" s="10"/>
      <c r="I48" s="10"/>
      <c r="J48" s="10"/>
    </row>
    <row r="49" spans="2:10" ht="22.5" customHeight="1" x14ac:dyDescent="0.3">
      <c r="B49" s="7">
        <v>40</v>
      </c>
      <c r="E49" s="9" t="str">
        <f>Carteira!E42</f>
        <v/>
      </c>
      <c r="F49" s="10"/>
      <c r="G49" s="10"/>
      <c r="H49" s="10"/>
      <c r="I49" s="10"/>
      <c r="J49" s="10"/>
    </row>
  </sheetData>
  <mergeCells count="1">
    <mergeCell ref="E2:J2"/>
  </mergeCells>
  <conditionalFormatting sqref="E2">
    <cfRule type="containsErrors" dxfId="183" priority="5">
      <formula>ISERROR(E2)</formula>
    </cfRule>
  </conditionalFormatting>
  <conditionalFormatting sqref="E10:E49">
    <cfRule type="cellIs" dxfId="182" priority="3" operator="equal">
      <formula>0</formula>
    </cfRule>
  </conditionalFormatting>
  <conditionalFormatting sqref="B4">
    <cfRule type="containsErrors" dxfId="181" priority="2">
      <formula>ISERROR(B4)</formula>
    </cfRule>
  </conditionalFormatting>
  <conditionalFormatting sqref="D4">
    <cfRule type="containsErrors" dxfId="180" priority="1">
      <formula>ISERROR(D4)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E2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1</xdr:col>
                    <xdr:colOff>285750</xdr:colOff>
                    <xdr:row>1</xdr:row>
                    <xdr:rowOff>0</xdr:rowOff>
                  </from>
                  <to>
                    <xdr:col>3</xdr:col>
                    <xdr:colOff>1409700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Drop Down 3">
              <controlPr defaultSize="0" autoLine="0" autoPict="0">
                <anchor moveWithCells="1">
                  <from>
                    <xdr:col>5</xdr:col>
                    <xdr:colOff>0</xdr:colOff>
                    <xdr:row>2</xdr:row>
                    <xdr:rowOff>180975</xdr:rowOff>
                  </from>
                  <to>
                    <xdr:col>5</xdr:col>
                    <xdr:colOff>1104900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Drop Down 4">
              <controlPr defaultSize="0" autoLine="0" autoPict="0">
                <anchor moveWithCells="1">
                  <from>
                    <xdr:col>3</xdr:col>
                    <xdr:colOff>9525</xdr:colOff>
                    <xdr:row>9</xdr:row>
                    <xdr:rowOff>38100</xdr:rowOff>
                  </from>
                  <to>
                    <xdr:col>3</xdr:col>
                    <xdr:colOff>1609725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Drop Down 5">
              <controlPr defaultSize="0" autoLine="0" autoPict="0">
                <anchor moveWithCells="1">
                  <from>
                    <xdr:col>3</xdr:col>
                    <xdr:colOff>9525</xdr:colOff>
                    <xdr:row>10</xdr:row>
                    <xdr:rowOff>38100</xdr:rowOff>
                  </from>
                  <to>
                    <xdr:col>3</xdr:col>
                    <xdr:colOff>1609725</xdr:colOff>
                    <xdr:row>10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Drop Down 6">
              <controlPr defaultSize="0" autoLine="0" autoPict="0">
                <anchor moveWithCells="1">
                  <from>
                    <xdr:col>3</xdr:col>
                    <xdr:colOff>9525</xdr:colOff>
                    <xdr:row>11</xdr:row>
                    <xdr:rowOff>38100</xdr:rowOff>
                  </from>
                  <to>
                    <xdr:col>3</xdr:col>
                    <xdr:colOff>1609725</xdr:colOff>
                    <xdr:row>11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Drop Down 7">
              <controlPr defaultSize="0" autoLine="0" autoPict="0">
                <anchor moveWithCells="1">
                  <from>
                    <xdr:col>3</xdr:col>
                    <xdr:colOff>9525</xdr:colOff>
                    <xdr:row>12</xdr:row>
                    <xdr:rowOff>38100</xdr:rowOff>
                  </from>
                  <to>
                    <xdr:col>3</xdr:col>
                    <xdr:colOff>1609725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Drop Down 8">
              <controlPr defaultSize="0" autoLine="0" autoPict="0">
                <anchor moveWithCells="1">
                  <from>
                    <xdr:col>3</xdr:col>
                    <xdr:colOff>9525</xdr:colOff>
                    <xdr:row>13</xdr:row>
                    <xdr:rowOff>38100</xdr:rowOff>
                  </from>
                  <to>
                    <xdr:col>3</xdr:col>
                    <xdr:colOff>1609725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Drop Down 9">
              <controlPr defaultSize="0" autoLine="0" autoPict="0">
                <anchor moveWithCells="1">
                  <from>
                    <xdr:col>3</xdr:col>
                    <xdr:colOff>9525</xdr:colOff>
                    <xdr:row>14</xdr:row>
                    <xdr:rowOff>38100</xdr:rowOff>
                  </from>
                  <to>
                    <xdr:col>3</xdr:col>
                    <xdr:colOff>1609725</xdr:colOff>
                    <xdr:row>14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Drop Down 10">
              <controlPr defaultSize="0" autoLine="0" autoPict="0">
                <anchor moveWithCells="1">
                  <from>
                    <xdr:col>3</xdr:col>
                    <xdr:colOff>9525</xdr:colOff>
                    <xdr:row>15</xdr:row>
                    <xdr:rowOff>38100</xdr:rowOff>
                  </from>
                  <to>
                    <xdr:col>3</xdr:col>
                    <xdr:colOff>1609725</xdr:colOff>
                    <xdr:row>15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3" name="Drop Down 11">
              <controlPr defaultSize="0" autoLine="0" autoPict="0">
                <anchor moveWithCells="1">
                  <from>
                    <xdr:col>3</xdr:col>
                    <xdr:colOff>9525</xdr:colOff>
                    <xdr:row>16</xdr:row>
                    <xdr:rowOff>38100</xdr:rowOff>
                  </from>
                  <to>
                    <xdr:col>3</xdr:col>
                    <xdr:colOff>1609725</xdr:colOff>
                    <xdr:row>16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4" name="Drop Down 12">
              <controlPr defaultSize="0" autoLine="0" autoPict="0">
                <anchor moveWithCells="1">
                  <from>
                    <xdr:col>3</xdr:col>
                    <xdr:colOff>9525</xdr:colOff>
                    <xdr:row>17</xdr:row>
                    <xdr:rowOff>38100</xdr:rowOff>
                  </from>
                  <to>
                    <xdr:col>3</xdr:col>
                    <xdr:colOff>1609725</xdr:colOff>
                    <xdr:row>17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5" name="Drop Down 13">
              <controlPr defaultSize="0" autoLine="0" autoPict="0">
                <anchor moveWithCells="1">
                  <from>
                    <xdr:col>3</xdr:col>
                    <xdr:colOff>9525</xdr:colOff>
                    <xdr:row>18</xdr:row>
                    <xdr:rowOff>38100</xdr:rowOff>
                  </from>
                  <to>
                    <xdr:col>3</xdr:col>
                    <xdr:colOff>1609725</xdr:colOff>
                    <xdr:row>18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6" name="Drop Down 14">
              <controlPr defaultSize="0" autoLine="0" autoPict="0">
                <anchor moveWithCells="1">
                  <from>
                    <xdr:col>3</xdr:col>
                    <xdr:colOff>9525</xdr:colOff>
                    <xdr:row>19</xdr:row>
                    <xdr:rowOff>38100</xdr:rowOff>
                  </from>
                  <to>
                    <xdr:col>3</xdr:col>
                    <xdr:colOff>1609725</xdr:colOff>
                    <xdr:row>19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7" name="Drop Down 15">
              <controlPr defaultSize="0" autoLine="0" autoPict="0">
                <anchor moveWithCells="1">
                  <from>
                    <xdr:col>3</xdr:col>
                    <xdr:colOff>9525</xdr:colOff>
                    <xdr:row>20</xdr:row>
                    <xdr:rowOff>38100</xdr:rowOff>
                  </from>
                  <to>
                    <xdr:col>3</xdr:col>
                    <xdr:colOff>1609725</xdr:colOff>
                    <xdr:row>20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8" name="Drop Down 16">
              <controlPr defaultSize="0" autoLine="0" autoPict="0">
                <anchor moveWithCells="1">
                  <from>
                    <xdr:col>3</xdr:col>
                    <xdr:colOff>9525</xdr:colOff>
                    <xdr:row>21</xdr:row>
                    <xdr:rowOff>38100</xdr:rowOff>
                  </from>
                  <to>
                    <xdr:col>3</xdr:col>
                    <xdr:colOff>1609725</xdr:colOff>
                    <xdr:row>21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9" name="Drop Down 17">
              <controlPr defaultSize="0" autoLine="0" autoPict="0">
                <anchor moveWithCells="1">
                  <from>
                    <xdr:col>3</xdr:col>
                    <xdr:colOff>9525</xdr:colOff>
                    <xdr:row>22</xdr:row>
                    <xdr:rowOff>38100</xdr:rowOff>
                  </from>
                  <to>
                    <xdr:col>3</xdr:col>
                    <xdr:colOff>1609725</xdr:colOff>
                    <xdr:row>22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0" name="Drop Down 18">
              <controlPr defaultSize="0" autoLine="0" autoPict="0">
                <anchor moveWithCells="1">
                  <from>
                    <xdr:col>3</xdr:col>
                    <xdr:colOff>9525</xdr:colOff>
                    <xdr:row>23</xdr:row>
                    <xdr:rowOff>38100</xdr:rowOff>
                  </from>
                  <to>
                    <xdr:col>3</xdr:col>
                    <xdr:colOff>1609725</xdr:colOff>
                    <xdr:row>23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1" name="Drop Down 19">
              <controlPr defaultSize="0" autoLine="0" autoPict="0">
                <anchor moveWithCells="1">
                  <from>
                    <xdr:col>3</xdr:col>
                    <xdr:colOff>9525</xdr:colOff>
                    <xdr:row>24</xdr:row>
                    <xdr:rowOff>38100</xdr:rowOff>
                  </from>
                  <to>
                    <xdr:col>3</xdr:col>
                    <xdr:colOff>1609725</xdr:colOff>
                    <xdr:row>24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2" name="Drop Down 20">
              <controlPr defaultSize="0" autoLine="0" autoPict="0">
                <anchor moveWithCells="1">
                  <from>
                    <xdr:col>3</xdr:col>
                    <xdr:colOff>9525</xdr:colOff>
                    <xdr:row>25</xdr:row>
                    <xdr:rowOff>38100</xdr:rowOff>
                  </from>
                  <to>
                    <xdr:col>3</xdr:col>
                    <xdr:colOff>1609725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3" name="Drop Down 21">
              <controlPr defaultSize="0" autoLine="0" autoPict="0">
                <anchor moveWithCells="1">
                  <from>
                    <xdr:col>3</xdr:col>
                    <xdr:colOff>9525</xdr:colOff>
                    <xdr:row>26</xdr:row>
                    <xdr:rowOff>38100</xdr:rowOff>
                  </from>
                  <to>
                    <xdr:col>3</xdr:col>
                    <xdr:colOff>1609725</xdr:colOff>
                    <xdr:row>26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4" name="Drop Down 22">
              <controlPr defaultSize="0" autoLine="0" autoPict="0">
                <anchor moveWithCells="1">
                  <from>
                    <xdr:col>3</xdr:col>
                    <xdr:colOff>9525</xdr:colOff>
                    <xdr:row>27</xdr:row>
                    <xdr:rowOff>38100</xdr:rowOff>
                  </from>
                  <to>
                    <xdr:col>3</xdr:col>
                    <xdr:colOff>1609725</xdr:colOff>
                    <xdr:row>27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5" name="Drop Down 23">
              <controlPr defaultSize="0" autoLine="0" autoPict="0">
                <anchor moveWithCells="1">
                  <from>
                    <xdr:col>3</xdr:col>
                    <xdr:colOff>9525</xdr:colOff>
                    <xdr:row>28</xdr:row>
                    <xdr:rowOff>38100</xdr:rowOff>
                  </from>
                  <to>
                    <xdr:col>3</xdr:col>
                    <xdr:colOff>1609725</xdr:colOff>
                    <xdr:row>28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6" name="Drop Down 24">
              <controlPr defaultSize="0" autoLine="0" autoPict="0">
                <anchor moveWithCells="1">
                  <from>
                    <xdr:col>3</xdr:col>
                    <xdr:colOff>9525</xdr:colOff>
                    <xdr:row>29</xdr:row>
                    <xdr:rowOff>38100</xdr:rowOff>
                  </from>
                  <to>
                    <xdr:col>3</xdr:col>
                    <xdr:colOff>1609725</xdr:colOff>
                    <xdr:row>29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7" name="Drop Down 25">
              <controlPr defaultSize="0" autoLine="0" autoPict="0">
                <anchor moveWithCells="1">
                  <from>
                    <xdr:col>3</xdr:col>
                    <xdr:colOff>9525</xdr:colOff>
                    <xdr:row>30</xdr:row>
                    <xdr:rowOff>38100</xdr:rowOff>
                  </from>
                  <to>
                    <xdr:col>3</xdr:col>
                    <xdr:colOff>1609725</xdr:colOff>
                    <xdr:row>30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8" name="Drop Down 26">
              <controlPr defaultSize="0" autoLine="0" autoPict="0">
                <anchor moveWithCells="1">
                  <from>
                    <xdr:col>3</xdr:col>
                    <xdr:colOff>9525</xdr:colOff>
                    <xdr:row>31</xdr:row>
                    <xdr:rowOff>38100</xdr:rowOff>
                  </from>
                  <to>
                    <xdr:col>3</xdr:col>
                    <xdr:colOff>1609725</xdr:colOff>
                    <xdr:row>31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9" name="Drop Down 27">
              <controlPr defaultSize="0" autoLine="0" autoPict="0">
                <anchor moveWithCells="1">
                  <from>
                    <xdr:col>3</xdr:col>
                    <xdr:colOff>9525</xdr:colOff>
                    <xdr:row>32</xdr:row>
                    <xdr:rowOff>38100</xdr:rowOff>
                  </from>
                  <to>
                    <xdr:col>3</xdr:col>
                    <xdr:colOff>1609725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0" name="Drop Down 28">
              <controlPr defaultSize="0" autoLine="0" autoPict="0">
                <anchor moveWithCells="1">
                  <from>
                    <xdr:col>3</xdr:col>
                    <xdr:colOff>9525</xdr:colOff>
                    <xdr:row>33</xdr:row>
                    <xdr:rowOff>38100</xdr:rowOff>
                  </from>
                  <to>
                    <xdr:col>3</xdr:col>
                    <xdr:colOff>1609725</xdr:colOff>
                    <xdr:row>33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1" name="Drop Down 29">
              <controlPr defaultSize="0" autoLine="0" autoPict="0">
                <anchor moveWithCells="1">
                  <from>
                    <xdr:col>3</xdr:col>
                    <xdr:colOff>9525</xdr:colOff>
                    <xdr:row>34</xdr:row>
                    <xdr:rowOff>38100</xdr:rowOff>
                  </from>
                  <to>
                    <xdr:col>3</xdr:col>
                    <xdr:colOff>1609725</xdr:colOff>
                    <xdr:row>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2" name="Drop Down 30">
              <controlPr defaultSize="0" autoLine="0" autoPict="0">
                <anchor moveWithCells="1">
                  <from>
                    <xdr:col>3</xdr:col>
                    <xdr:colOff>9525</xdr:colOff>
                    <xdr:row>35</xdr:row>
                    <xdr:rowOff>38100</xdr:rowOff>
                  </from>
                  <to>
                    <xdr:col>3</xdr:col>
                    <xdr:colOff>1609725</xdr:colOff>
                    <xdr:row>35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3" name="Drop Down 31">
              <controlPr defaultSize="0" autoLine="0" autoPict="0">
                <anchor moveWithCells="1">
                  <from>
                    <xdr:col>3</xdr:col>
                    <xdr:colOff>9525</xdr:colOff>
                    <xdr:row>36</xdr:row>
                    <xdr:rowOff>38100</xdr:rowOff>
                  </from>
                  <to>
                    <xdr:col>3</xdr:col>
                    <xdr:colOff>1609725</xdr:colOff>
                    <xdr:row>36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4" name="Drop Down 32">
              <controlPr defaultSize="0" autoLine="0" autoPict="0">
                <anchor moveWithCells="1">
                  <from>
                    <xdr:col>3</xdr:col>
                    <xdr:colOff>9525</xdr:colOff>
                    <xdr:row>37</xdr:row>
                    <xdr:rowOff>38100</xdr:rowOff>
                  </from>
                  <to>
                    <xdr:col>3</xdr:col>
                    <xdr:colOff>1609725</xdr:colOff>
                    <xdr:row>37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5" name="Drop Down 33">
              <controlPr defaultSize="0" autoLine="0" autoPict="0">
                <anchor moveWithCells="1">
                  <from>
                    <xdr:col>3</xdr:col>
                    <xdr:colOff>9525</xdr:colOff>
                    <xdr:row>38</xdr:row>
                    <xdr:rowOff>38100</xdr:rowOff>
                  </from>
                  <to>
                    <xdr:col>3</xdr:col>
                    <xdr:colOff>1609725</xdr:colOff>
                    <xdr:row>38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6" name="Drop Down 34">
              <controlPr defaultSize="0" autoLine="0" autoPict="0">
                <anchor moveWithCells="1">
                  <from>
                    <xdr:col>3</xdr:col>
                    <xdr:colOff>9525</xdr:colOff>
                    <xdr:row>39</xdr:row>
                    <xdr:rowOff>38100</xdr:rowOff>
                  </from>
                  <to>
                    <xdr:col>3</xdr:col>
                    <xdr:colOff>1609725</xdr:colOff>
                    <xdr:row>39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7" name="Drop Down 35">
              <controlPr defaultSize="0" autoLine="0" autoPict="0">
                <anchor moveWithCells="1">
                  <from>
                    <xdr:col>3</xdr:col>
                    <xdr:colOff>9525</xdr:colOff>
                    <xdr:row>40</xdr:row>
                    <xdr:rowOff>38100</xdr:rowOff>
                  </from>
                  <to>
                    <xdr:col>3</xdr:col>
                    <xdr:colOff>1609725</xdr:colOff>
                    <xdr:row>40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8" name="Drop Down 36">
              <controlPr defaultSize="0" autoLine="0" autoPict="0">
                <anchor moveWithCells="1">
                  <from>
                    <xdr:col>3</xdr:col>
                    <xdr:colOff>9525</xdr:colOff>
                    <xdr:row>41</xdr:row>
                    <xdr:rowOff>38100</xdr:rowOff>
                  </from>
                  <to>
                    <xdr:col>3</xdr:col>
                    <xdr:colOff>1609725</xdr:colOff>
                    <xdr:row>41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9" name="Drop Down 37">
              <controlPr defaultSize="0" autoLine="0" autoPict="0">
                <anchor moveWithCells="1">
                  <from>
                    <xdr:col>3</xdr:col>
                    <xdr:colOff>9525</xdr:colOff>
                    <xdr:row>42</xdr:row>
                    <xdr:rowOff>38100</xdr:rowOff>
                  </from>
                  <to>
                    <xdr:col>3</xdr:col>
                    <xdr:colOff>1609725</xdr:colOff>
                    <xdr:row>42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0" name="Drop Down 38">
              <controlPr defaultSize="0" autoLine="0" autoPict="0">
                <anchor moveWithCells="1">
                  <from>
                    <xdr:col>3</xdr:col>
                    <xdr:colOff>9525</xdr:colOff>
                    <xdr:row>43</xdr:row>
                    <xdr:rowOff>38100</xdr:rowOff>
                  </from>
                  <to>
                    <xdr:col>3</xdr:col>
                    <xdr:colOff>1609725</xdr:colOff>
                    <xdr:row>43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1" name="Drop Down 39">
              <controlPr defaultSize="0" autoLine="0" autoPict="0">
                <anchor moveWithCells="1">
                  <from>
                    <xdr:col>3</xdr:col>
                    <xdr:colOff>9525</xdr:colOff>
                    <xdr:row>44</xdr:row>
                    <xdr:rowOff>38100</xdr:rowOff>
                  </from>
                  <to>
                    <xdr:col>3</xdr:col>
                    <xdr:colOff>1609725</xdr:colOff>
                    <xdr:row>44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2" name="Drop Down 40">
              <controlPr defaultSize="0" autoLine="0" autoPict="0">
                <anchor moveWithCells="1">
                  <from>
                    <xdr:col>3</xdr:col>
                    <xdr:colOff>9525</xdr:colOff>
                    <xdr:row>45</xdr:row>
                    <xdr:rowOff>38100</xdr:rowOff>
                  </from>
                  <to>
                    <xdr:col>3</xdr:col>
                    <xdr:colOff>1609725</xdr:colOff>
                    <xdr:row>45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3" name="Drop Down 41">
              <controlPr defaultSize="0" autoLine="0" autoPict="0">
                <anchor moveWithCells="1">
                  <from>
                    <xdr:col>3</xdr:col>
                    <xdr:colOff>9525</xdr:colOff>
                    <xdr:row>46</xdr:row>
                    <xdr:rowOff>38100</xdr:rowOff>
                  </from>
                  <to>
                    <xdr:col>3</xdr:col>
                    <xdr:colOff>1609725</xdr:colOff>
                    <xdr:row>46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4" name="Drop Down 42">
              <controlPr defaultSize="0" autoLine="0" autoPict="0">
                <anchor moveWithCells="1">
                  <from>
                    <xdr:col>3</xdr:col>
                    <xdr:colOff>9525</xdr:colOff>
                    <xdr:row>47</xdr:row>
                    <xdr:rowOff>38100</xdr:rowOff>
                  </from>
                  <to>
                    <xdr:col>3</xdr:col>
                    <xdr:colOff>1609725</xdr:colOff>
                    <xdr:row>47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5" name="Drop Down 43">
              <controlPr defaultSize="0" autoLine="0" autoPict="0">
                <anchor moveWithCells="1">
                  <from>
                    <xdr:col>3</xdr:col>
                    <xdr:colOff>9525</xdr:colOff>
                    <xdr:row>48</xdr:row>
                    <xdr:rowOff>38100</xdr:rowOff>
                  </from>
                  <to>
                    <xdr:col>3</xdr:col>
                    <xdr:colOff>1609725</xdr:colOff>
                    <xdr:row>48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/>
  <dimension ref="B1:F267"/>
  <sheetViews>
    <sheetView showGridLines="0" zoomScale="80" zoomScaleNormal="80" workbookViewId="0"/>
  </sheetViews>
  <sheetFormatPr defaultRowHeight="15" x14ac:dyDescent="0.3"/>
  <cols>
    <col min="1" max="1" width="1.42578125" style="223" customWidth="1"/>
    <col min="2" max="2" width="30.7109375" style="223" bestFit="1" customWidth="1"/>
    <col min="3" max="3" width="63.5703125" style="223" customWidth="1"/>
    <col min="4" max="4" width="1.42578125" style="223" customWidth="1"/>
    <col min="5" max="5" width="30.7109375" style="223" bestFit="1" customWidth="1"/>
    <col min="6" max="6" width="63.5703125" style="224" customWidth="1"/>
    <col min="7" max="16384" width="9.140625" style="223"/>
  </cols>
  <sheetData>
    <row r="1" spans="2:6" ht="41.25" customHeight="1" x14ac:dyDescent="0.3"/>
    <row r="2" spans="2:6" ht="22.5" customHeight="1" x14ac:dyDescent="0.3">
      <c r="B2" s="142" t="s">
        <v>6</v>
      </c>
      <c r="C2" s="105">
        <f>Entrada!E7</f>
        <v>285796.01</v>
      </c>
    </row>
    <row r="4" spans="2:6" x14ac:dyDescent="0.3">
      <c r="B4" s="138" t="s">
        <v>736</v>
      </c>
      <c r="E4" s="138" t="str">
        <f>IF(E5="","","Aplicação 21")</f>
        <v/>
      </c>
      <c r="F4" s="223"/>
    </row>
    <row r="5" spans="2:6" x14ac:dyDescent="0.3">
      <c r="B5" s="223" t="s">
        <v>725</v>
      </c>
      <c r="C5" s="224" t="str">
        <f>CAD!D4</f>
        <v>Renda Fixa</v>
      </c>
      <c r="E5" s="223" t="str">
        <f>IF(CAD!B24="","",B242)</f>
        <v/>
      </c>
      <c r="F5" s="224" t="str">
        <f>CAD!D24</f>
        <v/>
      </c>
    </row>
    <row r="6" spans="2:6" x14ac:dyDescent="0.3">
      <c r="B6" s="223" t="s">
        <v>726</v>
      </c>
      <c r="C6" s="224" t="str">
        <f>CAD!E4</f>
        <v>FI 100% títulos TN - Art. 7º, I, "b"</v>
      </c>
      <c r="E6" s="223" t="str">
        <f t="shared" ref="E6:E15" si="0">IF(E5="","",B243)</f>
        <v/>
      </c>
      <c r="F6" s="224" t="str">
        <f>CAD!E24</f>
        <v/>
      </c>
    </row>
    <row r="7" spans="2:6" x14ac:dyDescent="0.3">
      <c r="B7" s="223" t="s">
        <v>727</v>
      </c>
      <c r="C7" s="224" t="str">
        <f>CAD!F4</f>
        <v>Banco do Brasil</v>
      </c>
      <c r="E7" s="223" t="str">
        <f t="shared" si="0"/>
        <v/>
      </c>
      <c r="F7" s="224" t="str">
        <f>CAD!F24</f>
        <v/>
      </c>
    </row>
    <row r="8" spans="2:6" x14ac:dyDescent="0.3">
      <c r="B8" s="223" t="s">
        <v>728</v>
      </c>
      <c r="C8" s="224" t="str">
        <f>CAD!G4</f>
        <v>30.822.936/0001-69</v>
      </c>
      <c r="E8" s="223" t="str">
        <f t="shared" si="0"/>
        <v/>
      </c>
      <c r="F8" s="224" t="str">
        <f>CAD!G24</f>
        <v/>
      </c>
    </row>
    <row r="9" spans="2:6" x14ac:dyDescent="0.3">
      <c r="B9" s="223" t="s">
        <v>729</v>
      </c>
      <c r="C9" s="224" t="str">
        <f>CAD!B4</f>
        <v>BB IRF-M TÍTULOS PÚBLICOS FI RENDA FIXA PREVIDENCIÁRIO</v>
      </c>
      <c r="E9" s="223" t="str">
        <f t="shared" si="0"/>
        <v/>
      </c>
      <c r="F9" s="224" t="str">
        <f>CAD!B24</f>
        <v/>
      </c>
    </row>
    <row r="10" spans="2:6" x14ac:dyDescent="0.3">
      <c r="B10" s="223" t="s">
        <v>730</v>
      </c>
      <c r="C10" s="224" t="str">
        <f>CAD!C4</f>
        <v>07.111.384/0001-69</v>
      </c>
      <c r="E10" s="223" t="str">
        <f t="shared" si="0"/>
        <v/>
      </c>
      <c r="F10" s="224" t="str">
        <f>CAD!C24</f>
        <v/>
      </c>
    </row>
    <row r="11" spans="2:6" x14ac:dyDescent="0.3">
      <c r="B11" s="223" t="s">
        <v>731</v>
      </c>
      <c r="C11" s="201">
        <f>CAD!J4</f>
        <v>0</v>
      </c>
      <c r="E11" s="223" t="str">
        <f t="shared" si="0"/>
        <v/>
      </c>
      <c r="F11" s="201" t="str">
        <f>CAD!J24</f>
        <v/>
      </c>
    </row>
    <row r="12" spans="2:6" x14ac:dyDescent="0.3">
      <c r="B12" s="223" t="s">
        <v>732</v>
      </c>
      <c r="C12" s="201">
        <f>CAD!K4</f>
        <v>1550396235.23</v>
      </c>
      <c r="E12" s="223" t="str">
        <f t="shared" si="0"/>
        <v/>
      </c>
      <c r="F12" s="201" t="str">
        <f>CAD!K24</f>
        <v/>
      </c>
    </row>
    <row r="13" spans="2:6" x14ac:dyDescent="0.3">
      <c r="B13" s="223" t="s">
        <v>733</v>
      </c>
      <c r="C13" s="60">
        <f>CAD!L4</f>
        <v>0</v>
      </c>
      <c r="E13" s="223" t="str">
        <f t="shared" si="0"/>
        <v/>
      </c>
      <c r="F13" s="60" t="str">
        <f>CAD!L24</f>
        <v/>
      </c>
    </row>
    <row r="14" spans="2:6" x14ac:dyDescent="0.3">
      <c r="B14" s="223" t="s">
        <v>734</v>
      </c>
      <c r="C14" s="224">
        <f>CAD!I4</f>
        <v>3.5630414340000001</v>
      </c>
      <c r="E14" s="223" t="str">
        <f t="shared" si="0"/>
        <v/>
      </c>
      <c r="F14" s="224" t="str">
        <f>CAD!I24</f>
        <v/>
      </c>
    </row>
    <row r="15" spans="2:6" x14ac:dyDescent="0.3">
      <c r="B15" s="223" t="s">
        <v>735</v>
      </c>
      <c r="C15" s="137">
        <f>CAD!H4</f>
        <v>0</v>
      </c>
      <c r="E15" s="223" t="str">
        <f t="shared" si="0"/>
        <v/>
      </c>
      <c r="F15" s="137" t="str">
        <f>CAD!H24</f>
        <v/>
      </c>
    </row>
    <row r="17" spans="2:6" x14ac:dyDescent="0.3">
      <c r="B17" s="138" t="str">
        <f>IF(B18="","","Aplicação 02")</f>
        <v>Aplicação 02</v>
      </c>
      <c r="C17" s="224"/>
      <c r="E17" s="138" t="str">
        <f>IF(E18="","","Aplicação 22")</f>
        <v/>
      </c>
    </row>
    <row r="18" spans="2:6" x14ac:dyDescent="0.3">
      <c r="B18" s="223" t="str">
        <f>IF(CAD!B5="","",B5)</f>
        <v>Segmento:</v>
      </c>
      <c r="C18" s="224" t="str">
        <f>CAD!D5</f>
        <v>Renda Fixa</v>
      </c>
      <c r="E18" s="223" t="str">
        <f>IF(CAD!B25="","",B255)</f>
        <v/>
      </c>
      <c r="F18" s="224" t="str">
        <f>CAD!D25</f>
        <v/>
      </c>
    </row>
    <row r="19" spans="2:6" x14ac:dyDescent="0.3">
      <c r="B19" s="223" t="str">
        <f t="shared" ref="B19:B28" si="1">IF(B18="","",B6)</f>
        <v>Tipo de Ativo:</v>
      </c>
      <c r="C19" s="224" t="str">
        <f>CAD!E5</f>
        <v>FI de Renda Fixa - Art. 7º, IV</v>
      </c>
      <c r="E19" s="223" t="str">
        <f t="shared" ref="E19:E28" si="2">IF(E18="","",B256)</f>
        <v/>
      </c>
      <c r="F19" s="224" t="str">
        <f>CAD!E25</f>
        <v/>
      </c>
    </row>
    <row r="20" spans="2:6" x14ac:dyDescent="0.3">
      <c r="B20" s="223" t="str">
        <f t="shared" si="1"/>
        <v>Instituição Financeira:</v>
      </c>
      <c r="C20" s="224" t="str">
        <f>CAD!F5</f>
        <v>Banco do Brasil</v>
      </c>
      <c r="E20" s="223" t="str">
        <f t="shared" si="2"/>
        <v/>
      </c>
      <c r="F20" s="224" t="str">
        <f>CAD!F25</f>
        <v/>
      </c>
    </row>
    <row r="21" spans="2:6" x14ac:dyDescent="0.3">
      <c r="B21" s="223" t="str">
        <f t="shared" si="1"/>
        <v>CNPJ da Instituição Financeira:</v>
      </c>
      <c r="C21" s="224" t="str">
        <f>CAD!G5</f>
        <v>30.822.936/0001-69</v>
      </c>
      <c r="E21" s="223" t="str">
        <f t="shared" si="2"/>
        <v/>
      </c>
      <c r="F21" s="224" t="str">
        <f>CAD!G25</f>
        <v/>
      </c>
    </row>
    <row r="22" spans="2:6" x14ac:dyDescent="0.3">
      <c r="B22" s="223" t="str">
        <f t="shared" si="1"/>
        <v>Fundo:</v>
      </c>
      <c r="C22" s="224" t="str">
        <f>CAD!B5</f>
        <v>BB PERFIL FIC RENDA FIXA PREVIDENCIÁRIO</v>
      </c>
      <c r="E22" s="223" t="str">
        <f t="shared" si="2"/>
        <v/>
      </c>
      <c r="F22" s="224" t="str">
        <f>CAD!B25</f>
        <v/>
      </c>
    </row>
    <row r="23" spans="2:6" x14ac:dyDescent="0.3">
      <c r="B23" s="223" t="str">
        <f t="shared" si="1"/>
        <v>CNPJ do Fundo:</v>
      </c>
      <c r="C23" s="224" t="str">
        <f>CAD!C5</f>
        <v>13.077.418/0001-49</v>
      </c>
      <c r="E23" s="223" t="str">
        <f t="shared" si="2"/>
        <v/>
      </c>
      <c r="F23" s="224" t="str">
        <f>CAD!C25</f>
        <v/>
      </c>
    </row>
    <row r="24" spans="2:6" x14ac:dyDescent="0.3">
      <c r="B24" s="223" t="str">
        <f t="shared" si="1"/>
        <v>Valor Total Atual:</v>
      </c>
      <c r="C24" s="201">
        <f>CAD!J5</f>
        <v>368033.64</v>
      </c>
      <c r="E24" s="223" t="str">
        <f t="shared" si="2"/>
        <v/>
      </c>
      <c r="F24" s="201" t="str">
        <f>CAD!J25</f>
        <v/>
      </c>
    </row>
    <row r="25" spans="2:6" x14ac:dyDescent="0.3">
      <c r="B25" s="223" t="str">
        <f t="shared" si="1"/>
        <v>Patrimônio Líquido do Fundo:</v>
      </c>
      <c r="C25" s="201">
        <f>CAD!K5</f>
        <v>6495245017.6300001</v>
      </c>
      <c r="E25" s="223" t="str">
        <f t="shared" si="2"/>
        <v/>
      </c>
      <c r="F25" s="201" t="str">
        <f>CAD!K25</f>
        <v/>
      </c>
    </row>
    <row r="26" spans="2:6" x14ac:dyDescent="0.3">
      <c r="B26" s="223" t="str">
        <f t="shared" si="1"/>
        <v>% do Patrimônio Líquido do Fundo:</v>
      </c>
      <c r="C26" s="60">
        <f>CAD!L5</f>
        <v>5.6662010286147599E-5</v>
      </c>
      <c r="E26" s="223" t="str">
        <f t="shared" si="2"/>
        <v/>
      </c>
      <c r="F26" s="60" t="str">
        <f>CAD!L25</f>
        <v/>
      </c>
    </row>
    <row r="27" spans="2:6" x14ac:dyDescent="0.3">
      <c r="B27" s="223" t="str">
        <f t="shared" si="1"/>
        <v>Valor da Cota:</v>
      </c>
      <c r="C27" s="224">
        <f>CAD!I5</f>
        <v>1.6452009999999999</v>
      </c>
      <c r="E27" s="223" t="str">
        <f t="shared" si="2"/>
        <v/>
      </c>
      <c r="F27" s="224" t="str">
        <f>CAD!I25</f>
        <v/>
      </c>
    </row>
    <row r="28" spans="2:6" x14ac:dyDescent="0.3">
      <c r="B28" s="223" t="str">
        <f t="shared" si="1"/>
        <v>Quantidade de Cotas:</v>
      </c>
      <c r="C28" s="137">
        <f>CAD!H5</f>
        <v>223701.32281709046</v>
      </c>
      <c r="E28" s="223" t="str">
        <f t="shared" si="2"/>
        <v/>
      </c>
      <c r="F28" s="137" t="str">
        <f>CAD!H25</f>
        <v/>
      </c>
    </row>
    <row r="30" spans="2:6" x14ac:dyDescent="0.3">
      <c r="B30" s="138" t="str">
        <f>IF(B31="","","Aplicação 03")</f>
        <v>Aplicação 03</v>
      </c>
      <c r="E30" s="138" t="str">
        <f>IF(E31="","","Aplicação 23")</f>
        <v/>
      </c>
      <c r="F30" s="223"/>
    </row>
    <row r="31" spans="2:6" x14ac:dyDescent="0.3">
      <c r="B31" s="223" t="str">
        <f>IF(CAD!B6="","",B5)</f>
        <v>Segmento:</v>
      </c>
      <c r="C31" s="224" t="str">
        <f>IF(B31="","",CAD!D6)</f>
        <v>Renda Fixa</v>
      </c>
      <c r="E31" s="223" t="str">
        <f>IF(CAD!B26="","",E5)</f>
        <v/>
      </c>
      <c r="F31" s="224" t="str">
        <f>CAD!D26</f>
        <v/>
      </c>
    </row>
    <row r="32" spans="2:6" x14ac:dyDescent="0.3">
      <c r="B32" s="223" t="str">
        <f t="shared" ref="B32:B41" si="3">IF(B31="","",B6)</f>
        <v>Tipo de Ativo:</v>
      </c>
      <c r="C32" s="224" t="str">
        <f>IF(B32="","",CAD!E6)</f>
        <v>FI 100% títulos TN - Art. 7º, I, "b"</v>
      </c>
      <c r="E32" s="223" t="str">
        <f t="shared" ref="E32:E41" si="4">IF(E31="","",E6)</f>
        <v/>
      </c>
      <c r="F32" s="224" t="str">
        <f>CAD!E26</f>
        <v/>
      </c>
    </row>
    <row r="33" spans="2:6" x14ac:dyDescent="0.3">
      <c r="B33" s="223" t="str">
        <f t="shared" si="3"/>
        <v>Instituição Financeira:</v>
      </c>
      <c r="C33" s="224" t="str">
        <f>IF(B33="","",CAD!F6)</f>
        <v>Banco do Brasil</v>
      </c>
      <c r="E33" s="223" t="str">
        <f t="shared" si="4"/>
        <v/>
      </c>
      <c r="F33" s="224" t="str">
        <f>CAD!F26</f>
        <v/>
      </c>
    </row>
    <row r="34" spans="2:6" x14ac:dyDescent="0.3">
      <c r="B34" s="223" t="str">
        <f t="shared" si="3"/>
        <v>CNPJ da Instituição Financeira:</v>
      </c>
      <c r="C34" s="224" t="str">
        <f>IF(B34="","",CAD!G6)</f>
        <v>30.822.936/0001-69</v>
      </c>
      <c r="E34" s="223" t="str">
        <f t="shared" si="4"/>
        <v/>
      </c>
      <c r="F34" s="224" t="str">
        <f>CAD!G26</f>
        <v/>
      </c>
    </row>
    <row r="35" spans="2:6" x14ac:dyDescent="0.3">
      <c r="B35" s="223" t="str">
        <f t="shared" si="3"/>
        <v>Fundo:</v>
      </c>
      <c r="C35" s="224" t="str">
        <f>CAD!B6</f>
        <v>BB Prev RF Tit Publ IX FI</v>
      </c>
      <c r="E35" s="223" t="str">
        <f t="shared" si="4"/>
        <v/>
      </c>
      <c r="F35" s="224" t="str">
        <f>CAD!B26</f>
        <v/>
      </c>
    </row>
    <row r="36" spans="2:6" x14ac:dyDescent="0.3">
      <c r="B36" s="223" t="str">
        <f t="shared" si="3"/>
        <v>CNPJ do Fundo:</v>
      </c>
      <c r="C36" s="224" t="str">
        <f>CAD!C6</f>
        <v>20.734.937/0001-06</v>
      </c>
      <c r="E36" s="223" t="str">
        <f t="shared" si="4"/>
        <v/>
      </c>
      <c r="F36" s="224" t="str">
        <f>CAD!C26</f>
        <v/>
      </c>
    </row>
    <row r="37" spans="2:6" x14ac:dyDescent="0.3">
      <c r="B37" s="223" t="str">
        <f t="shared" si="3"/>
        <v>Valor Total Atual:</v>
      </c>
      <c r="C37" s="201">
        <f>CAD!J6</f>
        <v>535928.17000000004</v>
      </c>
      <c r="E37" s="223" t="str">
        <f t="shared" si="4"/>
        <v/>
      </c>
      <c r="F37" s="201" t="str">
        <f>CAD!J26</f>
        <v/>
      </c>
    </row>
    <row r="38" spans="2:6" x14ac:dyDescent="0.3">
      <c r="B38" s="223" t="str">
        <f t="shared" si="3"/>
        <v>Patrimônio Líquido do Fundo:</v>
      </c>
      <c r="C38" s="201">
        <f>CAD!K6</f>
        <v>2254122552.9899998</v>
      </c>
      <c r="E38" s="223" t="str">
        <f t="shared" si="4"/>
        <v/>
      </c>
      <c r="F38" s="201" t="str">
        <f>CAD!K26</f>
        <v/>
      </c>
    </row>
    <row r="39" spans="2:6" x14ac:dyDescent="0.3">
      <c r="B39" s="223" t="str">
        <f t="shared" si="3"/>
        <v>% do Patrimônio Líquido do Fundo:</v>
      </c>
      <c r="C39" s="60">
        <f>CAD!L6</f>
        <v>2.3775467278348004E-4</v>
      </c>
      <c r="E39" s="223" t="str">
        <f t="shared" si="4"/>
        <v/>
      </c>
      <c r="F39" s="60" t="str">
        <f>CAD!L26</f>
        <v/>
      </c>
    </row>
    <row r="40" spans="2:6" x14ac:dyDescent="0.3">
      <c r="B40" s="223" t="str">
        <f t="shared" si="3"/>
        <v>Valor da Cota:</v>
      </c>
      <c r="C40" s="224">
        <f>CAD!I6</f>
        <v>1.1489492080000001</v>
      </c>
      <c r="E40" s="223" t="str">
        <f t="shared" si="4"/>
        <v/>
      </c>
      <c r="F40" s="224" t="str">
        <f>CAD!I26</f>
        <v/>
      </c>
    </row>
    <row r="41" spans="2:6" x14ac:dyDescent="0.3">
      <c r="B41" s="223" t="str">
        <f t="shared" si="3"/>
        <v>Quantidade de Cotas:</v>
      </c>
      <c r="C41" s="137">
        <f>CAD!H6</f>
        <v>466450.70667040313</v>
      </c>
      <c r="E41" s="223" t="str">
        <f t="shared" si="4"/>
        <v/>
      </c>
      <c r="F41" s="137" t="str">
        <f>CAD!H26</f>
        <v/>
      </c>
    </row>
    <row r="43" spans="2:6" x14ac:dyDescent="0.3">
      <c r="B43" s="138" t="str">
        <f>IF(B44="","","Aplicação 04")</f>
        <v>Aplicação 04</v>
      </c>
      <c r="C43" s="224"/>
      <c r="E43" s="138" t="str">
        <f>IF(E44="","","Aplicação 24")</f>
        <v/>
      </c>
    </row>
    <row r="44" spans="2:6" x14ac:dyDescent="0.3">
      <c r="B44" s="223" t="str">
        <f>IF(CAD!B7="","",B18)</f>
        <v>Segmento:</v>
      </c>
      <c r="C44" s="224" t="str">
        <f>CAD!D7</f>
        <v>Renda Fixa</v>
      </c>
      <c r="E44" s="223" t="str">
        <f>IF(CAD!B27="","",E18)</f>
        <v/>
      </c>
      <c r="F44" s="224" t="str">
        <f>CAD!D27</f>
        <v/>
      </c>
    </row>
    <row r="45" spans="2:6" x14ac:dyDescent="0.3">
      <c r="B45" s="223" t="str">
        <f t="shared" ref="B45:B54" si="5">IF(B44="","",B19)</f>
        <v>Tipo de Ativo:</v>
      </c>
      <c r="C45" s="224" t="str">
        <f>CAD!E7</f>
        <v>FI 100% títulos TN - Art. 7º, I, "b"</v>
      </c>
      <c r="E45" s="223" t="str">
        <f t="shared" ref="E45:E54" si="6">IF(E44="","",E19)</f>
        <v/>
      </c>
      <c r="F45" s="224" t="str">
        <f>CAD!E27</f>
        <v/>
      </c>
    </row>
    <row r="46" spans="2:6" x14ac:dyDescent="0.3">
      <c r="B46" s="223" t="str">
        <f t="shared" si="5"/>
        <v>Instituição Financeira:</v>
      </c>
      <c r="C46" s="224" t="str">
        <f>CAD!F7</f>
        <v>Banco do Brasil</v>
      </c>
      <c r="E46" s="223" t="str">
        <f t="shared" si="6"/>
        <v/>
      </c>
      <c r="F46" s="224" t="str">
        <f>CAD!F27</f>
        <v/>
      </c>
    </row>
    <row r="47" spans="2:6" x14ac:dyDescent="0.3">
      <c r="B47" s="223" t="str">
        <f t="shared" si="5"/>
        <v>CNPJ da Instituição Financeira:</v>
      </c>
      <c r="C47" s="224" t="str">
        <f>CAD!G7</f>
        <v>30.822.936/0001-69</v>
      </c>
      <c r="E47" s="223" t="str">
        <f t="shared" si="6"/>
        <v/>
      </c>
      <c r="F47" s="224" t="str">
        <f>CAD!G27</f>
        <v/>
      </c>
    </row>
    <row r="48" spans="2:6" x14ac:dyDescent="0.3">
      <c r="B48" s="223" t="str">
        <f t="shared" si="5"/>
        <v>Fundo:</v>
      </c>
      <c r="C48" s="224" t="str">
        <f>CAD!B7</f>
        <v>BB IRF M1 TÍTULOS PÚBLICOS FIC RENDA FIXA PREVIDENCIÁRIO</v>
      </c>
      <c r="E48" s="223" t="str">
        <f t="shared" si="6"/>
        <v/>
      </c>
      <c r="F48" s="224" t="str">
        <f>CAD!B27</f>
        <v/>
      </c>
    </row>
    <row r="49" spans="2:6" x14ac:dyDescent="0.3">
      <c r="B49" s="223" t="str">
        <f t="shared" si="5"/>
        <v>CNPJ do Fundo:</v>
      </c>
      <c r="C49" s="224" t="str">
        <f>CAD!C7</f>
        <v>11.328.882/0001-35</v>
      </c>
      <c r="E49" s="223" t="str">
        <f t="shared" si="6"/>
        <v/>
      </c>
      <c r="F49" s="224" t="str">
        <f>CAD!C27</f>
        <v/>
      </c>
    </row>
    <row r="50" spans="2:6" x14ac:dyDescent="0.3">
      <c r="B50" s="223" t="str">
        <f t="shared" si="5"/>
        <v>Valor Total Atual:</v>
      </c>
      <c r="C50" s="201">
        <f>CAD!J7</f>
        <v>3391984.3</v>
      </c>
      <c r="E50" s="223" t="str">
        <f t="shared" si="6"/>
        <v/>
      </c>
      <c r="F50" s="201" t="str">
        <f>CAD!J27</f>
        <v/>
      </c>
    </row>
    <row r="51" spans="2:6" x14ac:dyDescent="0.3">
      <c r="B51" s="223" t="str">
        <f t="shared" si="5"/>
        <v>Patrimônio Líquido do Fundo:</v>
      </c>
      <c r="C51" s="201">
        <f>CAD!K7</f>
        <v>7780026492.54</v>
      </c>
      <c r="E51" s="223" t="str">
        <f t="shared" si="6"/>
        <v/>
      </c>
      <c r="F51" s="201" t="str">
        <f>CAD!K27</f>
        <v/>
      </c>
    </row>
    <row r="52" spans="2:6" x14ac:dyDescent="0.3">
      <c r="B52" s="223" t="str">
        <f t="shared" si="5"/>
        <v>% do Patrimônio Líquido do Fundo:</v>
      </c>
      <c r="C52" s="60">
        <f>CAD!L7</f>
        <v>4.3598621460382649E-4</v>
      </c>
      <c r="E52" s="223" t="str">
        <f t="shared" si="6"/>
        <v/>
      </c>
      <c r="F52" s="60" t="str">
        <f>CAD!L27</f>
        <v/>
      </c>
    </row>
    <row r="53" spans="2:6" x14ac:dyDescent="0.3">
      <c r="B53" s="223" t="str">
        <f t="shared" si="5"/>
        <v>Valor da Cota:</v>
      </c>
      <c r="C53" s="224">
        <f>CAD!I7</f>
        <v>1.8981250000000001</v>
      </c>
      <c r="E53" s="223" t="str">
        <f t="shared" si="6"/>
        <v/>
      </c>
      <c r="F53" s="224" t="str">
        <f>CAD!I27</f>
        <v/>
      </c>
    </row>
    <row r="54" spans="2:6" x14ac:dyDescent="0.3">
      <c r="B54" s="223" t="str">
        <f t="shared" si="5"/>
        <v>Quantidade de Cotas:</v>
      </c>
      <c r="C54" s="137">
        <f>CAD!H7</f>
        <v>1787018.3997365821</v>
      </c>
      <c r="E54" s="223" t="str">
        <f t="shared" si="6"/>
        <v/>
      </c>
      <c r="F54" s="137" t="str">
        <f>CAD!H27</f>
        <v/>
      </c>
    </row>
    <row r="56" spans="2:6" x14ac:dyDescent="0.3">
      <c r="B56" s="138" t="str">
        <f>IF(B57="","","Aplicação 05")</f>
        <v>Aplicação 05</v>
      </c>
      <c r="E56" s="138" t="str">
        <f>IF(E57="","","Aplicação 25")</f>
        <v/>
      </c>
      <c r="F56" s="223"/>
    </row>
    <row r="57" spans="2:6" x14ac:dyDescent="0.3">
      <c r="B57" s="223" t="str">
        <f>IF(CAD!B8="","",B31)</f>
        <v>Segmento:</v>
      </c>
      <c r="C57" s="224" t="str">
        <f>CAD!D8</f>
        <v>Renda Fixa</v>
      </c>
      <c r="E57" s="223" t="str">
        <f>IF(CAD!B28="","",E31)</f>
        <v/>
      </c>
      <c r="F57" s="224" t="str">
        <f>CAD!D28</f>
        <v/>
      </c>
    </row>
    <row r="58" spans="2:6" x14ac:dyDescent="0.3">
      <c r="B58" s="223" t="str">
        <f t="shared" ref="B58:B67" si="7">IF(B57="","",B32)</f>
        <v>Tipo de Ativo:</v>
      </c>
      <c r="C58" s="224" t="str">
        <f>CAD!E8</f>
        <v>FI 100% títulos TN - Art. 7º, I, "b"</v>
      </c>
      <c r="E58" s="223" t="str">
        <f t="shared" ref="E58:E67" si="8">IF(E57="","",E32)</f>
        <v/>
      </c>
      <c r="F58" s="224" t="str">
        <f>CAD!E28</f>
        <v/>
      </c>
    </row>
    <row r="59" spans="2:6" x14ac:dyDescent="0.3">
      <c r="B59" s="223" t="str">
        <f t="shared" si="7"/>
        <v>Instituição Financeira:</v>
      </c>
      <c r="C59" s="224" t="str">
        <f>CAD!F8</f>
        <v>Caixa Econômica Federal</v>
      </c>
      <c r="E59" s="223" t="str">
        <f t="shared" si="8"/>
        <v/>
      </c>
      <c r="F59" s="224" t="str">
        <f>CAD!F28</f>
        <v/>
      </c>
    </row>
    <row r="60" spans="2:6" x14ac:dyDescent="0.3">
      <c r="B60" s="223" t="str">
        <f t="shared" si="7"/>
        <v>CNPJ da Instituição Financeira:</v>
      </c>
      <c r="C60" s="224" t="str">
        <f>CAD!G8</f>
        <v>00.360.305/0001-04</v>
      </c>
      <c r="E60" s="223" t="str">
        <f t="shared" si="8"/>
        <v/>
      </c>
      <c r="F60" s="224" t="str">
        <f>CAD!G28</f>
        <v/>
      </c>
    </row>
    <row r="61" spans="2:6" x14ac:dyDescent="0.3">
      <c r="B61" s="223" t="str">
        <f t="shared" si="7"/>
        <v>Fundo:</v>
      </c>
      <c r="C61" s="224" t="str">
        <f>CAD!B8</f>
        <v>FI Caixa Brasil 2016 I Tp RF</v>
      </c>
      <c r="E61" s="223" t="str">
        <f t="shared" si="8"/>
        <v/>
      </c>
      <c r="F61" s="224" t="str">
        <f>CAD!B28</f>
        <v/>
      </c>
    </row>
    <row r="62" spans="2:6" x14ac:dyDescent="0.3">
      <c r="B62" s="223" t="str">
        <f t="shared" si="7"/>
        <v>CNPJ do Fundo:</v>
      </c>
      <c r="C62" s="224" t="str">
        <f>CAD!C8</f>
        <v>20.139.299/0001-77</v>
      </c>
      <c r="E62" s="223" t="str">
        <f t="shared" si="8"/>
        <v/>
      </c>
      <c r="F62" s="224" t="str">
        <f>CAD!C28</f>
        <v/>
      </c>
    </row>
    <row r="63" spans="2:6" x14ac:dyDescent="0.3">
      <c r="B63" s="223" t="str">
        <f t="shared" si="7"/>
        <v>Valor Total Atual:</v>
      </c>
      <c r="C63" s="201">
        <f>CAD!J8</f>
        <v>1086173</v>
      </c>
      <c r="E63" s="223" t="str">
        <f t="shared" si="8"/>
        <v/>
      </c>
      <c r="F63" s="201" t="str">
        <f>CAD!J28</f>
        <v/>
      </c>
    </row>
    <row r="64" spans="2:6" x14ac:dyDescent="0.3">
      <c r="B64" s="223" t="str">
        <f t="shared" si="7"/>
        <v>Patrimônio Líquido do Fundo:</v>
      </c>
      <c r="C64" s="201">
        <f>CAD!K8</f>
        <v>1466638401.1300001</v>
      </c>
      <c r="E64" s="223" t="str">
        <f t="shared" si="8"/>
        <v/>
      </c>
      <c r="F64" s="201" t="str">
        <f>CAD!K28</f>
        <v/>
      </c>
    </row>
    <row r="65" spans="2:6" x14ac:dyDescent="0.3">
      <c r="B65" s="223" t="str">
        <f t="shared" si="7"/>
        <v>% do Patrimônio Líquido do Fundo:</v>
      </c>
      <c r="C65" s="60">
        <f>CAD!L8</f>
        <v>7.4058677255630073E-4</v>
      </c>
      <c r="E65" s="223" t="str">
        <f t="shared" si="8"/>
        <v/>
      </c>
      <c r="F65" s="60" t="str">
        <f>CAD!L28</f>
        <v/>
      </c>
    </row>
    <row r="66" spans="2:6" x14ac:dyDescent="0.3">
      <c r="B66" s="223" t="str">
        <f t="shared" si="7"/>
        <v>Valor da Cota:</v>
      </c>
      <c r="C66" s="224">
        <f>CAD!I8</f>
        <v>1.0861730000000001</v>
      </c>
      <c r="E66" s="223" t="str">
        <f t="shared" si="8"/>
        <v/>
      </c>
      <c r="F66" s="224" t="str">
        <f>CAD!I28</f>
        <v/>
      </c>
    </row>
    <row r="67" spans="2:6" x14ac:dyDescent="0.3">
      <c r="B67" s="223" t="str">
        <f t="shared" si="7"/>
        <v>Quantidade de Cotas:</v>
      </c>
      <c r="C67" s="137">
        <f>CAD!H8</f>
        <v>1000000</v>
      </c>
      <c r="E67" s="223" t="str">
        <f t="shared" si="8"/>
        <v/>
      </c>
      <c r="F67" s="137" t="str">
        <f>CAD!H28</f>
        <v/>
      </c>
    </row>
    <row r="69" spans="2:6" x14ac:dyDescent="0.3">
      <c r="B69" s="138" t="str">
        <f>IF(B70="","","Aplicação 06")</f>
        <v>Aplicação 06</v>
      </c>
      <c r="C69" s="224"/>
      <c r="E69" s="138" t="str">
        <f>IF(E70="","","Aplicação 26")</f>
        <v/>
      </c>
    </row>
    <row r="70" spans="2:6" x14ac:dyDescent="0.3">
      <c r="B70" s="223" t="str">
        <f>IF(CAD!B9="","",B44)</f>
        <v>Segmento:</v>
      </c>
      <c r="C70" s="224" t="str">
        <f>CAD!D9</f>
        <v>Renda Fixa</v>
      </c>
      <c r="E70" s="223" t="str">
        <f>IF(CAD!B29="","",E44)</f>
        <v/>
      </c>
      <c r="F70" s="224" t="str">
        <f>CAD!D29</f>
        <v/>
      </c>
    </row>
    <row r="71" spans="2:6" x14ac:dyDescent="0.3">
      <c r="B71" s="223" t="str">
        <f t="shared" ref="B71:B80" si="9">IF(B70="","",B45)</f>
        <v>Tipo de Ativo:</v>
      </c>
      <c r="C71" s="224" t="str">
        <f>CAD!E9</f>
        <v>FI de Renda Fixa - Art. 7º, IV</v>
      </c>
      <c r="E71" s="223" t="str">
        <f t="shared" ref="E71:E80" si="10">IF(E70="","",E45)</f>
        <v/>
      </c>
      <c r="F71" s="224" t="str">
        <f>CAD!E29</f>
        <v/>
      </c>
    </row>
    <row r="72" spans="2:6" x14ac:dyDescent="0.3">
      <c r="B72" s="223" t="str">
        <f t="shared" si="9"/>
        <v>Instituição Financeira:</v>
      </c>
      <c r="C72" s="224" t="str">
        <f>CAD!F9</f>
        <v>Caixa Econômica Federal</v>
      </c>
      <c r="E72" s="223" t="str">
        <f t="shared" si="10"/>
        <v/>
      </c>
      <c r="F72" s="224" t="str">
        <f>CAD!F29</f>
        <v/>
      </c>
    </row>
    <row r="73" spans="2:6" x14ac:dyDescent="0.3">
      <c r="B73" s="223" t="str">
        <f t="shared" si="9"/>
        <v>CNPJ da Instituição Financeira:</v>
      </c>
      <c r="C73" s="224" t="str">
        <f>CAD!G9</f>
        <v>00.360.305/0001-04</v>
      </c>
      <c r="E73" s="223" t="str">
        <f t="shared" si="10"/>
        <v/>
      </c>
      <c r="F73" s="224" t="str">
        <f>CAD!G29</f>
        <v/>
      </c>
    </row>
    <row r="74" spans="2:6" x14ac:dyDescent="0.3">
      <c r="B74" s="223" t="str">
        <f t="shared" si="9"/>
        <v>Fundo:</v>
      </c>
      <c r="C74" s="224" t="str">
        <f>CAD!B9</f>
        <v>CAIXA BRASIL FI REFERENCIADO DI LP</v>
      </c>
      <c r="E74" s="223" t="str">
        <f t="shared" si="10"/>
        <v/>
      </c>
      <c r="F74" s="224" t="str">
        <f>CAD!B29</f>
        <v/>
      </c>
    </row>
    <row r="75" spans="2:6" x14ac:dyDescent="0.3">
      <c r="B75" s="223" t="str">
        <f t="shared" si="9"/>
        <v>CNPJ do Fundo:</v>
      </c>
      <c r="C75" s="224" t="str">
        <f>CAD!C9</f>
        <v>03.737.206/0001-97</v>
      </c>
      <c r="E75" s="223" t="str">
        <f t="shared" si="10"/>
        <v/>
      </c>
      <c r="F75" s="224" t="str">
        <f>CAD!C29</f>
        <v/>
      </c>
    </row>
    <row r="76" spans="2:6" x14ac:dyDescent="0.3">
      <c r="B76" s="223" t="str">
        <f t="shared" si="9"/>
        <v>Valor Total Atual:</v>
      </c>
      <c r="C76" s="201">
        <f>CAD!J9</f>
        <v>635599.06999999995</v>
      </c>
      <c r="E76" s="223" t="str">
        <f t="shared" si="10"/>
        <v/>
      </c>
      <c r="F76" s="201" t="str">
        <f>CAD!J29</f>
        <v/>
      </c>
    </row>
    <row r="77" spans="2:6" x14ac:dyDescent="0.3">
      <c r="B77" s="223" t="str">
        <f t="shared" si="9"/>
        <v>Patrimônio Líquido do Fundo:</v>
      </c>
      <c r="C77" s="201">
        <f>CAD!K9</f>
        <v>4367781353.9099998</v>
      </c>
      <c r="E77" s="223" t="str">
        <f t="shared" si="10"/>
        <v/>
      </c>
      <c r="F77" s="201" t="str">
        <f>CAD!K29</f>
        <v/>
      </c>
    </row>
    <row r="78" spans="2:6" x14ac:dyDescent="0.3">
      <c r="B78" s="223" t="str">
        <f t="shared" si="9"/>
        <v>% do Patrimônio Líquido do Fundo:</v>
      </c>
      <c r="C78" s="60">
        <f>CAD!L9</f>
        <v>1.4551989179380903E-4</v>
      </c>
      <c r="E78" s="223" t="str">
        <f t="shared" si="10"/>
        <v/>
      </c>
      <c r="F78" s="60" t="str">
        <f>CAD!L29</f>
        <v/>
      </c>
    </row>
    <row r="79" spans="2:6" x14ac:dyDescent="0.3">
      <c r="B79" s="223" t="str">
        <f t="shared" si="9"/>
        <v>Valor da Cota:</v>
      </c>
      <c r="C79" s="224">
        <f>CAD!I9</f>
        <v>2.6786530000000002</v>
      </c>
      <c r="E79" s="223" t="str">
        <f t="shared" si="10"/>
        <v/>
      </c>
      <c r="F79" s="224" t="str">
        <f>CAD!I29</f>
        <v/>
      </c>
    </row>
    <row r="80" spans="2:6" x14ac:dyDescent="0.3">
      <c r="B80" s="223" t="str">
        <f t="shared" si="9"/>
        <v>Quantidade de Cotas:</v>
      </c>
      <c r="C80" s="137">
        <f>CAD!H9</f>
        <v>237283.09340552878</v>
      </c>
      <c r="E80" s="223" t="str">
        <f t="shared" si="10"/>
        <v/>
      </c>
      <c r="F80" s="137" t="str">
        <f>CAD!H29</f>
        <v/>
      </c>
    </row>
    <row r="82" spans="2:6" x14ac:dyDescent="0.3">
      <c r="B82" s="138" t="str">
        <f>IF(B83="","","Aplicação 07")</f>
        <v>Aplicação 07</v>
      </c>
      <c r="E82" s="138" t="str">
        <f>IF(E83="","","Aplicação 27")</f>
        <v/>
      </c>
      <c r="F82" s="223"/>
    </row>
    <row r="83" spans="2:6" x14ac:dyDescent="0.3">
      <c r="B83" s="223" t="str">
        <f>IF(CAD!B10="","",B57)</f>
        <v>Segmento:</v>
      </c>
      <c r="C83" s="224" t="str">
        <f>CAD!D10</f>
        <v>Renda Fixa</v>
      </c>
      <c r="E83" s="223" t="str">
        <f>IF(CAD!B30="","",E57)</f>
        <v/>
      </c>
      <c r="F83" s="224" t="str">
        <f>CAD!D30</f>
        <v/>
      </c>
    </row>
    <row r="84" spans="2:6" x14ac:dyDescent="0.3">
      <c r="B84" s="223" t="str">
        <f t="shared" ref="B84:B93" si="11">IF(B83="","",B58)</f>
        <v>Tipo de Ativo:</v>
      </c>
      <c r="C84" s="224" t="str">
        <f>CAD!E10</f>
        <v>FI 100% títulos TN - Art. 7º, I, "b"</v>
      </c>
      <c r="E84" s="223" t="str">
        <f t="shared" ref="E84:E93" si="12">IF(E83="","",E58)</f>
        <v/>
      </c>
      <c r="F84" s="224" t="str">
        <f>CAD!E30</f>
        <v/>
      </c>
    </row>
    <row r="85" spans="2:6" x14ac:dyDescent="0.3">
      <c r="B85" s="223" t="str">
        <f t="shared" si="11"/>
        <v>Instituição Financeira:</v>
      </c>
      <c r="C85" s="224" t="str">
        <f>CAD!F10</f>
        <v>Caixa Econômica Federal</v>
      </c>
      <c r="E85" s="223" t="str">
        <f t="shared" si="12"/>
        <v/>
      </c>
      <c r="F85" s="224" t="str">
        <f>CAD!F30</f>
        <v/>
      </c>
    </row>
    <row r="86" spans="2:6" x14ac:dyDescent="0.3">
      <c r="B86" s="223" t="str">
        <f t="shared" si="11"/>
        <v>CNPJ da Instituição Financeira:</v>
      </c>
      <c r="C86" s="224" t="str">
        <f>CAD!G10</f>
        <v>00.360.305/0001-04</v>
      </c>
      <c r="E86" s="223" t="str">
        <f t="shared" si="12"/>
        <v/>
      </c>
      <c r="F86" s="224" t="str">
        <f>CAD!G30</f>
        <v/>
      </c>
    </row>
    <row r="87" spans="2:6" x14ac:dyDescent="0.3">
      <c r="B87" s="223" t="str">
        <f t="shared" si="11"/>
        <v>Fundo:</v>
      </c>
      <c r="C87" s="224" t="str">
        <f>CAD!B10</f>
        <v>CAIXA BRASIL IRF-M 1 TÍTULOS PÚBLICOS FI RENDA FIXA</v>
      </c>
      <c r="E87" s="223" t="str">
        <f t="shared" si="12"/>
        <v/>
      </c>
      <c r="F87" s="224" t="str">
        <f>CAD!B30</f>
        <v/>
      </c>
    </row>
    <row r="88" spans="2:6" x14ac:dyDescent="0.3">
      <c r="B88" s="223" t="str">
        <f t="shared" si="11"/>
        <v>CNPJ do Fundo:</v>
      </c>
      <c r="C88" s="224" t="str">
        <f>CAD!C10</f>
        <v>10.740.670/0001-06</v>
      </c>
      <c r="E88" s="223" t="str">
        <f t="shared" si="12"/>
        <v/>
      </c>
      <c r="F88" s="224" t="str">
        <f>CAD!C30</f>
        <v/>
      </c>
    </row>
    <row r="89" spans="2:6" x14ac:dyDescent="0.3">
      <c r="B89" s="223" t="str">
        <f t="shared" si="11"/>
        <v>Valor Total Atual:</v>
      </c>
      <c r="C89" s="201">
        <f>CAD!J10</f>
        <v>2150018.08</v>
      </c>
      <c r="E89" s="223" t="str">
        <f t="shared" si="12"/>
        <v/>
      </c>
      <c r="F89" s="201" t="str">
        <f>CAD!J30</f>
        <v/>
      </c>
    </row>
    <row r="90" spans="2:6" x14ac:dyDescent="0.3">
      <c r="B90" s="223" t="str">
        <f t="shared" si="11"/>
        <v>Patrimônio Líquido do Fundo:</v>
      </c>
      <c r="C90" s="201">
        <f>CAD!K10</f>
        <v>9316344330.1599998</v>
      </c>
      <c r="E90" s="223" t="str">
        <f t="shared" si="12"/>
        <v/>
      </c>
      <c r="F90" s="201" t="str">
        <f>CAD!K30</f>
        <v/>
      </c>
    </row>
    <row r="91" spans="2:6" x14ac:dyDescent="0.3">
      <c r="B91" s="223" t="str">
        <f t="shared" si="11"/>
        <v>% do Patrimônio Líquido do Fundo:</v>
      </c>
      <c r="C91" s="60">
        <f>CAD!L10</f>
        <v>2.3077915583687701E-4</v>
      </c>
      <c r="E91" s="223" t="str">
        <f t="shared" si="12"/>
        <v/>
      </c>
      <c r="F91" s="60" t="str">
        <f>CAD!L30</f>
        <v/>
      </c>
    </row>
    <row r="92" spans="2:6" x14ac:dyDescent="0.3">
      <c r="B92" s="223" t="str">
        <f t="shared" si="11"/>
        <v>Valor da Cota:</v>
      </c>
      <c r="C92" s="224">
        <f>CAD!I10</f>
        <v>1.8128500000000001</v>
      </c>
      <c r="E92" s="223" t="str">
        <f t="shared" si="12"/>
        <v/>
      </c>
      <c r="F92" s="224" t="str">
        <f>CAD!I30</f>
        <v/>
      </c>
    </row>
    <row r="93" spans="2:6" x14ac:dyDescent="0.3">
      <c r="B93" s="223" t="str">
        <f t="shared" si="11"/>
        <v>Quantidade de Cotas:</v>
      </c>
      <c r="C93" s="137">
        <f>CAD!H10</f>
        <v>1185987.853380037</v>
      </c>
      <c r="E93" s="223" t="str">
        <f t="shared" si="12"/>
        <v/>
      </c>
      <c r="F93" s="137" t="str">
        <f>CAD!H30</f>
        <v/>
      </c>
    </row>
    <row r="95" spans="2:6" x14ac:dyDescent="0.3">
      <c r="B95" s="138" t="str">
        <f>IF(B96="","","Aplicação 08")</f>
        <v>Aplicação 08</v>
      </c>
      <c r="C95" s="224"/>
      <c r="E95" s="138" t="str">
        <f>IF(E96="","","Aplicação 28")</f>
        <v/>
      </c>
    </row>
    <row r="96" spans="2:6" x14ac:dyDescent="0.3">
      <c r="B96" s="223" t="str">
        <f>IF(CAD!B11="","",B70)</f>
        <v>Segmento:</v>
      </c>
      <c r="C96" s="224" t="str">
        <f>CAD!D11</f>
        <v>Renda Fixa</v>
      </c>
      <c r="E96" s="223" t="str">
        <f>IF(CAD!B31="","",E70)</f>
        <v/>
      </c>
      <c r="F96" s="224" t="str">
        <f>CAD!D31</f>
        <v/>
      </c>
    </row>
    <row r="97" spans="2:6" x14ac:dyDescent="0.3">
      <c r="B97" s="223" t="str">
        <f t="shared" ref="B97:B106" si="13">IF(B96="","",B71)</f>
        <v>Tipo de Ativo:</v>
      </c>
      <c r="C97" s="224" t="str">
        <f>CAD!E11</f>
        <v>FI 100% títulos TN - Art. 7º, I, "b"</v>
      </c>
      <c r="E97" s="223" t="str">
        <f t="shared" ref="E97:E106" si="14">IF(E96="","",E71)</f>
        <v/>
      </c>
      <c r="F97" s="224" t="str">
        <f>CAD!E31</f>
        <v/>
      </c>
    </row>
    <row r="98" spans="2:6" x14ac:dyDescent="0.3">
      <c r="B98" s="223" t="str">
        <f t="shared" si="13"/>
        <v>Instituição Financeira:</v>
      </c>
      <c r="C98" s="224" t="str">
        <f>CAD!F11</f>
        <v>Caixa Econômica Federal</v>
      </c>
      <c r="E98" s="223" t="str">
        <f t="shared" si="14"/>
        <v/>
      </c>
      <c r="F98" s="224" t="str">
        <f>CAD!F31</f>
        <v/>
      </c>
    </row>
    <row r="99" spans="2:6" x14ac:dyDescent="0.3">
      <c r="B99" s="223" t="str">
        <f t="shared" si="13"/>
        <v>CNPJ da Instituição Financeira:</v>
      </c>
      <c r="C99" s="224" t="str">
        <f>CAD!G11</f>
        <v>00.360.305/0001-04</v>
      </c>
      <c r="E99" s="223" t="str">
        <f t="shared" si="14"/>
        <v/>
      </c>
      <c r="F99" s="224" t="str">
        <f>CAD!G31</f>
        <v/>
      </c>
    </row>
    <row r="100" spans="2:6" x14ac:dyDescent="0.3">
      <c r="B100" s="223" t="str">
        <f t="shared" si="13"/>
        <v>Fundo:</v>
      </c>
      <c r="C100" s="224" t="str">
        <f>CAD!B11</f>
        <v>CAIXA BRASIL IRF-M 1+ TÍTULOS PÚBLICOS FI RENDA FIXA LP</v>
      </c>
      <c r="E100" s="223" t="str">
        <f t="shared" si="14"/>
        <v/>
      </c>
      <c r="F100" s="224" t="str">
        <f>CAD!B31</f>
        <v/>
      </c>
    </row>
    <row r="101" spans="2:6" x14ac:dyDescent="0.3">
      <c r="B101" s="223" t="str">
        <f t="shared" si="13"/>
        <v>CNPJ do Fundo:</v>
      </c>
      <c r="C101" s="224" t="str">
        <f>CAD!C11</f>
        <v>10.577.519/0001-90</v>
      </c>
      <c r="E101" s="223" t="str">
        <f t="shared" si="14"/>
        <v/>
      </c>
      <c r="F101" s="224" t="str">
        <f>CAD!C31</f>
        <v/>
      </c>
    </row>
    <row r="102" spans="2:6" x14ac:dyDescent="0.3">
      <c r="B102" s="223" t="str">
        <f t="shared" si="13"/>
        <v>Valor Total Atual:</v>
      </c>
      <c r="C102" s="201">
        <f>CAD!J11</f>
        <v>0</v>
      </c>
      <c r="E102" s="223" t="str">
        <f t="shared" si="14"/>
        <v/>
      </c>
      <c r="F102" s="201" t="str">
        <f>CAD!J31</f>
        <v/>
      </c>
    </row>
    <row r="103" spans="2:6" x14ac:dyDescent="0.3">
      <c r="B103" s="223" t="str">
        <f t="shared" si="13"/>
        <v>Patrimônio Líquido do Fundo:</v>
      </c>
      <c r="C103" s="201">
        <f>CAD!K11</f>
        <v>164234564.71000001</v>
      </c>
      <c r="E103" s="223" t="str">
        <f t="shared" si="14"/>
        <v/>
      </c>
      <c r="F103" s="201" t="str">
        <f>CAD!K31</f>
        <v/>
      </c>
    </row>
    <row r="104" spans="2:6" x14ac:dyDescent="0.3">
      <c r="B104" s="223" t="str">
        <f t="shared" si="13"/>
        <v>% do Patrimônio Líquido do Fundo:</v>
      </c>
      <c r="C104" s="60">
        <f>CAD!L11</f>
        <v>0</v>
      </c>
      <c r="E104" s="223" t="str">
        <f t="shared" si="14"/>
        <v/>
      </c>
      <c r="F104" s="60" t="str">
        <f>CAD!L31</f>
        <v/>
      </c>
    </row>
    <row r="105" spans="2:6" x14ac:dyDescent="0.3">
      <c r="B105" s="223" t="str">
        <f t="shared" si="13"/>
        <v>Valor da Cota:</v>
      </c>
      <c r="C105" s="224">
        <f>CAD!I11</f>
        <v>1.3819330000000001</v>
      </c>
      <c r="E105" s="223" t="str">
        <f t="shared" si="14"/>
        <v/>
      </c>
      <c r="F105" s="224" t="str">
        <f>CAD!I31</f>
        <v/>
      </c>
    </row>
    <row r="106" spans="2:6" x14ac:dyDescent="0.3">
      <c r="B106" s="223" t="str">
        <f t="shared" si="13"/>
        <v>Quantidade de Cotas:</v>
      </c>
      <c r="C106" s="137">
        <f>CAD!H11</f>
        <v>0</v>
      </c>
      <c r="E106" s="223" t="str">
        <f t="shared" si="14"/>
        <v/>
      </c>
      <c r="F106" s="137" t="str">
        <f>CAD!H31</f>
        <v/>
      </c>
    </row>
    <row r="108" spans="2:6" x14ac:dyDescent="0.3">
      <c r="B108" s="138" t="str">
        <f>IF(B109="","","Aplicação 09")</f>
        <v/>
      </c>
      <c r="E108" s="138" t="str">
        <f>IF(E109="","","Aplicação 29")</f>
        <v/>
      </c>
      <c r="F108" s="223"/>
    </row>
    <row r="109" spans="2:6" x14ac:dyDescent="0.3">
      <c r="B109" s="223" t="str">
        <f>IF(CAD!B12="","",B83)</f>
        <v/>
      </c>
      <c r="C109" s="224" t="str">
        <f>CAD!D12</f>
        <v/>
      </c>
      <c r="E109" s="223" t="str">
        <f>IF(CAD!B32="","",E83)</f>
        <v/>
      </c>
      <c r="F109" s="224" t="str">
        <f>CAD!D32</f>
        <v/>
      </c>
    </row>
    <row r="110" spans="2:6" x14ac:dyDescent="0.3">
      <c r="B110" s="223" t="str">
        <f t="shared" ref="B110:B119" si="15">IF(B109="","",B84)</f>
        <v/>
      </c>
      <c r="C110" s="224" t="str">
        <f>CAD!E12</f>
        <v/>
      </c>
      <c r="E110" s="223" t="str">
        <f t="shared" ref="E110:E119" si="16">IF(E109="","",E84)</f>
        <v/>
      </c>
      <c r="F110" s="224" t="str">
        <f>CAD!E32</f>
        <v/>
      </c>
    </row>
    <row r="111" spans="2:6" x14ac:dyDescent="0.3">
      <c r="B111" s="223" t="str">
        <f t="shared" si="15"/>
        <v/>
      </c>
      <c r="C111" s="224" t="str">
        <f>CAD!F12</f>
        <v/>
      </c>
      <c r="E111" s="223" t="str">
        <f t="shared" si="16"/>
        <v/>
      </c>
      <c r="F111" s="224" t="str">
        <f>CAD!F32</f>
        <v/>
      </c>
    </row>
    <row r="112" spans="2:6" x14ac:dyDescent="0.3">
      <c r="B112" s="223" t="str">
        <f t="shared" si="15"/>
        <v/>
      </c>
      <c r="C112" s="224" t="str">
        <f>CAD!G12</f>
        <v/>
      </c>
      <c r="E112" s="223" t="str">
        <f t="shared" si="16"/>
        <v/>
      </c>
      <c r="F112" s="224" t="str">
        <f>CAD!G32</f>
        <v/>
      </c>
    </row>
    <row r="113" spans="2:6" x14ac:dyDescent="0.3">
      <c r="B113" s="223" t="str">
        <f t="shared" si="15"/>
        <v/>
      </c>
      <c r="C113" s="224" t="str">
        <f>CAD!B12</f>
        <v/>
      </c>
      <c r="E113" s="223" t="str">
        <f t="shared" si="16"/>
        <v/>
      </c>
      <c r="F113" s="224" t="str">
        <f>CAD!B32</f>
        <v/>
      </c>
    </row>
    <row r="114" spans="2:6" x14ac:dyDescent="0.3">
      <c r="B114" s="223" t="str">
        <f t="shared" si="15"/>
        <v/>
      </c>
      <c r="C114" s="224" t="str">
        <f>CAD!C12</f>
        <v/>
      </c>
      <c r="E114" s="223" t="str">
        <f t="shared" si="16"/>
        <v/>
      </c>
      <c r="F114" s="224" t="str">
        <f>CAD!C32</f>
        <v/>
      </c>
    </row>
    <row r="115" spans="2:6" x14ac:dyDescent="0.3">
      <c r="B115" s="223" t="str">
        <f t="shared" si="15"/>
        <v/>
      </c>
      <c r="C115" s="201" t="str">
        <f>CAD!J12</f>
        <v/>
      </c>
      <c r="E115" s="223" t="str">
        <f t="shared" si="16"/>
        <v/>
      </c>
      <c r="F115" s="201" t="str">
        <f>CAD!J32</f>
        <v/>
      </c>
    </row>
    <row r="116" spans="2:6" x14ac:dyDescent="0.3">
      <c r="B116" s="223" t="str">
        <f t="shared" si="15"/>
        <v/>
      </c>
      <c r="C116" s="201" t="str">
        <f>CAD!K12</f>
        <v/>
      </c>
      <c r="E116" s="223" t="str">
        <f t="shared" si="16"/>
        <v/>
      </c>
      <c r="F116" s="201" t="str">
        <f>CAD!K32</f>
        <v/>
      </c>
    </row>
    <row r="117" spans="2:6" x14ac:dyDescent="0.3">
      <c r="B117" s="223" t="str">
        <f t="shared" si="15"/>
        <v/>
      </c>
      <c r="C117" s="60" t="str">
        <f>CAD!L12</f>
        <v/>
      </c>
      <c r="E117" s="223" t="str">
        <f t="shared" si="16"/>
        <v/>
      </c>
      <c r="F117" s="60" t="str">
        <f>CAD!L32</f>
        <v/>
      </c>
    </row>
    <row r="118" spans="2:6" x14ac:dyDescent="0.3">
      <c r="B118" s="223" t="str">
        <f t="shared" si="15"/>
        <v/>
      </c>
      <c r="C118" s="224" t="str">
        <f>CAD!I12</f>
        <v/>
      </c>
      <c r="E118" s="223" t="str">
        <f t="shared" si="16"/>
        <v/>
      </c>
      <c r="F118" s="224" t="str">
        <f>CAD!I32</f>
        <v/>
      </c>
    </row>
    <row r="119" spans="2:6" x14ac:dyDescent="0.3">
      <c r="B119" s="223" t="str">
        <f t="shared" si="15"/>
        <v/>
      </c>
      <c r="C119" s="137" t="str">
        <f>CAD!H12</f>
        <v/>
      </c>
      <c r="E119" s="223" t="str">
        <f t="shared" si="16"/>
        <v/>
      </c>
      <c r="F119" s="137" t="str">
        <f>CAD!H32</f>
        <v/>
      </c>
    </row>
    <row r="121" spans="2:6" x14ac:dyDescent="0.3">
      <c r="B121" s="138" t="str">
        <f>IF(B122="","","Aplicação 10")</f>
        <v/>
      </c>
      <c r="C121" s="224"/>
      <c r="E121" s="138" t="str">
        <f>IF(E122="","","Aplicação 30")</f>
        <v/>
      </c>
    </row>
    <row r="122" spans="2:6" x14ac:dyDescent="0.3">
      <c r="B122" s="223" t="str">
        <f>IF(CAD!B13="","",B96)</f>
        <v/>
      </c>
      <c r="C122" s="224" t="str">
        <f>CAD!D13</f>
        <v/>
      </c>
      <c r="E122" s="223" t="str">
        <f>IF(CAD!B33="","",E96)</f>
        <v/>
      </c>
      <c r="F122" s="224" t="str">
        <f>CAD!D33</f>
        <v/>
      </c>
    </row>
    <row r="123" spans="2:6" x14ac:dyDescent="0.3">
      <c r="B123" s="223" t="str">
        <f t="shared" ref="B123:B132" si="17">IF(B122="","",B97)</f>
        <v/>
      </c>
      <c r="C123" s="224" t="str">
        <f>CAD!E13</f>
        <v/>
      </c>
      <c r="E123" s="223" t="str">
        <f t="shared" ref="E123:E132" si="18">IF(E122="","",E97)</f>
        <v/>
      </c>
      <c r="F123" s="224" t="str">
        <f>CAD!E33</f>
        <v/>
      </c>
    </row>
    <row r="124" spans="2:6" x14ac:dyDescent="0.3">
      <c r="B124" s="223" t="str">
        <f t="shared" si="17"/>
        <v/>
      </c>
      <c r="C124" s="224" t="str">
        <f>CAD!F13</f>
        <v/>
      </c>
      <c r="E124" s="223" t="str">
        <f t="shared" si="18"/>
        <v/>
      </c>
      <c r="F124" s="224" t="str">
        <f>CAD!F33</f>
        <v/>
      </c>
    </row>
    <row r="125" spans="2:6" x14ac:dyDescent="0.3">
      <c r="B125" s="223" t="str">
        <f t="shared" si="17"/>
        <v/>
      </c>
      <c r="C125" s="224" t="str">
        <f>CAD!G13</f>
        <v/>
      </c>
      <c r="E125" s="223" t="str">
        <f t="shared" si="18"/>
        <v/>
      </c>
      <c r="F125" s="224" t="str">
        <f>CAD!G33</f>
        <v/>
      </c>
    </row>
    <row r="126" spans="2:6" x14ac:dyDescent="0.3">
      <c r="B126" s="223" t="str">
        <f t="shared" si="17"/>
        <v/>
      </c>
      <c r="C126" s="224" t="str">
        <f>CAD!B13</f>
        <v/>
      </c>
      <c r="E126" s="223" t="str">
        <f t="shared" si="18"/>
        <v/>
      </c>
      <c r="F126" s="224" t="str">
        <f>CAD!B33</f>
        <v/>
      </c>
    </row>
    <row r="127" spans="2:6" x14ac:dyDescent="0.3">
      <c r="B127" s="223" t="str">
        <f t="shared" si="17"/>
        <v/>
      </c>
      <c r="C127" s="224" t="str">
        <f>CAD!C13</f>
        <v/>
      </c>
      <c r="E127" s="223" t="str">
        <f t="shared" si="18"/>
        <v/>
      </c>
      <c r="F127" s="224" t="str">
        <f>CAD!C33</f>
        <v/>
      </c>
    </row>
    <row r="128" spans="2:6" x14ac:dyDescent="0.3">
      <c r="B128" s="223" t="str">
        <f t="shared" si="17"/>
        <v/>
      </c>
      <c r="C128" s="201" t="str">
        <f>CAD!J13</f>
        <v/>
      </c>
      <c r="E128" s="223" t="str">
        <f t="shared" si="18"/>
        <v/>
      </c>
      <c r="F128" s="201" t="str">
        <f>CAD!J33</f>
        <v/>
      </c>
    </row>
    <row r="129" spans="2:6" x14ac:dyDescent="0.3">
      <c r="B129" s="223" t="str">
        <f t="shared" si="17"/>
        <v/>
      </c>
      <c r="C129" s="201" t="str">
        <f>CAD!K13</f>
        <v/>
      </c>
      <c r="E129" s="223" t="str">
        <f t="shared" si="18"/>
        <v/>
      </c>
      <c r="F129" s="201" t="str">
        <f>CAD!K33</f>
        <v/>
      </c>
    </row>
    <row r="130" spans="2:6" x14ac:dyDescent="0.3">
      <c r="B130" s="223" t="str">
        <f t="shared" si="17"/>
        <v/>
      </c>
      <c r="C130" s="60" t="str">
        <f>CAD!L13</f>
        <v/>
      </c>
      <c r="E130" s="223" t="str">
        <f t="shared" si="18"/>
        <v/>
      </c>
      <c r="F130" s="60" t="str">
        <f>CAD!L33</f>
        <v/>
      </c>
    </row>
    <row r="131" spans="2:6" x14ac:dyDescent="0.3">
      <c r="B131" s="223" t="str">
        <f t="shared" si="17"/>
        <v/>
      </c>
      <c r="C131" s="224" t="str">
        <f>CAD!I13</f>
        <v/>
      </c>
      <c r="E131" s="223" t="str">
        <f t="shared" si="18"/>
        <v/>
      </c>
      <c r="F131" s="224" t="str">
        <f>CAD!I33</f>
        <v/>
      </c>
    </row>
    <row r="132" spans="2:6" x14ac:dyDescent="0.3">
      <c r="B132" s="223" t="str">
        <f t="shared" si="17"/>
        <v/>
      </c>
      <c r="C132" s="137" t="str">
        <f>CAD!H13</f>
        <v/>
      </c>
      <c r="E132" s="223" t="str">
        <f t="shared" si="18"/>
        <v/>
      </c>
      <c r="F132" s="137" t="str">
        <f>CAD!H33</f>
        <v/>
      </c>
    </row>
    <row r="134" spans="2:6" x14ac:dyDescent="0.3">
      <c r="B134" s="138" t="str">
        <f>IF(B135="","","Aplicação 11")</f>
        <v/>
      </c>
      <c r="E134" s="138" t="str">
        <f>IF(E135="","","Aplicação 31")</f>
        <v/>
      </c>
      <c r="F134" s="223"/>
    </row>
    <row r="135" spans="2:6" x14ac:dyDescent="0.3">
      <c r="B135" s="223" t="str">
        <f>IF(CAD!B14="","",B109)</f>
        <v/>
      </c>
      <c r="C135" s="224" t="str">
        <f>CAD!D14</f>
        <v/>
      </c>
      <c r="E135" s="223" t="str">
        <f>IF(CAD!B34="","",E109)</f>
        <v/>
      </c>
      <c r="F135" s="224" t="str">
        <f>CAD!D34</f>
        <v/>
      </c>
    </row>
    <row r="136" spans="2:6" x14ac:dyDescent="0.3">
      <c r="B136" s="223" t="str">
        <f t="shared" ref="B136:B145" si="19">IF(B135="","",B110)</f>
        <v/>
      </c>
      <c r="C136" s="224" t="str">
        <f>CAD!E14</f>
        <v/>
      </c>
      <c r="E136" s="223" t="str">
        <f t="shared" ref="E136:E145" si="20">IF(E135="","",E110)</f>
        <v/>
      </c>
      <c r="F136" s="224" t="str">
        <f>CAD!E34</f>
        <v/>
      </c>
    </row>
    <row r="137" spans="2:6" x14ac:dyDescent="0.3">
      <c r="B137" s="223" t="str">
        <f t="shared" si="19"/>
        <v/>
      </c>
      <c r="C137" s="224" t="str">
        <f>CAD!F14</f>
        <v/>
      </c>
      <c r="E137" s="223" t="str">
        <f t="shared" si="20"/>
        <v/>
      </c>
      <c r="F137" s="224" t="str">
        <f>CAD!F34</f>
        <v/>
      </c>
    </row>
    <row r="138" spans="2:6" x14ac:dyDescent="0.3">
      <c r="B138" s="223" t="str">
        <f t="shared" si="19"/>
        <v/>
      </c>
      <c r="C138" s="224" t="str">
        <f>CAD!G14</f>
        <v/>
      </c>
      <c r="E138" s="223" t="str">
        <f t="shared" si="20"/>
        <v/>
      </c>
      <c r="F138" s="224" t="str">
        <f>CAD!G34</f>
        <v/>
      </c>
    </row>
    <row r="139" spans="2:6" x14ac:dyDescent="0.3">
      <c r="B139" s="223" t="str">
        <f t="shared" si="19"/>
        <v/>
      </c>
      <c r="C139" s="224" t="str">
        <f>CAD!B14</f>
        <v/>
      </c>
      <c r="E139" s="223" t="str">
        <f t="shared" si="20"/>
        <v/>
      </c>
      <c r="F139" s="224" t="str">
        <f>CAD!B34</f>
        <v/>
      </c>
    </row>
    <row r="140" spans="2:6" x14ac:dyDescent="0.3">
      <c r="B140" s="223" t="str">
        <f t="shared" si="19"/>
        <v/>
      </c>
      <c r="C140" s="224" t="str">
        <f>CAD!C14</f>
        <v/>
      </c>
      <c r="E140" s="223" t="str">
        <f t="shared" si="20"/>
        <v/>
      </c>
      <c r="F140" s="224" t="str">
        <f>CAD!C34</f>
        <v/>
      </c>
    </row>
    <row r="141" spans="2:6" x14ac:dyDescent="0.3">
      <c r="B141" s="223" t="str">
        <f t="shared" si="19"/>
        <v/>
      </c>
      <c r="C141" s="201" t="str">
        <f>CAD!J14</f>
        <v/>
      </c>
      <c r="E141" s="223" t="str">
        <f t="shared" si="20"/>
        <v/>
      </c>
      <c r="F141" s="201" t="str">
        <f>CAD!J34</f>
        <v/>
      </c>
    </row>
    <row r="142" spans="2:6" x14ac:dyDescent="0.3">
      <c r="B142" s="223" t="str">
        <f t="shared" si="19"/>
        <v/>
      </c>
      <c r="C142" s="201" t="str">
        <f>CAD!K14</f>
        <v/>
      </c>
      <c r="E142" s="223" t="str">
        <f t="shared" si="20"/>
        <v/>
      </c>
      <c r="F142" s="201" t="str">
        <f>CAD!K34</f>
        <v/>
      </c>
    </row>
    <row r="143" spans="2:6" x14ac:dyDescent="0.3">
      <c r="B143" s="223" t="str">
        <f t="shared" si="19"/>
        <v/>
      </c>
      <c r="C143" s="60" t="str">
        <f>CAD!L14</f>
        <v/>
      </c>
      <c r="E143" s="223" t="str">
        <f t="shared" si="20"/>
        <v/>
      </c>
      <c r="F143" s="60" t="str">
        <f>CAD!L34</f>
        <v/>
      </c>
    </row>
    <row r="144" spans="2:6" x14ac:dyDescent="0.3">
      <c r="B144" s="223" t="str">
        <f t="shared" si="19"/>
        <v/>
      </c>
      <c r="C144" s="224" t="str">
        <f>CAD!I14</f>
        <v/>
      </c>
      <c r="E144" s="223" t="str">
        <f t="shared" si="20"/>
        <v/>
      </c>
      <c r="F144" s="224" t="str">
        <f>CAD!I34</f>
        <v/>
      </c>
    </row>
    <row r="145" spans="2:6" x14ac:dyDescent="0.3">
      <c r="B145" s="223" t="str">
        <f t="shared" si="19"/>
        <v/>
      </c>
      <c r="C145" s="137" t="str">
        <f>CAD!H14</f>
        <v/>
      </c>
      <c r="E145" s="223" t="str">
        <f t="shared" si="20"/>
        <v/>
      </c>
      <c r="F145" s="137" t="str">
        <f>CAD!H34</f>
        <v/>
      </c>
    </row>
    <row r="147" spans="2:6" x14ac:dyDescent="0.3">
      <c r="B147" s="138" t="str">
        <f>IF(B148="","","Aplicação 12")</f>
        <v/>
      </c>
      <c r="C147" s="224"/>
      <c r="E147" s="138" t="str">
        <f>IF(E148="","","Aplicação 32")</f>
        <v/>
      </c>
    </row>
    <row r="148" spans="2:6" x14ac:dyDescent="0.3">
      <c r="B148" s="223" t="str">
        <f>IF(CAD!B15="","",B122)</f>
        <v/>
      </c>
      <c r="C148" s="224" t="str">
        <f>CAD!D15</f>
        <v/>
      </c>
      <c r="E148" s="223" t="str">
        <f>IF(CAD!B35="","",E122)</f>
        <v/>
      </c>
      <c r="F148" s="224" t="str">
        <f>CAD!D35</f>
        <v/>
      </c>
    </row>
    <row r="149" spans="2:6" x14ac:dyDescent="0.3">
      <c r="B149" s="223" t="str">
        <f t="shared" ref="B149:B158" si="21">IF(B148="","",B123)</f>
        <v/>
      </c>
      <c r="C149" s="224" t="str">
        <f>CAD!E15</f>
        <v/>
      </c>
      <c r="E149" s="223" t="str">
        <f t="shared" ref="E149:E158" si="22">IF(E148="","",E123)</f>
        <v/>
      </c>
      <c r="F149" s="224" t="str">
        <f>CAD!E35</f>
        <v/>
      </c>
    </row>
    <row r="150" spans="2:6" x14ac:dyDescent="0.3">
      <c r="B150" s="223" t="str">
        <f t="shared" si="21"/>
        <v/>
      </c>
      <c r="C150" s="224" t="str">
        <f>CAD!F15</f>
        <v/>
      </c>
      <c r="E150" s="223" t="str">
        <f t="shared" si="22"/>
        <v/>
      </c>
      <c r="F150" s="224" t="str">
        <f>CAD!F35</f>
        <v/>
      </c>
    </row>
    <row r="151" spans="2:6" x14ac:dyDescent="0.3">
      <c r="B151" s="223" t="str">
        <f t="shared" si="21"/>
        <v/>
      </c>
      <c r="C151" s="224" t="str">
        <f>CAD!G15</f>
        <v/>
      </c>
      <c r="E151" s="223" t="str">
        <f t="shared" si="22"/>
        <v/>
      </c>
      <c r="F151" s="224" t="str">
        <f>CAD!G35</f>
        <v/>
      </c>
    </row>
    <row r="152" spans="2:6" x14ac:dyDescent="0.3">
      <c r="B152" s="223" t="str">
        <f t="shared" si="21"/>
        <v/>
      </c>
      <c r="C152" s="224" t="str">
        <f>CAD!B15</f>
        <v/>
      </c>
      <c r="E152" s="223" t="str">
        <f t="shared" si="22"/>
        <v/>
      </c>
      <c r="F152" s="224" t="str">
        <f>CAD!B35</f>
        <v/>
      </c>
    </row>
    <row r="153" spans="2:6" x14ac:dyDescent="0.3">
      <c r="B153" s="223" t="str">
        <f t="shared" si="21"/>
        <v/>
      </c>
      <c r="C153" s="224" t="str">
        <f>CAD!C15</f>
        <v/>
      </c>
      <c r="E153" s="223" t="str">
        <f t="shared" si="22"/>
        <v/>
      </c>
      <c r="F153" s="224" t="str">
        <f>CAD!C35</f>
        <v/>
      </c>
    </row>
    <row r="154" spans="2:6" x14ac:dyDescent="0.3">
      <c r="B154" s="223" t="str">
        <f t="shared" si="21"/>
        <v/>
      </c>
      <c r="C154" s="201" t="str">
        <f>CAD!J15</f>
        <v/>
      </c>
      <c r="E154" s="223" t="str">
        <f t="shared" si="22"/>
        <v/>
      </c>
      <c r="F154" s="201" t="str">
        <f>CAD!J35</f>
        <v/>
      </c>
    </row>
    <row r="155" spans="2:6" x14ac:dyDescent="0.3">
      <c r="B155" s="223" t="str">
        <f t="shared" si="21"/>
        <v/>
      </c>
      <c r="C155" s="201" t="str">
        <f>CAD!K15</f>
        <v/>
      </c>
      <c r="E155" s="223" t="str">
        <f t="shared" si="22"/>
        <v/>
      </c>
      <c r="F155" s="201" t="str">
        <f>CAD!K35</f>
        <v/>
      </c>
    </row>
    <row r="156" spans="2:6" x14ac:dyDescent="0.3">
      <c r="B156" s="223" t="str">
        <f t="shared" si="21"/>
        <v/>
      </c>
      <c r="C156" s="60" t="str">
        <f>CAD!L15</f>
        <v/>
      </c>
      <c r="E156" s="223" t="str">
        <f t="shared" si="22"/>
        <v/>
      </c>
      <c r="F156" s="60" t="str">
        <f>CAD!L35</f>
        <v/>
      </c>
    </row>
    <row r="157" spans="2:6" x14ac:dyDescent="0.3">
      <c r="B157" s="223" t="str">
        <f t="shared" si="21"/>
        <v/>
      </c>
      <c r="C157" s="224" t="str">
        <f>CAD!I15</f>
        <v/>
      </c>
      <c r="E157" s="223" t="str">
        <f t="shared" si="22"/>
        <v/>
      </c>
      <c r="F157" s="224" t="str">
        <f>CAD!I35</f>
        <v/>
      </c>
    </row>
    <row r="158" spans="2:6" x14ac:dyDescent="0.3">
      <c r="B158" s="223" t="str">
        <f t="shared" si="21"/>
        <v/>
      </c>
      <c r="C158" s="137" t="str">
        <f>CAD!H15</f>
        <v/>
      </c>
      <c r="E158" s="223" t="str">
        <f t="shared" si="22"/>
        <v/>
      </c>
      <c r="F158" s="137" t="str">
        <f>CAD!H35</f>
        <v/>
      </c>
    </row>
    <row r="159" spans="2:6" x14ac:dyDescent="0.3">
      <c r="C159" s="137"/>
      <c r="F159" s="137"/>
    </row>
    <row r="161" spans="2:6" x14ac:dyDescent="0.3">
      <c r="B161" s="138" t="str">
        <f>IF(B162="","","Aplicação 13")</f>
        <v/>
      </c>
      <c r="E161" s="138" t="str">
        <f>IF(E162="","","Aplicação 33")</f>
        <v/>
      </c>
      <c r="F161" s="223"/>
    </row>
    <row r="162" spans="2:6" x14ac:dyDescent="0.3">
      <c r="B162" s="223" t="str">
        <f>IF(CAD!B16="","",B135)</f>
        <v/>
      </c>
      <c r="C162" s="224" t="str">
        <f>CAD!D16</f>
        <v/>
      </c>
      <c r="E162" s="223" t="str">
        <f>IF(CAD!B36="","",E135)</f>
        <v/>
      </c>
      <c r="F162" s="224" t="str">
        <f>CAD!D36</f>
        <v/>
      </c>
    </row>
    <row r="163" spans="2:6" x14ac:dyDescent="0.3">
      <c r="B163" s="223" t="str">
        <f t="shared" ref="B163:B172" si="23">IF(B162="","",B136)</f>
        <v/>
      </c>
      <c r="C163" s="224" t="str">
        <f>CAD!E16</f>
        <v/>
      </c>
      <c r="E163" s="223" t="str">
        <f t="shared" ref="E163:E172" si="24">IF(E162="","",E136)</f>
        <v/>
      </c>
      <c r="F163" s="224" t="str">
        <f>CAD!E36</f>
        <v/>
      </c>
    </row>
    <row r="164" spans="2:6" x14ac:dyDescent="0.3">
      <c r="B164" s="223" t="str">
        <f t="shared" si="23"/>
        <v/>
      </c>
      <c r="C164" s="224" t="str">
        <f>CAD!F16</f>
        <v/>
      </c>
      <c r="E164" s="223" t="str">
        <f t="shared" si="24"/>
        <v/>
      </c>
      <c r="F164" s="224" t="str">
        <f>CAD!F36</f>
        <v/>
      </c>
    </row>
    <row r="165" spans="2:6" x14ac:dyDescent="0.3">
      <c r="B165" s="223" t="str">
        <f t="shared" si="23"/>
        <v/>
      </c>
      <c r="C165" s="224" t="str">
        <f>CAD!G16</f>
        <v/>
      </c>
      <c r="E165" s="223" t="str">
        <f t="shared" si="24"/>
        <v/>
      </c>
      <c r="F165" s="224" t="str">
        <f>CAD!G36</f>
        <v/>
      </c>
    </row>
    <row r="166" spans="2:6" x14ac:dyDescent="0.3">
      <c r="B166" s="223" t="str">
        <f t="shared" si="23"/>
        <v/>
      </c>
      <c r="C166" s="224" t="str">
        <f>CAD!B16</f>
        <v/>
      </c>
      <c r="E166" s="223" t="str">
        <f t="shared" si="24"/>
        <v/>
      </c>
      <c r="F166" s="224" t="str">
        <f>CAD!B36</f>
        <v/>
      </c>
    </row>
    <row r="167" spans="2:6" x14ac:dyDescent="0.3">
      <c r="B167" s="223" t="str">
        <f t="shared" si="23"/>
        <v/>
      </c>
      <c r="C167" s="224" t="str">
        <f>CAD!C16</f>
        <v/>
      </c>
      <c r="E167" s="223" t="str">
        <f t="shared" si="24"/>
        <v/>
      </c>
      <c r="F167" s="224" t="str">
        <f>CAD!C36</f>
        <v/>
      </c>
    </row>
    <row r="168" spans="2:6" x14ac:dyDescent="0.3">
      <c r="B168" s="223" t="str">
        <f t="shared" si="23"/>
        <v/>
      </c>
      <c r="C168" s="201" t="str">
        <f>CAD!J16</f>
        <v/>
      </c>
      <c r="E168" s="223" t="str">
        <f t="shared" si="24"/>
        <v/>
      </c>
      <c r="F168" s="201" t="str">
        <f>CAD!J36</f>
        <v/>
      </c>
    </row>
    <row r="169" spans="2:6" x14ac:dyDescent="0.3">
      <c r="B169" s="223" t="str">
        <f t="shared" si="23"/>
        <v/>
      </c>
      <c r="C169" s="201" t="str">
        <f>CAD!K16</f>
        <v/>
      </c>
      <c r="E169" s="223" t="str">
        <f t="shared" si="24"/>
        <v/>
      </c>
      <c r="F169" s="201" t="str">
        <f>CAD!K36</f>
        <v/>
      </c>
    </row>
    <row r="170" spans="2:6" x14ac:dyDescent="0.3">
      <c r="B170" s="223" t="str">
        <f t="shared" si="23"/>
        <v/>
      </c>
      <c r="C170" s="60" t="str">
        <f>CAD!L16</f>
        <v/>
      </c>
      <c r="E170" s="223" t="str">
        <f t="shared" si="24"/>
        <v/>
      </c>
      <c r="F170" s="60" t="str">
        <f>CAD!L36</f>
        <v/>
      </c>
    </row>
    <row r="171" spans="2:6" x14ac:dyDescent="0.3">
      <c r="B171" s="223" t="str">
        <f t="shared" si="23"/>
        <v/>
      </c>
      <c r="C171" s="224" t="str">
        <f>CAD!I16</f>
        <v/>
      </c>
      <c r="E171" s="223" t="str">
        <f t="shared" si="24"/>
        <v/>
      </c>
      <c r="F171" s="224" t="str">
        <f>CAD!I36</f>
        <v/>
      </c>
    </row>
    <row r="172" spans="2:6" x14ac:dyDescent="0.3">
      <c r="B172" s="223" t="str">
        <f t="shared" si="23"/>
        <v/>
      </c>
      <c r="C172" s="137" t="str">
        <f>CAD!H16</f>
        <v/>
      </c>
      <c r="E172" s="223" t="str">
        <f t="shared" si="24"/>
        <v/>
      </c>
      <c r="F172" s="137" t="str">
        <f>CAD!H36</f>
        <v/>
      </c>
    </row>
    <row r="174" spans="2:6" x14ac:dyDescent="0.3">
      <c r="B174" s="138" t="str">
        <f>IF(B175="","","Aplicação 14")</f>
        <v/>
      </c>
      <c r="C174" s="224"/>
      <c r="E174" s="138" t="str">
        <f>IF(E175="","","Aplicação 34")</f>
        <v/>
      </c>
    </row>
    <row r="175" spans="2:6" x14ac:dyDescent="0.3">
      <c r="B175" s="223" t="str">
        <f>IF(CAD!B17="","",B148)</f>
        <v/>
      </c>
      <c r="C175" s="224" t="str">
        <f>CAD!D17</f>
        <v/>
      </c>
      <c r="E175" s="223" t="str">
        <f>IF(CAD!B37="","",E148)</f>
        <v/>
      </c>
      <c r="F175" s="224" t="str">
        <f>CAD!D37</f>
        <v/>
      </c>
    </row>
    <row r="176" spans="2:6" x14ac:dyDescent="0.3">
      <c r="B176" s="223" t="str">
        <f t="shared" ref="B176:B185" si="25">IF(B175="","",B149)</f>
        <v/>
      </c>
      <c r="C176" s="224" t="str">
        <f>CAD!E17</f>
        <v/>
      </c>
      <c r="E176" s="223" t="str">
        <f t="shared" ref="E176:E185" si="26">IF(E175="","",E149)</f>
        <v/>
      </c>
      <c r="F176" s="224" t="str">
        <f>CAD!E37</f>
        <v/>
      </c>
    </row>
    <row r="177" spans="2:6" x14ac:dyDescent="0.3">
      <c r="B177" s="223" t="str">
        <f t="shared" si="25"/>
        <v/>
      </c>
      <c r="C177" s="224" t="str">
        <f>CAD!F17</f>
        <v/>
      </c>
      <c r="E177" s="223" t="str">
        <f t="shared" si="26"/>
        <v/>
      </c>
      <c r="F177" s="224" t="str">
        <f>CAD!F37</f>
        <v/>
      </c>
    </row>
    <row r="178" spans="2:6" x14ac:dyDescent="0.3">
      <c r="B178" s="223" t="str">
        <f t="shared" si="25"/>
        <v/>
      </c>
      <c r="C178" s="224" t="str">
        <f>CAD!G17</f>
        <v/>
      </c>
      <c r="E178" s="223" t="str">
        <f t="shared" si="26"/>
        <v/>
      </c>
      <c r="F178" s="224" t="str">
        <f>CAD!G37</f>
        <v/>
      </c>
    </row>
    <row r="179" spans="2:6" x14ac:dyDescent="0.3">
      <c r="B179" s="223" t="str">
        <f t="shared" si="25"/>
        <v/>
      </c>
      <c r="C179" s="224" t="str">
        <f>CAD!B17</f>
        <v/>
      </c>
      <c r="E179" s="223" t="str">
        <f t="shared" si="26"/>
        <v/>
      </c>
      <c r="F179" s="224" t="str">
        <f>CAD!B37</f>
        <v/>
      </c>
    </row>
    <row r="180" spans="2:6" x14ac:dyDescent="0.3">
      <c r="B180" s="223" t="str">
        <f t="shared" si="25"/>
        <v/>
      </c>
      <c r="C180" s="224" t="str">
        <f>CAD!C17</f>
        <v/>
      </c>
      <c r="E180" s="223" t="str">
        <f t="shared" si="26"/>
        <v/>
      </c>
      <c r="F180" s="224" t="str">
        <f>CAD!C37</f>
        <v/>
      </c>
    </row>
    <row r="181" spans="2:6" x14ac:dyDescent="0.3">
      <c r="B181" s="223" t="str">
        <f t="shared" si="25"/>
        <v/>
      </c>
      <c r="C181" s="201" t="str">
        <f>CAD!J17</f>
        <v/>
      </c>
      <c r="E181" s="223" t="str">
        <f t="shared" si="26"/>
        <v/>
      </c>
      <c r="F181" s="201" t="str">
        <f>CAD!J37</f>
        <v/>
      </c>
    </row>
    <row r="182" spans="2:6" x14ac:dyDescent="0.3">
      <c r="B182" s="223" t="str">
        <f t="shared" si="25"/>
        <v/>
      </c>
      <c r="C182" s="201" t="str">
        <f>CAD!K17</f>
        <v/>
      </c>
      <c r="E182" s="223" t="str">
        <f t="shared" si="26"/>
        <v/>
      </c>
      <c r="F182" s="201" t="str">
        <f>CAD!K37</f>
        <v/>
      </c>
    </row>
    <row r="183" spans="2:6" x14ac:dyDescent="0.3">
      <c r="B183" s="223" t="str">
        <f t="shared" si="25"/>
        <v/>
      </c>
      <c r="C183" s="60" t="str">
        <f>CAD!L17</f>
        <v/>
      </c>
      <c r="E183" s="223" t="str">
        <f t="shared" si="26"/>
        <v/>
      </c>
      <c r="F183" s="60" t="str">
        <f>CAD!L37</f>
        <v/>
      </c>
    </row>
    <row r="184" spans="2:6" x14ac:dyDescent="0.3">
      <c r="B184" s="223" t="str">
        <f t="shared" si="25"/>
        <v/>
      </c>
      <c r="C184" s="224" t="str">
        <f>CAD!I17</f>
        <v/>
      </c>
      <c r="E184" s="223" t="str">
        <f t="shared" si="26"/>
        <v/>
      </c>
      <c r="F184" s="224" t="str">
        <f>CAD!I37</f>
        <v/>
      </c>
    </row>
    <row r="185" spans="2:6" x14ac:dyDescent="0.3">
      <c r="B185" s="223" t="str">
        <f t="shared" si="25"/>
        <v/>
      </c>
      <c r="C185" s="137" t="str">
        <f>CAD!H17</f>
        <v/>
      </c>
      <c r="E185" s="223" t="str">
        <f t="shared" si="26"/>
        <v/>
      </c>
      <c r="F185" s="137" t="str">
        <f>CAD!H37</f>
        <v/>
      </c>
    </row>
    <row r="187" spans="2:6" x14ac:dyDescent="0.3">
      <c r="B187" s="138" t="str">
        <f>IF(B188="","","Aplicação 15")</f>
        <v/>
      </c>
      <c r="E187" s="138" t="str">
        <f>IF(E188="","","Aplicação 35")</f>
        <v/>
      </c>
      <c r="F187" s="223"/>
    </row>
    <row r="188" spans="2:6" x14ac:dyDescent="0.3">
      <c r="B188" s="223" t="str">
        <f>IF(CAD!B18="","",B162)</f>
        <v/>
      </c>
      <c r="C188" s="224" t="str">
        <f>CAD!D18</f>
        <v/>
      </c>
      <c r="E188" s="223" t="str">
        <f>IF(CAD!B38="","",E162)</f>
        <v/>
      </c>
      <c r="F188" s="224" t="str">
        <f>CAD!D38</f>
        <v/>
      </c>
    </row>
    <row r="189" spans="2:6" x14ac:dyDescent="0.3">
      <c r="B189" s="223" t="str">
        <f t="shared" ref="B189:B198" si="27">IF(B188="","",B163)</f>
        <v/>
      </c>
      <c r="C189" s="224" t="str">
        <f>CAD!E18</f>
        <v/>
      </c>
      <c r="E189" s="223" t="str">
        <f t="shared" ref="E189:E198" si="28">IF(E188="","",E163)</f>
        <v/>
      </c>
      <c r="F189" s="224" t="str">
        <f>CAD!E38</f>
        <v/>
      </c>
    </row>
    <row r="190" spans="2:6" x14ac:dyDescent="0.3">
      <c r="B190" s="223" t="str">
        <f t="shared" si="27"/>
        <v/>
      </c>
      <c r="C190" s="224" t="str">
        <f>CAD!F18</f>
        <v/>
      </c>
      <c r="E190" s="223" t="str">
        <f t="shared" si="28"/>
        <v/>
      </c>
      <c r="F190" s="224" t="str">
        <f>CAD!F38</f>
        <v/>
      </c>
    </row>
    <row r="191" spans="2:6" x14ac:dyDescent="0.3">
      <c r="B191" s="223" t="str">
        <f t="shared" si="27"/>
        <v/>
      </c>
      <c r="C191" s="224" t="str">
        <f>CAD!G18</f>
        <v/>
      </c>
      <c r="E191" s="223" t="str">
        <f t="shared" si="28"/>
        <v/>
      </c>
      <c r="F191" s="224" t="str">
        <f>CAD!G38</f>
        <v/>
      </c>
    </row>
    <row r="192" spans="2:6" x14ac:dyDescent="0.3">
      <c r="B192" s="223" t="str">
        <f t="shared" si="27"/>
        <v/>
      </c>
      <c r="C192" s="224" t="str">
        <f>CAD!B18</f>
        <v/>
      </c>
      <c r="E192" s="223" t="str">
        <f t="shared" si="28"/>
        <v/>
      </c>
      <c r="F192" s="224" t="str">
        <f>CAD!B38</f>
        <v/>
      </c>
    </row>
    <row r="193" spans="2:6" x14ac:dyDescent="0.3">
      <c r="B193" s="223" t="str">
        <f t="shared" si="27"/>
        <v/>
      </c>
      <c r="C193" s="224" t="str">
        <f>CAD!C18</f>
        <v/>
      </c>
      <c r="E193" s="223" t="str">
        <f t="shared" si="28"/>
        <v/>
      </c>
      <c r="F193" s="224" t="str">
        <f>CAD!C38</f>
        <v/>
      </c>
    </row>
    <row r="194" spans="2:6" x14ac:dyDescent="0.3">
      <c r="B194" s="223" t="str">
        <f t="shared" si="27"/>
        <v/>
      </c>
      <c r="C194" s="201" t="str">
        <f>CAD!J18</f>
        <v/>
      </c>
      <c r="E194" s="223" t="str">
        <f t="shared" si="28"/>
        <v/>
      </c>
      <c r="F194" s="201" t="str">
        <f>CAD!J38</f>
        <v/>
      </c>
    </row>
    <row r="195" spans="2:6" x14ac:dyDescent="0.3">
      <c r="B195" s="223" t="str">
        <f t="shared" si="27"/>
        <v/>
      </c>
      <c r="C195" s="201" t="str">
        <f>CAD!K18</f>
        <v/>
      </c>
      <c r="E195" s="223" t="str">
        <f t="shared" si="28"/>
        <v/>
      </c>
      <c r="F195" s="201" t="str">
        <f>CAD!K38</f>
        <v/>
      </c>
    </row>
    <row r="196" spans="2:6" x14ac:dyDescent="0.3">
      <c r="B196" s="223" t="str">
        <f t="shared" si="27"/>
        <v/>
      </c>
      <c r="C196" s="60" t="str">
        <f>CAD!L18</f>
        <v/>
      </c>
      <c r="E196" s="223" t="str">
        <f t="shared" si="28"/>
        <v/>
      </c>
      <c r="F196" s="60" t="str">
        <f>CAD!L38</f>
        <v/>
      </c>
    </row>
    <row r="197" spans="2:6" x14ac:dyDescent="0.3">
      <c r="B197" s="223" t="str">
        <f t="shared" si="27"/>
        <v/>
      </c>
      <c r="C197" s="224" t="str">
        <f>CAD!I18</f>
        <v/>
      </c>
      <c r="E197" s="223" t="str">
        <f t="shared" si="28"/>
        <v/>
      </c>
      <c r="F197" s="224" t="str">
        <f>CAD!I38</f>
        <v/>
      </c>
    </row>
    <row r="198" spans="2:6" x14ac:dyDescent="0.3">
      <c r="B198" s="223" t="str">
        <f t="shared" si="27"/>
        <v/>
      </c>
      <c r="C198" s="137" t="str">
        <f>CAD!H18</f>
        <v/>
      </c>
      <c r="E198" s="223" t="str">
        <f t="shared" si="28"/>
        <v/>
      </c>
      <c r="F198" s="137" t="str">
        <f>CAD!H38</f>
        <v/>
      </c>
    </row>
    <row r="200" spans="2:6" x14ac:dyDescent="0.3">
      <c r="B200" s="138" t="str">
        <f>IF(B201="","","Aplicação 16")</f>
        <v/>
      </c>
      <c r="C200" s="224"/>
      <c r="E200" s="138" t="str">
        <f>IF(E201="","","Aplicação 36")</f>
        <v/>
      </c>
    </row>
    <row r="201" spans="2:6" x14ac:dyDescent="0.3">
      <c r="B201" s="223" t="str">
        <f>IF(CAD!B19="","",B175)</f>
        <v/>
      </c>
      <c r="C201" s="224" t="str">
        <f>CAD!D19</f>
        <v/>
      </c>
      <c r="E201" s="223" t="str">
        <f>IF(CAD!B39="","",E175)</f>
        <v/>
      </c>
      <c r="F201" s="224" t="str">
        <f>CAD!D39</f>
        <v/>
      </c>
    </row>
    <row r="202" spans="2:6" x14ac:dyDescent="0.3">
      <c r="B202" s="223" t="str">
        <f t="shared" ref="B202:B211" si="29">IF(B201="","",B176)</f>
        <v/>
      </c>
      <c r="C202" s="224" t="str">
        <f>CAD!E19</f>
        <v/>
      </c>
      <c r="E202" s="223" t="str">
        <f t="shared" ref="E202:E211" si="30">IF(E201="","",E176)</f>
        <v/>
      </c>
      <c r="F202" s="224" t="str">
        <f>CAD!E39</f>
        <v/>
      </c>
    </row>
    <row r="203" spans="2:6" x14ac:dyDescent="0.3">
      <c r="B203" s="223" t="str">
        <f t="shared" si="29"/>
        <v/>
      </c>
      <c r="C203" s="224" t="str">
        <f>CAD!F19</f>
        <v/>
      </c>
      <c r="E203" s="223" t="str">
        <f t="shared" si="30"/>
        <v/>
      </c>
      <c r="F203" s="224" t="str">
        <f>CAD!F39</f>
        <v/>
      </c>
    </row>
    <row r="204" spans="2:6" x14ac:dyDescent="0.3">
      <c r="B204" s="223" t="str">
        <f t="shared" si="29"/>
        <v/>
      </c>
      <c r="C204" s="224" t="str">
        <f>CAD!G19</f>
        <v/>
      </c>
      <c r="E204" s="223" t="str">
        <f t="shared" si="30"/>
        <v/>
      </c>
      <c r="F204" s="224" t="str">
        <f>CAD!G39</f>
        <v/>
      </c>
    </row>
    <row r="205" spans="2:6" x14ac:dyDescent="0.3">
      <c r="B205" s="223" t="str">
        <f t="shared" si="29"/>
        <v/>
      </c>
      <c r="C205" s="224" t="str">
        <f>CAD!B19</f>
        <v/>
      </c>
      <c r="E205" s="223" t="str">
        <f t="shared" si="30"/>
        <v/>
      </c>
      <c r="F205" s="224" t="str">
        <f>CAD!B39</f>
        <v/>
      </c>
    </row>
    <row r="206" spans="2:6" x14ac:dyDescent="0.3">
      <c r="B206" s="223" t="str">
        <f t="shared" si="29"/>
        <v/>
      </c>
      <c r="C206" s="224" t="str">
        <f>CAD!C19</f>
        <v/>
      </c>
      <c r="E206" s="223" t="str">
        <f t="shared" si="30"/>
        <v/>
      </c>
      <c r="F206" s="224" t="str">
        <f>CAD!C39</f>
        <v/>
      </c>
    </row>
    <row r="207" spans="2:6" x14ac:dyDescent="0.3">
      <c r="B207" s="223" t="str">
        <f t="shared" si="29"/>
        <v/>
      </c>
      <c r="C207" s="201" t="str">
        <f>CAD!J19</f>
        <v/>
      </c>
      <c r="E207" s="223" t="str">
        <f t="shared" si="30"/>
        <v/>
      </c>
      <c r="F207" s="201" t="str">
        <f>CAD!J39</f>
        <v/>
      </c>
    </row>
    <row r="208" spans="2:6" x14ac:dyDescent="0.3">
      <c r="B208" s="223" t="str">
        <f t="shared" si="29"/>
        <v/>
      </c>
      <c r="C208" s="201" t="str">
        <f>CAD!K19</f>
        <v/>
      </c>
      <c r="E208" s="223" t="str">
        <f t="shared" si="30"/>
        <v/>
      </c>
      <c r="F208" s="201" t="str">
        <f>CAD!K39</f>
        <v/>
      </c>
    </row>
    <row r="209" spans="2:6" x14ac:dyDescent="0.3">
      <c r="B209" s="223" t="str">
        <f t="shared" si="29"/>
        <v/>
      </c>
      <c r="C209" s="60" t="str">
        <f>CAD!L19</f>
        <v/>
      </c>
      <c r="E209" s="223" t="str">
        <f t="shared" si="30"/>
        <v/>
      </c>
      <c r="F209" s="60" t="str">
        <f>CAD!L39</f>
        <v/>
      </c>
    </row>
    <row r="210" spans="2:6" x14ac:dyDescent="0.3">
      <c r="B210" s="223" t="str">
        <f t="shared" si="29"/>
        <v/>
      </c>
      <c r="C210" s="224" t="str">
        <f>CAD!I19</f>
        <v/>
      </c>
      <c r="E210" s="223" t="str">
        <f t="shared" si="30"/>
        <v/>
      </c>
      <c r="F210" s="224" t="str">
        <f>CAD!I39</f>
        <v/>
      </c>
    </row>
    <row r="211" spans="2:6" x14ac:dyDescent="0.3">
      <c r="B211" s="223" t="str">
        <f t="shared" si="29"/>
        <v/>
      </c>
      <c r="C211" s="137" t="str">
        <f>CAD!H19</f>
        <v/>
      </c>
      <c r="E211" s="223" t="str">
        <f t="shared" si="30"/>
        <v/>
      </c>
      <c r="F211" s="137" t="str">
        <f>CAD!H39</f>
        <v/>
      </c>
    </row>
    <row r="212" spans="2:6" x14ac:dyDescent="0.3">
      <c r="C212" s="137"/>
      <c r="F212" s="137"/>
    </row>
    <row r="213" spans="2:6" x14ac:dyDescent="0.3">
      <c r="C213" s="137"/>
      <c r="F213" s="137"/>
    </row>
    <row r="215" spans="2:6" x14ac:dyDescent="0.3">
      <c r="B215" s="138" t="str">
        <f>IF(B216="","","Aplicação 17")</f>
        <v/>
      </c>
      <c r="E215" s="138" t="str">
        <f>IF(E216="","","Aplicação 37")</f>
        <v/>
      </c>
      <c r="F215" s="223"/>
    </row>
    <row r="216" spans="2:6" x14ac:dyDescent="0.3">
      <c r="B216" s="223" t="str">
        <f>IF(CAD!B20="","",B188)</f>
        <v/>
      </c>
      <c r="C216" s="224" t="str">
        <f>CAD!D20</f>
        <v/>
      </c>
      <c r="E216" s="223" t="str">
        <f>IF(CAD!B40="","",E188)</f>
        <v/>
      </c>
      <c r="F216" s="224" t="str">
        <f>CAD!D40</f>
        <v/>
      </c>
    </row>
    <row r="217" spans="2:6" x14ac:dyDescent="0.3">
      <c r="B217" s="223" t="str">
        <f t="shared" ref="B217:B226" si="31">IF(B216="","",B189)</f>
        <v/>
      </c>
      <c r="C217" s="224" t="str">
        <f>CAD!E20</f>
        <v/>
      </c>
      <c r="E217" s="223" t="str">
        <f t="shared" ref="E217:E226" si="32">IF(E216="","",E189)</f>
        <v/>
      </c>
      <c r="F217" s="224" t="str">
        <f>CAD!E40</f>
        <v/>
      </c>
    </row>
    <row r="218" spans="2:6" x14ac:dyDescent="0.3">
      <c r="B218" s="223" t="str">
        <f t="shared" si="31"/>
        <v/>
      </c>
      <c r="C218" s="224" t="str">
        <f>CAD!F20</f>
        <v/>
      </c>
      <c r="E218" s="223" t="str">
        <f t="shared" si="32"/>
        <v/>
      </c>
      <c r="F218" s="224" t="str">
        <f>CAD!F40</f>
        <v/>
      </c>
    </row>
    <row r="219" spans="2:6" x14ac:dyDescent="0.3">
      <c r="B219" s="223" t="str">
        <f t="shared" si="31"/>
        <v/>
      </c>
      <c r="C219" s="224" t="str">
        <f>CAD!G20</f>
        <v/>
      </c>
      <c r="E219" s="223" t="str">
        <f t="shared" si="32"/>
        <v/>
      </c>
      <c r="F219" s="224" t="str">
        <f>CAD!G40</f>
        <v/>
      </c>
    </row>
    <row r="220" spans="2:6" x14ac:dyDescent="0.3">
      <c r="B220" s="223" t="str">
        <f t="shared" si="31"/>
        <v/>
      </c>
      <c r="C220" s="224" t="str">
        <f>CAD!B20</f>
        <v/>
      </c>
      <c r="E220" s="223" t="str">
        <f t="shared" si="32"/>
        <v/>
      </c>
      <c r="F220" s="224" t="str">
        <f>CAD!B40</f>
        <v/>
      </c>
    </row>
    <row r="221" spans="2:6" x14ac:dyDescent="0.3">
      <c r="B221" s="223" t="str">
        <f t="shared" si="31"/>
        <v/>
      </c>
      <c r="C221" s="224" t="str">
        <f>CAD!C20</f>
        <v/>
      </c>
      <c r="E221" s="223" t="str">
        <f t="shared" si="32"/>
        <v/>
      </c>
      <c r="F221" s="224" t="str">
        <f>CAD!C40</f>
        <v/>
      </c>
    </row>
    <row r="222" spans="2:6" x14ac:dyDescent="0.3">
      <c r="B222" s="223" t="str">
        <f t="shared" si="31"/>
        <v/>
      </c>
      <c r="C222" s="201" t="str">
        <f>CAD!J20</f>
        <v/>
      </c>
      <c r="E222" s="223" t="str">
        <f t="shared" si="32"/>
        <v/>
      </c>
      <c r="F222" s="201" t="str">
        <f>CAD!J40</f>
        <v/>
      </c>
    </row>
    <row r="223" spans="2:6" x14ac:dyDescent="0.3">
      <c r="B223" s="223" t="str">
        <f t="shared" si="31"/>
        <v/>
      </c>
      <c r="C223" s="201" t="str">
        <f>CAD!K20</f>
        <v/>
      </c>
      <c r="E223" s="223" t="str">
        <f t="shared" si="32"/>
        <v/>
      </c>
      <c r="F223" s="201" t="str">
        <f>CAD!K40</f>
        <v/>
      </c>
    </row>
    <row r="224" spans="2:6" x14ac:dyDescent="0.3">
      <c r="B224" s="223" t="str">
        <f t="shared" si="31"/>
        <v/>
      </c>
      <c r="C224" s="60" t="str">
        <f>CAD!L20</f>
        <v/>
      </c>
      <c r="E224" s="223" t="str">
        <f t="shared" si="32"/>
        <v/>
      </c>
      <c r="F224" s="60" t="str">
        <f>CAD!L40</f>
        <v/>
      </c>
    </row>
    <row r="225" spans="2:6" x14ac:dyDescent="0.3">
      <c r="B225" s="223" t="str">
        <f t="shared" si="31"/>
        <v/>
      </c>
      <c r="C225" s="224" t="str">
        <f>CAD!I20</f>
        <v/>
      </c>
      <c r="E225" s="223" t="str">
        <f t="shared" si="32"/>
        <v/>
      </c>
      <c r="F225" s="224" t="str">
        <f>CAD!I40</f>
        <v/>
      </c>
    </row>
    <row r="226" spans="2:6" x14ac:dyDescent="0.3">
      <c r="B226" s="223" t="str">
        <f t="shared" si="31"/>
        <v/>
      </c>
      <c r="C226" s="137" t="str">
        <f>CAD!H20</f>
        <v/>
      </c>
      <c r="E226" s="223" t="str">
        <f t="shared" si="32"/>
        <v/>
      </c>
      <c r="F226" s="137" t="str">
        <f>CAD!H40</f>
        <v/>
      </c>
    </row>
    <row r="228" spans="2:6" x14ac:dyDescent="0.3">
      <c r="B228" s="138" t="str">
        <f>IF(B229="","","Aplicação 18")</f>
        <v/>
      </c>
      <c r="C228" s="224"/>
      <c r="E228" s="138" t="str">
        <f>IF(E229="","","Aplicação 38")</f>
        <v/>
      </c>
    </row>
    <row r="229" spans="2:6" x14ac:dyDescent="0.3">
      <c r="B229" s="223" t="str">
        <f>IF(CAD!B21="","",B201)</f>
        <v/>
      </c>
      <c r="C229" s="224" t="str">
        <f>CAD!D21</f>
        <v/>
      </c>
      <c r="E229" s="223" t="str">
        <f>IF(CAD!B41="","",E201)</f>
        <v/>
      </c>
      <c r="F229" s="224" t="str">
        <f>CAD!D41</f>
        <v/>
      </c>
    </row>
    <row r="230" spans="2:6" x14ac:dyDescent="0.3">
      <c r="B230" s="223" t="str">
        <f t="shared" ref="B230:B239" si="33">IF(B229="","",B202)</f>
        <v/>
      </c>
      <c r="C230" s="224" t="str">
        <f>CAD!E21</f>
        <v/>
      </c>
      <c r="E230" s="223" t="str">
        <f t="shared" ref="E230:E239" si="34">IF(E229="","",E202)</f>
        <v/>
      </c>
      <c r="F230" s="224" t="str">
        <f>CAD!E41</f>
        <v/>
      </c>
    </row>
    <row r="231" spans="2:6" x14ac:dyDescent="0.3">
      <c r="B231" s="223" t="str">
        <f t="shared" si="33"/>
        <v/>
      </c>
      <c r="C231" s="224" t="str">
        <f>CAD!F21</f>
        <v/>
      </c>
      <c r="E231" s="223" t="str">
        <f t="shared" si="34"/>
        <v/>
      </c>
      <c r="F231" s="224" t="str">
        <f>CAD!F41</f>
        <v/>
      </c>
    </row>
    <row r="232" spans="2:6" x14ac:dyDescent="0.3">
      <c r="B232" s="223" t="str">
        <f t="shared" si="33"/>
        <v/>
      </c>
      <c r="C232" s="224" t="str">
        <f>CAD!G21</f>
        <v/>
      </c>
      <c r="E232" s="223" t="str">
        <f t="shared" si="34"/>
        <v/>
      </c>
      <c r="F232" s="224" t="str">
        <f>CAD!G41</f>
        <v/>
      </c>
    </row>
    <row r="233" spans="2:6" x14ac:dyDescent="0.3">
      <c r="B233" s="223" t="str">
        <f t="shared" si="33"/>
        <v/>
      </c>
      <c r="C233" s="224" t="str">
        <f>CAD!B21</f>
        <v/>
      </c>
      <c r="E233" s="223" t="str">
        <f t="shared" si="34"/>
        <v/>
      </c>
      <c r="F233" s="224" t="str">
        <f>CAD!B41</f>
        <v/>
      </c>
    </row>
    <row r="234" spans="2:6" x14ac:dyDescent="0.3">
      <c r="B234" s="223" t="str">
        <f t="shared" si="33"/>
        <v/>
      </c>
      <c r="C234" s="224" t="str">
        <f>CAD!C21</f>
        <v/>
      </c>
      <c r="E234" s="223" t="str">
        <f t="shared" si="34"/>
        <v/>
      </c>
      <c r="F234" s="224" t="str">
        <f>CAD!C41</f>
        <v/>
      </c>
    </row>
    <row r="235" spans="2:6" x14ac:dyDescent="0.3">
      <c r="B235" s="223" t="str">
        <f t="shared" si="33"/>
        <v/>
      </c>
      <c r="C235" s="201" t="str">
        <f>CAD!J21</f>
        <v/>
      </c>
      <c r="E235" s="223" t="str">
        <f t="shared" si="34"/>
        <v/>
      </c>
      <c r="F235" s="201" t="str">
        <f>CAD!J41</f>
        <v/>
      </c>
    </row>
    <row r="236" spans="2:6" x14ac:dyDescent="0.3">
      <c r="B236" s="223" t="str">
        <f t="shared" si="33"/>
        <v/>
      </c>
      <c r="C236" s="201" t="str">
        <f>CAD!K21</f>
        <v/>
      </c>
      <c r="E236" s="223" t="str">
        <f t="shared" si="34"/>
        <v/>
      </c>
      <c r="F236" s="201" t="str">
        <f>CAD!K41</f>
        <v/>
      </c>
    </row>
    <row r="237" spans="2:6" x14ac:dyDescent="0.3">
      <c r="B237" s="223" t="str">
        <f t="shared" si="33"/>
        <v/>
      </c>
      <c r="C237" s="60" t="str">
        <f>CAD!L21</f>
        <v/>
      </c>
      <c r="E237" s="223" t="str">
        <f t="shared" si="34"/>
        <v/>
      </c>
      <c r="F237" s="60" t="str">
        <f>CAD!L41</f>
        <v/>
      </c>
    </row>
    <row r="238" spans="2:6" x14ac:dyDescent="0.3">
      <c r="B238" s="223" t="str">
        <f t="shared" si="33"/>
        <v/>
      </c>
      <c r="C238" s="224" t="str">
        <f>CAD!I21</f>
        <v/>
      </c>
      <c r="E238" s="223" t="str">
        <f t="shared" si="34"/>
        <v/>
      </c>
      <c r="F238" s="224" t="str">
        <f>CAD!I41</f>
        <v/>
      </c>
    </row>
    <row r="239" spans="2:6" x14ac:dyDescent="0.3">
      <c r="B239" s="223" t="str">
        <f t="shared" si="33"/>
        <v/>
      </c>
      <c r="C239" s="137" t="str">
        <f>CAD!H21</f>
        <v/>
      </c>
      <c r="E239" s="223" t="str">
        <f t="shared" si="34"/>
        <v/>
      </c>
      <c r="F239" s="137" t="str">
        <f>CAD!H41</f>
        <v/>
      </c>
    </row>
    <row r="241" spans="2:6" x14ac:dyDescent="0.3">
      <c r="B241" s="138" t="str">
        <f>IF(B242="","","Aplicação 19")</f>
        <v/>
      </c>
      <c r="E241" s="138" t="str">
        <f>IF(E242="","","Aplicação 39")</f>
        <v/>
      </c>
      <c r="F241" s="223"/>
    </row>
    <row r="242" spans="2:6" x14ac:dyDescent="0.3">
      <c r="B242" s="223" t="str">
        <f>IF(CAD!B22="","",B216)</f>
        <v/>
      </c>
      <c r="C242" s="224" t="str">
        <f>CAD!D22</f>
        <v/>
      </c>
      <c r="E242" s="223" t="str">
        <f>IF(CAD!B42="","",E216)</f>
        <v/>
      </c>
      <c r="F242" s="224" t="str">
        <f>CAD!D42</f>
        <v/>
      </c>
    </row>
    <row r="243" spans="2:6" x14ac:dyDescent="0.3">
      <c r="B243" s="223" t="str">
        <f t="shared" ref="B243:B252" si="35">IF(B242="","",B217)</f>
        <v/>
      </c>
      <c r="C243" s="224" t="str">
        <f>CAD!E22</f>
        <v/>
      </c>
      <c r="E243" s="223" t="str">
        <f t="shared" ref="E243:E252" si="36">IF(E242="","",E217)</f>
        <v/>
      </c>
      <c r="F243" s="224" t="str">
        <f>CAD!E42</f>
        <v/>
      </c>
    </row>
    <row r="244" spans="2:6" x14ac:dyDescent="0.3">
      <c r="B244" s="223" t="str">
        <f t="shared" si="35"/>
        <v/>
      </c>
      <c r="C244" s="224" t="str">
        <f>CAD!F22</f>
        <v/>
      </c>
      <c r="E244" s="223" t="str">
        <f t="shared" si="36"/>
        <v/>
      </c>
      <c r="F244" s="224" t="str">
        <f>CAD!F42</f>
        <v/>
      </c>
    </row>
    <row r="245" spans="2:6" x14ac:dyDescent="0.3">
      <c r="B245" s="223" t="str">
        <f t="shared" si="35"/>
        <v/>
      </c>
      <c r="C245" s="224" t="str">
        <f>CAD!G22</f>
        <v/>
      </c>
      <c r="E245" s="223" t="str">
        <f t="shared" si="36"/>
        <v/>
      </c>
      <c r="F245" s="224" t="str">
        <f>CAD!G42</f>
        <v/>
      </c>
    </row>
    <row r="246" spans="2:6" x14ac:dyDescent="0.3">
      <c r="B246" s="223" t="str">
        <f t="shared" si="35"/>
        <v/>
      </c>
      <c r="C246" s="224" t="str">
        <f>CAD!B22</f>
        <v/>
      </c>
      <c r="E246" s="223" t="str">
        <f t="shared" si="36"/>
        <v/>
      </c>
      <c r="F246" s="224" t="str">
        <f>CAD!B42</f>
        <v/>
      </c>
    </row>
    <row r="247" spans="2:6" x14ac:dyDescent="0.3">
      <c r="B247" s="223" t="str">
        <f t="shared" si="35"/>
        <v/>
      </c>
      <c r="C247" s="224" t="str">
        <f>CAD!C22</f>
        <v/>
      </c>
      <c r="E247" s="223" t="str">
        <f t="shared" si="36"/>
        <v/>
      </c>
      <c r="F247" s="224" t="str">
        <f>CAD!C42</f>
        <v/>
      </c>
    </row>
    <row r="248" spans="2:6" x14ac:dyDescent="0.3">
      <c r="B248" s="223" t="str">
        <f t="shared" si="35"/>
        <v/>
      </c>
      <c r="C248" s="201" t="str">
        <f>CAD!J22</f>
        <v/>
      </c>
      <c r="E248" s="223" t="str">
        <f t="shared" si="36"/>
        <v/>
      </c>
      <c r="F248" s="201" t="str">
        <f>CAD!J42</f>
        <v/>
      </c>
    </row>
    <row r="249" spans="2:6" x14ac:dyDescent="0.3">
      <c r="B249" s="223" t="str">
        <f t="shared" si="35"/>
        <v/>
      </c>
      <c r="C249" s="201" t="str">
        <f>CAD!K22</f>
        <v/>
      </c>
      <c r="E249" s="223" t="str">
        <f t="shared" si="36"/>
        <v/>
      </c>
      <c r="F249" s="201" t="str">
        <f>CAD!K42</f>
        <v/>
      </c>
    </row>
    <row r="250" spans="2:6" x14ac:dyDescent="0.3">
      <c r="B250" s="223" t="str">
        <f t="shared" si="35"/>
        <v/>
      </c>
      <c r="C250" s="60" t="str">
        <f>CAD!L22</f>
        <v/>
      </c>
      <c r="E250" s="223" t="str">
        <f t="shared" si="36"/>
        <v/>
      </c>
      <c r="F250" s="60" t="str">
        <f>CAD!L42</f>
        <v/>
      </c>
    </row>
    <row r="251" spans="2:6" x14ac:dyDescent="0.3">
      <c r="B251" s="223" t="str">
        <f t="shared" si="35"/>
        <v/>
      </c>
      <c r="C251" s="224" t="str">
        <f>CAD!I22</f>
        <v/>
      </c>
      <c r="E251" s="223" t="str">
        <f t="shared" si="36"/>
        <v/>
      </c>
      <c r="F251" s="224" t="str">
        <f>CAD!I42</f>
        <v/>
      </c>
    </row>
    <row r="252" spans="2:6" x14ac:dyDescent="0.3">
      <c r="B252" s="223" t="str">
        <f t="shared" si="35"/>
        <v/>
      </c>
      <c r="C252" s="137" t="str">
        <f>CAD!H22</f>
        <v/>
      </c>
      <c r="E252" s="223" t="str">
        <f t="shared" si="36"/>
        <v/>
      </c>
      <c r="F252" s="137" t="str">
        <f>CAD!H42</f>
        <v/>
      </c>
    </row>
    <row r="254" spans="2:6" x14ac:dyDescent="0.3">
      <c r="B254" s="138" t="str">
        <f>IF(B255="","","Aplicação 20")</f>
        <v/>
      </c>
      <c r="C254" s="224"/>
      <c r="E254" s="138" t="str">
        <f>IF(E255="","","Aplicação 40")</f>
        <v/>
      </c>
    </row>
    <row r="255" spans="2:6" x14ac:dyDescent="0.3">
      <c r="B255" s="223" t="str">
        <f>IF(CAD!B23="","",B229)</f>
        <v/>
      </c>
      <c r="C255" s="224" t="str">
        <f>CAD!D23</f>
        <v/>
      </c>
      <c r="E255" s="223" t="str">
        <f>IF(CAD!B43="","",E229)</f>
        <v/>
      </c>
      <c r="F255" s="224" t="str">
        <f>CAD!D43</f>
        <v/>
      </c>
    </row>
    <row r="256" spans="2:6" x14ac:dyDescent="0.3">
      <c r="B256" s="223" t="str">
        <f t="shared" ref="B256:B265" si="37">IF(B255="","",B230)</f>
        <v/>
      </c>
      <c r="C256" s="224" t="str">
        <f>CAD!E23</f>
        <v/>
      </c>
      <c r="E256" s="223" t="str">
        <f t="shared" ref="E256:E265" si="38">IF(E255="","",E230)</f>
        <v/>
      </c>
      <c r="F256" s="224" t="str">
        <f>CAD!E43</f>
        <v/>
      </c>
    </row>
    <row r="257" spans="2:6" x14ac:dyDescent="0.3">
      <c r="B257" s="223" t="str">
        <f t="shared" si="37"/>
        <v/>
      </c>
      <c r="C257" s="224" t="str">
        <f>CAD!F23</f>
        <v/>
      </c>
      <c r="E257" s="223" t="str">
        <f t="shared" si="38"/>
        <v/>
      </c>
      <c r="F257" s="224" t="str">
        <f>CAD!F43</f>
        <v/>
      </c>
    </row>
    <row r="258" spans="2:6" x14ac:dyDescent="0.3">
      <c r="B258" s="223" t="str">
        <f t="shared" si="37"/>
        <v/>
      </c>
      <c r="C258" s="224" t="str">
        <f>CAD!G23</f>
        <v/>
      </c>
      <c r="E258" s="223" t="str">
        <f t="shared" si="38"/>
        <v/>
      </c>
      <c r="F258" s="224" t="str">
        <f>CAD!G43</f>
        <v/>
      </c>
    </row>
    <row r="259" spans="2:6" x14ac:dyDescent="0.3">
      <c r="B259" s="223" t="str">
        <f t="shared" si="37"/>
        <v/>
      </c>
      <c r="C259" s="224" t="str">
        <f>CAD!B23</f>
        <v/>
      </c>
      <c r="E259" s="223" t="str">
        <f t="shared" si="38"/>
        <v/>
      </c>
      <c r="F259" s="224" t="str">
        <f>CAD!B43</f>
        <v/>
      </c>
    </row>
    <row r="260" spans="2:6" x14ac:dyDescent="0.3">
      <c r="B260" s="223" t="str">
        <f t="shared" si="37"/>
        <v/>
      </c>
      <c r="C260" s="224" t="str">
        <f>CAD!C23</f>
        <v/>
      </c>
      <c r="E260" s="223" t="str">
        <f t="shared" si="38"/>
        <v/>
      </c>
      <c r="F260" s="224" t="str">
        <f>CAD!C43</f>
        <v/>
      </c>
    </row>
    <row r="261" spans="2:6" x14ac:dyDescent="0.3">
      <c r="B261" s="223" t="str">
        <f t="shared" si="37"/>
        <v/>
      </c>
      <c r="C261" s="201" t="str">
        <f>CAD!J23</f>
        <v/>
      </c>
      <c r="E261" s="223" t="str">
        <f t="shared" si="38"/>
        <v/>
      </c>
      <c r="F261" s="201" t="str">
        <f>CAD!J43</f>
        <v/>
      </c>
    </row>
    <row r="262" spans="2:6" x14ac:dyDescent="0.3">
      <c r="B262" s="223" t="str">
        <f t="shared" si="37"/>
        <v/>
      </c>
      <c r="C262" s="201" t="str">
        <f>CAD!K23</f>
        <v/>
      </c>
      <c r="E262" s="223" t="str">
        <f t="shared" si="38"/>
        <v/>
      </c>
      <c r="F262" s="201" t="str">
        <f>CAD!K43</f>
        <v/>
      </c>
    </row>
    <row r="263" spans="2:6" x14ac:dyDescent="0.3">
      <c r="B263" s="223" t="str">
        <f t="shared" si="37"/>
        <v/>
      </c>
      <c r="C263" s="60" t="str">
        <f>CAD!L23</f>
        <v/>
      </c>
      <c r="E263" s="223" t="str">
        <f t="shared" si="38"/>
        <v/>
      </c>
      <c r="F263" s="60" t="str">
        <f>CAD!L43</f>
        <v/>
      </c>
    </row>
    <row r="264" spans="2:6" x14ac:dyDescent="0.3">
      <c r="B264" s="223" t="str">
        <f t="shared" si="37"/>
        <v/>
      </c>
      <c r="C264" s="224" t="str">
        <f>CAD!I23</f>
        <v/>
      </c>
      <c r="E264" s="223" t="str">
        <f t="shared" si="38"/>
        <v/>
      </c>
      <c r="F264" s="224" t="str">
        <f>CAD!I43</f>
        <v/>
      </c>
    </row>
    <row r="265" spans="2:6" x14ac:dyDescent="0.3">
      <c r="B265" s="223" t="str">
        <f t="shared" si="37"/>
        <v/>
      </c>
      <c r="C265" s="137" t="str">
        <f>CAD!H23</f>
        <v/>
      </c>
      <c r="E265" s="223" t="str">
        <f t="shared" si="38"/>
        <v/>
      </c>
      <c r="F265" s="137" t="str">
        <f>CAD!H43</f>
        <v/>
      </c>
    </row>
    <row r="267" spans="2:6" x14ac:dyDescent="0.3">
      <c r="B267" s="70"/>
      <c r="E267" s="70"/>
    </row>
  </sheetData>
  <sheetProtection formatCells="0" formatColumns="0" formatRows="0" insertColumns="0" insertRows="0" insertHyperlinks="0" deleteColumns="0" deleteRows="0" sort="0" autoFilter="0" pivotTables="0"/>
  <conditionalFormatting sqref="H253:I1048576 H240:I240 H227:I227 H214:I214 H186:I186 H199:I199 H94:I133 H146:I146 H160:I160 H173:I173 H16:I81 J1:XFD1048576 H2:I3 A1:G1048576">
    <cfRule type="notContainsBlanks" dxfId="127" priority="78">
      <formula>LEN(TRIM(A1))&gt;0</formula>
    </cfRule>
  </conditionalFormatting>
  <conditionalFormatting sqref="B4">
    <cfRule type="notContainsBlanks" dxfId="126" priority="77">
      <formula>LEN(TRIM(B4))&gt;0</formula>
    </cfRule>
  </conditionalFormatting>
  <conditionalFormatting sqref="B17">
    <cfRule type="notContainsBlanks" dxfId="125" priority="76">
      <formula>LEN(TRIM(B17))&gt;0</formula>
    </cfRule>
  </conditionalFormatting>
  <conditionalFormatting sqref="B30">
    <cfRule type="notContainsBlanks" dxfId="124" priority="75">
      <formula>LEN(TRIM(B30))&gt;0</formula>
    </cfRule>
  </conditionalFormatting>
  <conditionalFormatting sqref="B43">
    <cfRule type="notContainsBlanks" dxfId="123" priority="74">
      <formula>LEN(TRIM(B43))&gt;0</formula>
    </cfRule>
  </conditionalFormatting>
  <conditionalFormatting sqref="B56">
    <cfRule type="notContainsBlanks" dxfId="122" priority="73">
      <formula>LEN(TRIM(B56))&gt;0</formula>
    </cfRule>
  </conditionalFormatting>
  <conditionalFormatting sqref="B69">
    <cfRule type="notContainsBlanks" dxfId="121" priority="72">
      <formula>LEN(TRIM(B69))&gt;0</formula>
    </cfRule>
  </conditionalFormatting>
  <conditionalFormatting sqref="B82">
    <cfRule type="notContainsBlanks" dxfId="120" priority="71">
      <formula>LEN(TRIM(B82))&gt;0</formula>
    </cfRule>
  </conditionalFormatting>
  <conditionalFormatting sqref="B95">
    <cfRule type="notContainsBlanks" dxfId="119" priority="70">
      <formula>LEN(TRIM(B95))&gt;0</formula>
    </cfRule>
  </conditionalFormatting>
  <conditionalFormatting sqref="B82">
    <cfRule type="notContainsBlanks" dxfId="118" priority="69">
      <formula>LEN(TRIM(B82))&gt;0</formula>
    </cfRule>
  </conditionalFormatting>
  <conditionalFormatting sqref="B2">
    <cfRule type="notContainsBlanks" dxfId="117" priority="68">
      <formula>LEN(TRIM(B2))&gt;0</formula>
    </cfRule>
  </conditionalFormatting>
  <conditionalFormatting sqref="B95">
    <cfRule type="notContainsBlanks" dxfId="116" priority="67">
      <formula>LEN(TRIM(B95))&gt;0</formula>
    </cfRule>
  </conditionalFormatting>
  <conditionalFormatting sqref="B69">
    <cfRule type="notContainsBlanks" dxfId="115" priority="66">
      <formula>LEN(TRIM(B69))&gt;0</formula>
    </cfRule>
  </conditionalFormatting>
  <conditionalFormatting sqref="B108">
    <cfRule type="notContainsBlanks" dxfId="114" priority="65">
      <formula>LEN(TRIM(B108))&gt;0</formula>
    </cfRule>
  </conditionalFormatting>
  <conditionalFormatting sqref="B108">
    <cfRule type="notContainsBlanks" dxfId="113" priority="64">
      <formula>LEN(TRIM(B108))&gt;0</formula>
    </cfRule>
  </conditionalFormatting>
  <conditionalFormatting sqref="B121">
    <cfRule type="notContainsBlanks" dxfId="112" priority="63">
      <formula>LEN(TRIM(B121))&gt;0</formula>
    </cfRule>
  </conditionalFormatting>
  <conditionalFormatting sqref="B121">
    <cfRule type="notContainsBlanks" dxfId="111" priority="62">
      <formula>LEN(TRIM(B121))&gt;0</formula>
    </cfRule>
  </conditionalFormatting>
  <conditionalFormatting sqref="B134">
    <cfRule type="notContainsBlanks" dxfId="110" priority="61">
      <formula>LEN(TRIM(B134))&gt;0</formula>
    </cfRule>
  </conditionalFormatting>
  <conditionalFormatting sqref="B134">
    <cfRule type="notContainsBlanks" dxfId="109" priority="60">
      <formula>LEN(TRIM(B134))&gt;0</formula>
    </cfRule>
  </conditionalFormatting>
  <conditionalFormatting sqref="B147">
    <cfRule type="notContainsBlanks" dxfId="108" priority="59">
      <formula>LEN(TRIM(B147))&gt;0</formula>
    </cfRule>
  </conditionalFormatting>
  <conditionalFormatting sqref="B147">
    <cfRule type="notContainsBlanks" dxfId="107" priority="58">
      <formula>LEN(TRIM(B147))&gt;0</formula>
    </cfRule>
  </conditionalFormatting>
  <conditionalFormatting sqref="B161">
    <cfRule type="notContainsBlanks" dxfId="106" priority="57">
      <formula>LEN(TRIM(B161))&gt;0</formula>
    </cfRule>
  </conditionalFormatting>
  <conditionalFormatting sqref="B161">
    <cfRule type="notContainsBlanks" dxfId="105" priority="56">
      <formula>LEN(TRIM(B161))&gt;0</formula>
    </cfRule>
  </conditionalFormatting>
  <conditionalFormatting sqref="B174">
    <cfRule type="notContainsBlanks" dxfId="104" priority="55">
      <formula>LEN(TRIM(B174))&gt;0</formula>
    </cfRule>
  </conditionalFormatting>
  <conditionalFormatting sqref="B174">
    <cfRule type="notContainsBlanks" dxfId="103" priority="54">
      <formula>LEN(TRIM(B174))&gt;0</formula>
    </cfRule>
  </conditionalFormatting>
  <conditionalFormatting sqref="B187">
    <cfRule type="notContainsBlanks" dxfId="102" priority="53">
      <formula>LEN(TRIM(B187))&gt;0</formula>
    </cfRule>
  </conditionalFormatting>
  <conditionalFormatting sqref="B187">
    <cfRule type="notContainsBlanks" dxfId="101" priority="52">
      <formula>LEN(TRIM(B187))&gt;0</formula>
    </cfRule>
  </conditionalFormatting>
  <conditionalFormatting sqref="B200">
    <cfRule type="notContainsBlanks" dxfId="100" priority="51">
      <formula>LEN(TRIM(B200))&gt;0</formula>
    </cfRule>
  </conditionalFormatting>
  <conditionalFormatting sqref="B200">
    <cfRule type="notContainsBlanks" dxfId="99" priority="50">
      <formula>LEN(TRIM(B200))&gt;0</formula>
    </cfRule>
  </conditionalFormatting>
  <conditionalFormatting sqref="B215">
    <cfRule type="notContainsBlanks" dxfId="98" priority="49">
      <formula>LEN(TRIM(B215))&gt;0</formula>
    </cfRule>
  </conditionalFormatting>
  <conditionalFormatting sqref="B215">
    <cfRule type="notContainsBlanks" dxfId="97" priority="48">
      <formula>LEN(TRIM(B215))&gt;0</formula>
    </cfRule>
  </conditionalFormatting>
  <conditionalFormatting sqref="B228">
    <cfRule type="notContainsBlanks" dxfId="96" priority="47">
      <formula>LEN(TRIM(B228))&gt;0</formula>
    </cfRule>
  </conditionalFormatting>
  <conditionalFormatting sqref="B228">
    <cfRule type="notContainsBlanks" dxfId="95" priority="46">
      <formula>LEN(TRIM(B228))&gt;0</formula>
    </cfRule>
  </conditionalFormatting>
  <conditionalFormatting sqref="B241">
    <cfRule type="notContainsBlanks" dxfId="94" priority="45">
      <formula>LEN(TRIM(B241))&gt;0</formula>
    </cfRule>
  </conditionalFormatting>
  <conditionalFormatting sqref="B241">
    <cfRule type="notContainsBlanks" dxfId="93" priority="44">
      <formula>LEN(TRIM(B241))&gt;0</formula>
    </cfRule>
  </conditionalFormatting>
  <conditionalFormatting sqref="B254">
    <cfRule type="notContainsBlanks" dxfId="92" priority="43">
      <formula>LEN(TRIM(B254))&gt;0</formula>
    </cfRule>
  </conditionalFormatting>
  <conditionalFormatting sqref="B254">
    <cfRule type="notContainsBlanks" dxfId="91" priority="42">
      <formula>LEN(TRIM(B254))&gt;0</formula>
    </cfRule>
  </conditionalFormatting>
  <conditionalFormatting sqref="E4">
    <cfRule type="notContainsBlanks" dxfId="90" priority="41">
      <formula>LEN(TRIM(E4))&gt;0</formula>
    </cfRule>
  </conditionalFormatting>
  <conditionalFormatting sqref="E4">
    <cfRule type="notContainsBlanks" dxfId="89" priority="40">
      <formula>LEN(TRIM(E4))&gt;0</formula>
    </cfRule>
  </conditionalFormatting>
  <conditionalFormatting sqref="E17">
    <cfRule type="notContainsBlanks" dxfId="88" priority="39">
      <formula>LEN(TRIM(E17))&gt;0</formula>
    </cfRule>
  </conditionalFormatting>
  <conditionalFormatting sqref="E17">
    <cfRule type="notContainsBlanks" dxfId="87" priority="38">
      <formula>LEN(TRIM(E17))&gt;0</formula>
    </cfRule>
  </conditionalFormatting>
  <conditionalFormatting sqref="E30">
    <cfRule type="notContainsBlanks" dxfId="86" priority="37">
      <formula>LEN(TRIM(E30))&gt;0</formula>
    </cfRule>
  </conditionalFormatting>
  <conditionalFormatting sqref="E30">
    <cfRule type="notContainsBlanks" dxfId="85" priority="36">
      <formula>LEN(TRIM(E30))&gt;0</formula>
    </cfRule>
  </conditionalFormatting>
  <conditionalFormatting sqref="E43">
    <cfRule type="notContainsBlanks" dxfId="84" priority="35">
      <formula>LEN(TRIM(E43))&gt;0</formula>
    </cfRule>
  </conditionalFormatting>
  <conditionalFormatting sqref="E43">
    <cfRule type="notContainsBlanks" dxfId="83" priority="34">
      <formula>LEN(TRIM(E43))&gt;0</formula>
    </cfRule>
  </conditionalFormatting>
  <conditionalFormatting sqref="E56">
    <cfRule type="notContainsBlanks" dxfId="82" priority="33">
      <formula>LEN(TRIM(E56))&gt;0</formula>
    </cfRule>
  </conditionalFormatting>
  <conditionalFormatting sqref="E56">
    <cfRule type="notContainsBlanks" dxfId="81" priority="32">
      <formula>LEN(TRIM(E56))&gt;0</formula>
    </cfRule>
  </conditionalFormatting>
  <conditionalFormatting sqref="E69">
    <cfRule type="notContainsBlanks" dxfId="80" priority="31">
      <formula>LEN(TRIM(E69))&gt;0</formula>
    </cfRule>
  </conditionalFormatting>
  <conditionalFormatting sqref="E69">
    <cfRule type="notContainsBlanks" dxfId="79" priority="30">
      <formula>LEN(TRIM(E69))&gt;0</formula>
    </cfRule>
  </conditionalFormatting>
  <conditionalFormatting sqref="E82">
    <cfRule type="notContainsBlanks" dxfId="78" priority="29">
      <formula>LEN(TRIM(E82))&gt;0</formula>
    </cfRule>
  </conditionalFormatting>
  <conditionalFormatting sqref="E82">
    <cfRule type="notContainsBlanks" dxfId="77" priority="28">
      <formula>LEN(TRIM(E82))&gt;0</formula>
    </cfRule>
  </conditionalFormatting>
  <conditionalFormatting sqref="E95">
    <cfRule type="notContainsBlanks" dxfId="76" priority="27">
      <formula>LEN(TRIM(E95))&gt;0</formula>
    </cfRule>
  </conditionalFormatting>
  <conditionalFormatting sqref="E95">
    <cfRule type="notContainsBlanks" dxfId="75" priority="26">
      <formula>LEN(TRIM(E95))&gt;0</formula>
    </cfRule>
  </conditionalFormatting>
  <conditionalFormatting sqref="E108">
    <cfRule type="notContainsBlanks" dxfId="74" priority="25">
      <formula>LEN(TRIM(E108))&gt;0</formula>
    </cfRule>
  </conditionalFormatting>
  <conditionalFormatting sqref="E108">
    <cfRule type="notContainsBlanks" dxfId="73" priority="24">
      <formula>LEN(TRIM(E108))&gt;0</formula>
    </cfRule>
  </conditionalFormatting>
  <conditionalFormatting sqref="E121">
    <cfRule type="notContainsBlanks" dxfId="72" priority="23">
      <formula>LEN(TRIM(E121))&gt;0</formula>
    </cfRule>
  </conditionalFormatting>
  <conditionalFormatting sqref="E121">
    <cfRule type="notContainsBlanks" dxfId="71" priority="22">
      <formula>LEN(TRIM(E121))&gt;0</formula>
    </cfRule>
  </conditionalFormatting>
  <conditionalFormatting sqref="E134">
    <cfRule type="notContainsBlanks" dxfId="70" priority="21">
      <formula>LEN(TRIM(E134))&gt;0</formula>
    </cfRule>
  </conditionalFormatting>
  <conditionalFormatting sqref="E134">
    <cfRule type="notContainsBlanks" dxfId="69" priority="20">
      <formula>LEN(TRIM(E134))&gt;0</formula>
    </cfRule>
  </conditionalFormatting>
  <conditionalFormatting sqref="E147">
    <cfRule type="notContainsBlanks" dxfId="68" priority="19">
      <formula>LEN(TRIM(E147))&gt;0</formula>
    </cfRule>
  </conditionalFormatting>
  <conditionalFormatting sqref="E147">
    <cfRule type="notContainsBlanks" dxfId="67" priority="18">
      <formula>LEN(TRIM(E147))&gt;0</formula>
    </cfRule>
  </conditionalFormatting>
  <conditionalFormatting sqref="E161">
    <cfRule type="notContainsBlanks" dxfId="66" priority="17">
      <formula>LEN(TRIM(E161))&gt;0</formula>
    </cfRule>
  </conditionalFormatting>
  <conditionalFormatting sqref="E161">
    <cfRule type="notContainsBlanks" dxfId="65" priority="16">
      <formula>LEN(TRIM(E161))&gt;0</formula>
    </cfRule>
  </conditionalFormatting>
  <conditionalFormatting sqref="E174">
    <cfRule type="notContainsBlanks" dxfId="64" priority="15">
      <formula>LEN(TRIM(E174))&gt;0</formula>
    </cfRule>
  </conditionalFormatting>
  <conditionalFormatting sqref="E174">
    <cfRule type="notContainsBlanks" dxfId="63" priority="14">
      <formula>LEN(TRIM(E174))&gt;0</formula>
    </cfRule>
  </conditionalFormatting>
  <conditionalFormatting sqref="E187">
    <cfRule type="notContainsBlanks" dxfId="62" priority="13">
      <formula>LEN(TRIM(E187))&gt;0</formula>
    </cfRule>
  </conditionalFormatting>
  <conditionalFormatting sqref="E187">
    <cfRule type="notContainsBlanks" dxfId="61" priority="12">
      <formula>LEN(TRIM(E187))&gt;0</formula>
    </cfRule>
  </conditionalFormatting>
  <conditionalFormatting sqref="E200">
    <cfRule type="notContainsBlanks" dxfId="60" priority="11">
      <formula>LEN(TRIM(E200))&gt;0</formula>
    </cfRule>
  </conditionalFormatting>
  <conditionalFormatting sqref="E200">
    <cfRule type="notContainsBlanks" dxfId="59" priority="10">
      <formula>LEN(TRIM(E200))&gt;0</formula>
    </cfRule>
  </conditionalFormatting>
  <conditionalFormatting sqref="E215">
    <cfRule type="notContainsBlanks" dxfId="58" priority="9">
      <formula>LEN(TRIM(E215))&gt;0</formula>
    </cfRule>
  </conditionalFormatting>
  <conditionalFormatting sqref="E215">
    <cfRule type="notContainsBlanks" dxfId="57" priority="8">
      <formula>LEN(TRIM(E215))&gt;0</formula>
    </cfRule>
  </conditionalFormatting>
  <conditionalFormatting sqref="E228">
    <cfRule type="notContainsBlanks" dxfId="56" priority="7">
      <formula>LEN(TRIM(E228))&gt;0</formula>
    </cfRule>
  </conditionalFormatting>
  <conditionalFormatting sqref="E228">
    <cfRule type="notContainsBlanks" dxfId="55" priority="6">
      <formula>LEN(TRIM(E228))&gt;0</formula>
    </cfRule>
  </conditionalFormatting>
  <conditionalFormatting sqref="E241">
    <cfRule type="notContainsBlanks" dxfId="54" priority="5">
      <formula>LEN(TRIM(E241))&gt;0</formula>
    </cfRule>
  </conditionalFormatting>
  <conditionalFormatting sqref="E241">
    <cfRule type="notContainsBlanks" dxfId="53" priority="4">
      <formula>LEN(TRIM(E241))&gt;0</formula>
    </cfRule>
  </conditionalFormatting>
  <conditionalFormatting sqref="E254">
    <cfRule type="notContainsBlanks" dxfId="52" priority="3">
      <formula>LEN(TRIM(E254))&gt;0</formula>
    </cfRule>
  </conditionalFormatting>
  <conditionalFormatting sqref="E254">
    <cfRule type="notContainsBlanks" dxfId="51" priority="2">
      <formula>LEN(TRIM(E254))&gt;0</formula>
    </cfRule>
  </conditionalFormatting>
  <conditionalFormatting sqref="A1:XFD1048576">
    <cfRule type="containsBlanks" dxfId="50" priority="1">
      <formula>LEN(TRIM(A1))=0</formula>
    </cfRule>
  </conditionalFormatting>
  <pageMargins left="0.511811024" right="0.511811024" top="0.53" bottom="0.49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2:T42"/>
  <sheetViews>
    <sheetView workbookViewId="0">
      <selection activeCell="E41" sqref="E41"/>
    </sheetView>
  </sheetViews>
  <sheetFormatPr defaultRowHeight="15" x14ac:dyDescent="0.3"/>
  <cols>
    <col min="1" max="2" width="5.7109375" customWidth="1"/>
    <col min="3" max="3" width="14.85546875" bestFit="1" customWidth="1"/>
    <col min="4" max="4" width="38.140625" bestFit="1" customWidth="1"/>
    <col min="5" max="5" width="18.42578125" bestFit="1" customWidth="1"/>
    <col min="6" max="7" width="25.85546875" bestFit="1" customWidth="1"/>
    <col min="8" max="8" width="13.7109375" bestFit="1" customWidth="1"/>
    <col min="9" max="9" width="10.140625" bestFit="1" customWidth="1"/>
    <col min="10" max="10" width="19.5703125" bestFit="1" customWidth="1"/>
    <col min="11" max="11" width="8.28515625" bestFit="1" customWidth="1"/>
    <col min="12" max="12" width="25.85546875" bestFit="1" customWidth="1"/>
    <col min="13" max="13" width="12.7109375" bestFit="1" customWidth="1"/>
    <col min="14" max="14" width="6.42578125" bestFit="1" customWidth="1"/>
    <col min="15" max="15" width="10.28515625" bestFit="1" customWidth="1"/>
    <col min="16" max="16" width="18.42578125" bestFit="1" customWidth="1"/>
    <col min="17" max="17" width="16" bestFit="1" customWidth="1"/>
    <col min="18" max="18" width="10" bestFit="1" customWidth="1"/>
    <col min="19" max="19" width="12" bestFit="1" customWidth="1"/>
    <col min="20" max="20" width="11.5703125" bestFit="1" customWidth="1"/>
  </cols>
  <sheetData>
    <row r="2" spans="1:20" x14ac:dyDescent="0.3">
      <c r="B2" s="5" t="s">
        <v>405</v>
      </c>
      <c r="C2" s="5" t="s">
        <v>73</v>
      </c>
      <c r="D2" s="5" t="s">
        <v>538</v>
      </c>
      <c r="E2" s="5" t="s">
        <v>1</v>
      </c>
      <c r="F2" s="5" t="s">
        <v>407</v>
      </c>
      <c r="G2" s="5" t="s">
        <v>433</v>
      </c>
      <c r="H2" s="5" t="s">
        <v>464</v>
      </c>
      <c r="I2" s="5" t="s">
        <v>465</v>
      </c>
      <c r="J2" s="5" t="s">
        <v>486</v>
      </c>
      <c r="K2" s="5" t="s">
        <v>487</v>
      </c>
      <c r="L2" s="5" t="s">
        <v>494</v>
      </c>
      <c r="M2" s="5" t="s">
        <v>512</v>
      </c>
      <c r="N2" s="5" t="s">
        <v>513</v>
      </c>
      <c r="O2" s="5" t="s">
        <v>514</v>
      </c>
      <c r="P2" s="5" t="s">
        <v>533</v>
      </c>
      <c r="Q2" s="5" t="s">
        <v>551</v>
      </c>
      <c r="R2" s="5" t="s">
        <v>692</v>
      </c>
      <c r="S2" s="5" t="s">
        <v>1087</v>
      </c>
      <c r="T2" s="5" t="s">
        <v>1109</v>
      </c>
    </row>
    <row r="3" spans="1:20" x14ac:dyDescent="0.3">
      <c r="A3" s="1">
        <v>1</v>
      </c>
      <c r="B3">
        <v>29</v>
      </c>
      <c r="C3" t="str">
        <f>IF($B3=1,"",VLOOKUP($B3,'Dados dos fundos'!$A$3:$L$200,2,FALSE))</f>
        <v>BB IRF-M</v>
      </c>
      <c r="D3" t="str">
        <f>IF($B3=1,"",VLOOKUP($B3,'Dados dos fundos'!$A$3:$L$200,3,FALSE))</f>
        <v>BB IRF-M TÍTULOS PÚBLICOS FI RENDA FIXA PREVIDENCIÁRIO</v>
      </c>
      <c r="E3" s="164" t="str">
        <f>IF($B3=1,"",VLOOKUP($B3,'Dados dos fundos'!$A$3:$L$200,6,FALSE))</f>
        <v>07.111.384/0001-69</v>
      </c>
      <c r="F3" t="str">
        <f>IF($B3=1,"",VLOOKUP($B3,'Dados dos fundos'!$A$3:$L$200,7,FALSE))</f>
        <v>BB Gestão de Recursos DTVM</v>
      </c>
      <c r="G3" t="str">
        <f>IF($B3=1,"",VLOOKUP($B3,'Dados dos fundos'!$A$3:$L$200,8,FALSE))</f>
        <v>BB Gestão de Recursos DTVM</v>
      </c>
      <c r="H3" t="str">
        <f>IF($B3=1,"",VLOOKUP($B3,'Dados dos fundos'!$A$3:$L$200,9,FALSE))</f>
        <v>Banco do Brasil</v>
      </c>
      <c r="I3" t="str">
        <f>IF($B3=1,"",VLOOKUP($B3,'Dados dos fundos'!$A$3:$L$200,10,FALSE))</f>
        <v>IRF-M</v>
      </c>
      <c r="J3" t="str">
        <f>IF($B3=1,"",VLOOKUP($B3,'Dados dos fundos'!$A$3:$L$200,11,FALSE))</f>
        <v>Aberto</v>
      </c>
      <c r="K3" t="str">
        <f>IF($B3=1,"",VLOOKUP($B3,'Dados dos fundos'!$A$3:$L$200,12,FALSE))</f>
        <v>Não há</v>
      </c>
      <c r="L3" s="11" t="str">
        <f>IF($B3=1,"",VLOOKUP($B3,'Dados dos fundos'!$A$3:$M$200,13,FALSE))</f>
        <v>FI 100% títulos TN - Art. 7º, I, "b"</v>
      </c>
      <c r="M3" s="206">
        <f>IF($L3="","",VLOOKUP($L3,Dados_Clientes!$K$3:$N$18,2,FALSE))</f>
        <v>1</v>
      </c>
      <c r="N3" s="206">
        <f>IF($L3="","",VLOOKUP($L3,Dados_Clientes!$K$3:$N$18,3,FALSE))</f>
        <v>1</v>
      </c>
      <c r="O3" s="206" t="str">
        <f>IF($L3="","",VLOOKUP($L3,Dados_Clientes!$K$3:$N$18,4,FALSE))</f>
        <v>Renda Fixa</v>
      </c>
      <c r="P3" s="206" t="str">
        <f>IF(B3=1,"",VLOOKUP(B3,'Dados dos fundos'!$A$3:$N$200,14,FALSE))</f>
        <v>30.822.936/0001-69</v>
      </c>
      <c r="Q3" s="259">
        <f>IF(E3="","",VLOOKUP(E3,'Dados dos fundos'!$C$224:$D$389,2,FALSE))</f>
        <v>1550396235.23</v>
      </c>
      <c r="R3" s="206">
        <f>IF(E3="","",VLOOKUP(E3,'Dados dos fundos'!$C$224:$I$389,7,FALSE))</f>
        <v>3.5630414340000001</v>
      </c>
      <c r="S3" s="234">
        <f>IF(E3="","",VLOOKUP(E3,'Dados dos fundos'!$C$224:$K$389,8,FALSE))</f>
        <v>1.46E-2</v>
      </c>
      <c r="T3" s="282">
        <f>IF(E3="","",VLOOKUP(E3,'Dados dos fundos'!$C$224:$K$389,9,FALSE))</f>
        <v>500</v>
      </c>
    </row>
    <row r="4" spans="1:20" x14ac:dyDescent="0.3">
      <c r="A4" s="1">
        <v>2</v>
      </c>
      <c r="B4">
        <v>32</v>
      </c>
      <c r="C4" s="223" t="str">
        <f>IF($B4=1,"",VLOOKUP($B4,'Dados dos fundos'!$A$3:$L$200,2,FALSE))</f>
        <v>BB Perfil</v>
      </c>
      <c r="D4" s="223" t="str">
        <f>IF($B4=1,"",VLOOKUP($B4,'Dados dos fundos'!$A$3:$L$200,3,FALSE))</f>
        <v>BB PERFIL FIC RENDA FIXA PREVIDENCIÁRIO</v>
      </c>
      <c r="E4" s="164" t="str">
        <f>IF($B4=1,"",VLOOKUP($B4,'Dados dos fundos'!$A$3:$L$200,6,FALSE))</f>
        <v>13.077.418/0001-49</v>
      </c>
      <c r="F4" s="223" t="str">
        <f>IF($B4=1,"",VLOOKUP($B4,'Dados dos fundos'!$A$3:$L$200,7,FALSE))</f>
        <v>BB Gestão de Recursos DTVM</v>
      </c>
      <c r="G4" s="223" t="str">
        <f>IF($B4=1,"",VLOOKUP($B4,'Dados dos fundos'!$A$3:$L$200,8,FALSE))</f>
        <v>BB Gestão de Recursos DTVM</v>
      </c>
      <c r="H4" s="223" t="str">
        <f>IF($B4=1,"",VLOOKUP($B4,'Dados dos fundos'!$A$3:$L$200,9,FALSE))</f>
        <v>Banco do Brasil</v>
      </c>
      <c r="I4" s="223" t="str">
        <f>IF($B4=1,"",VLOOKUP($B4,'Dados dos fundos'!$A$3:$L$200,10,FALSE))</f>
        <v>CDI</v>
      </c>
      <c r="J4" s="223" t="str">
        <f>IF($B4=1,"",VLOOKUP($B4,'Dados dos fundos'!$A$3:$L$200,11,FALSE))</f>
        <v>Aberto</v>
      </c>
      <c r="K4" s="223" t="str">
        <f>IF($B4=1,"",VLOOKUP($B4,'Dados dos fundos'!$A$3:$L$200,12,FALSE))</f>
        <v>Não há</v>
      </c>
      <c r="L4" s="223" t="str">
        <f>IF($B4=1,"",VLOOKUP($B4,'Dados dos fundos'!$A$3:$M$200,13,FALSE))</f>
        <v>FI de Renda Fixa - Art. 7º, IV</v>
      </c>
      <c r="M4" s="206">
        <f>IF($L4="","",VLOOKUP($L4,Dados_Clientes!$K$3:$N$18,2,FALSE))</f>
        <v>0.2</v>
      </c>
      <c r="N4" s="206">
        <f>IF($L4="","",VLOOKUP($L4,Dados_Clientes!$K$3:$N$18,3,FALSE))</f>
        <v>0.3</v>
      </c>
      <c r="O4" s="206" t="str">
        <f>IF($L4="","",VLOOKUP($L4,Dados_Clientes!$K$3:$N$18,4,FALSE))</f>
        <v>Renda Fixa</v>
      </c>
      <c r="P4" s="206" t="str">
        <f>IF(B4=1,"",VLOOKUP(B4,'Dados dos fundos'!$A$3:$N$200,14,FALSE))</f>
        <v>30.822.936/0001-69</v>
      </c>
      <c r="Q4" s="259">
        <f>IF(E4="","",VLOOKUP(E4,'Dados dos fundos'!$C$224:$D$389,2,FALSE))</f>
        <v>6495245017.6300001</v>
      </c>
      <c r="R4" s="206">
        <f>IF(E4="","",VLOOKUP(E4,'Dados dos fundos'!$C$224:$I$389,7,FALSE))</f>
        <v>1.6452009999999999</v>
      </c>
      <c r="S4" s="234">
        <f>IF(E4="","",VLOOKUP(E4,'Dados dos fundos'!$C$224:$K$389,8,FALSE))</f>
        <v>1E-4</v>
      </c>
      <c r="T4" s="282">
        <f>IF(E4="","",VLOOKUP(E4,'Dados dos fundos'!$C$224:$K$389,9,FALSE))</f>
        <v>843</v>
      </c>
    </row>
    <row r="5" spans="1:20" x14ac:dyDescent="0.3">
      <c r="A5" s="1">
        <v>3</v>
      </c>
      <c r="B5">
        <v>39</v>
      </c>
      <c r="C5" s="223" t="str">
        <f>IF($B5=1,"",VLOOKUP($B5,'Dados dos fundos'!$A$3:$L$200,2,FALSE))</f>
        <v>BB IX TP</v>
      </c>
      <c r="D5" s="223" t="str">
        <f>IF($B5=1,"",VLOOKUP($B5,'Dados dos fundos'!$A$3:$L$200,3,FALSE))</f>
        <v>BB Prev RF Tit Publ IX FI</v>
      </c>
      <c r="E5" s="164" t="str">
        <f>IF($B5=1,"",VLOOKUP($B5,'Dados dos fundos'!$A$3:$L$200,6,FALSE))</f>
        <v>20.734.937/0001-06</v>
      </c>
      <c r="F5" s="223" t="str">
        <f>IF($B5=1,"",VLOOKUP($B5,'Dados dos fundos'!$A$3:$L$200,7,FALSE))</f>
        <v>BB Gestao de Recursos Dtvm S.A.</v>
      </c>
      <c r="G5" s="223" t="str">
        <f>IF($B5=1,"",VLOOKUP($B5,'Dados dos fundos'!$A$3:$L$200,8,FALSE))</f>
        <v>BB Gestao de Recursos Dtvm S.A.</v>
      </c>
      <c r="H5" s="223" t="str">
        <f>IF($B5=1,"",VLOOKUP($B5,'Dados dos fundos'!$A$3:$L$200,9,FALSE))</f>
        <v>Banco do Brasil</v>
      </c>
      <c r="I5" s="223" t="str">
        <f>IF($B5=1,"",VLOOKUP($B5,'Dados dos fundos'!$A$3:$L$200,10,FALSE))</f>
        <v>-</v>
      </c>
      <c r="J5" s="223" t="str">
        <f>IF($B5=1,"",VLOOKUP($B5,'Dados dos fundos'!$A$3:$L$200,11,FALSE))</f>
        <v>Aberto</v>
      </c>
      <c r="K5" s="223" t="str">
        <f>IF($B5=1,"",VLOOKUP($B5,'Dados dos fundos'!$A$3:$L$200,12,FALSE))</f>
        <v>-</v>
      </c>
      <c r="L5" s="223" t="str">
        <f>IF($B5=1,"",VLOOKUP($B5,'Dados dos fundos'!$A$3:$M$200,13,FALSE))</f>
        <v>FI 100% títulos TN - Art. 7º, I, "b"</v>
      </c>
      <c r="M5" s="206">
        <f>IF($L5="","",VLOOKUP($L5,Dados_Clientes!$K$3:$N$18,2,FALSE))</f>
        <v>1</v>
      </c>
      <c r="N5" s="206">
        <f>IF($L5="","",VLOOKUP($L5,Dados_Clientes!$K$3:$N$18,3,FALSE))</f>
        <v>1</v>
      </c>
      <c r="O5" s="206" t="str">
        <f>IF($L5="","",VLOOKUP($L5,Dados_Clientes!$K$3:$N$18,4,FALSE))</f>
        <v>Renda Fixa</v>
      </c>
      <c r="P5" s="206" t="str">
        <f>IF(B5=1,"",VLOOKUP(B5,'Dados dos fundos'!$A$3:$N$200,14,FALSE))</f>
        <v>30.822.936/0001-69</v>
      </c>
      <c r="Q5" s="259">
        <f>IF(E5="","",VLOOKUP(E5,'Dados dos fundos'!$C$224:$D$389,2,FALSE))</f>
        <v>2254122552.9899998</v>
      </c>
      <c r="R5" s="206">
        <f>IF(E5="","",VLOOKUP(E5,'Dados dos fundos'!$C$224:$I$389,7,FALSE))</f>
        <v>1.1489492080000001</v>
      </c>
      <c r="S5" s="234">
        <f>IF(E5="","",VLOOKUP(E5,'Dados dos fundos'!$C$224:$K$389,8,FALSE))</f>
        <v>3.3E-3</v>
      </c>
      <c r="T5" s="282">
        <f>IF(E5="","",VLOOKUP(E5,'Dados dos fundos'!$C$224:$K$389,9,FALSE))</f>
        <v>193</v>
      </c>
    </row>
    <row r="6" spans="1:20" x14ac:dyDescent="0.3">
      <c r="A6" s="1">
        <v>4</v>
      </c>
      <c r="B6">
        <v>28</v>
      </c>
      <c r="C6" s="223" t="str">
        <f>IF($B6=1,"",VLOOKUP($B6,'Dados dos fundos'!$A$3:$L$200,2,FALSE))</f>
        <v>BB IRF-M1</v>
      </c>
      <c r="D6" s="223" t="str">
        <f>IF($B6=1,"",VLOOKUP($B6,'Dados dos fundos'!$A$3:$L$200,3,FALSE))</f>
        <v>BB IRF M1 TÍTULOS PÚBLICOS FIC RENDA FIXA PREVIDENCIÁRIO</v>
      </c>
      <c r="E6" s="164" t="str">
        <f>IF($B6=1,"",VLOOKUP($B6,'Dados dos fundos'!$A$3:$L$200,6,FALSE))</f>
        <v>11.328.882/0001-35</v>
      </c>
      <c r="F6" s="223" t="str">
        <f>IF($B6=1,"",VLOOKUP($B6,'Dados dos fundos'!$A$3:$L$200,7,FALSE))</f>
        <v>BB Gestão de Recursos DTVM</v>
      </c>
      <c r="G6" s="223" t="str">
        <f>IF($B6=1,"",VLOOKUP($B6,'Dados dos fundos'!$A$3:$L$200,8,FALSE))</f>
        <v>BB Gestão de Recursos DTVM</v>
      </c>
      <c r="H6" s="223" t="str">
        <f>IF($B6=1,"",VLOOKUP($B6,'Dados dos fundos'!$A$3:$L$200,9,FALSE))</f>
        <v>Banco do Brasil</v>
      </c>
      <c r="I6" s="223" t="str">
        <f>IF($B6=1,"",VLOOKUP($B6,'Dados dos fundos'!$A$3:$L$200,10,FALSE))</f>
        <v>IRF-M</v>
      </c>
      <c r="J6" s="223" t="str">
        <f>IF($B6=1,"",VLOOKUP($B6,'Dados dos fundos'!$A$3:$L$200,11,FALSE))</f>
        <v>Aberto</v>
      </c>
      <c r="K6" s="223" t="str">
        <f>IF($B6=1,"",VLOOKUP($B6,'Dados dos fundos'!$A$3:$L$200,12,FALSE))</f>
        <v>Não há</v>
      </c>
      <c r="L6" s="223" t="str">
        <f>IF($B6=1,"",VLOOKUP($B6,'Dados dos fundos'!$A$3:$M$200,13,FALSE))</f>
        <v>FI 100% títulos TN - Art. 7º, I, "b"</v>
      </c>
      <c r="M6" s="206">
        <f>IF($L6="","",VLOOKUP($L6,Dados_Clientes!$K$3:$N$18,2,FALSE))</f>
        <v>1</v>
      </c>
      <c r="N6" s="206">
        <f>IF($L6="","",VLOOKUP($L6,Dados_Clientes!$K$3:$N$18,3,FALSE))</f>
        <v>1</v>
      </c>
      <c r="O6" s="206" t="str">
        <f>IF($L6="","",VLOOKUP($L6,Dados_Clientes!$K$3:$N$18,4,FALSE))</f>
        <v>Renda Fixa</v>
      </c>
      <c r="P6" s="206" t="str">
        <f>IF(B6=1,"",VLOOKUP(B6,'Dados dos fundos'!$A$3:$N$200,14,FALSE))</f>
        <v>30.822.936/0001-69</v>
      </c>
      <c r="Q6" s="259">
        <f>IF(E6="","",VLOOKUP(E6,'Dados dos fundos'!$C$224:$D$389,2,FALSE))</f>
        <v>7780026492.54</v>
      </c>
      <c r="R6" s="206">
        <f>IF(E6="","",VLOOKUP(E6,'Dados dos fundos'!$C$224:$I$389,7,FALSE))</f>
        <v>1.8981250000000001</v>
      </c>
      <c r="S6" s="234">
        <f>IF(E6="","",VLOOKUP(E6,'Dados dos fundos'!$C$224:$K$389,8,FALSE))</f>
        <v>1E-3</v>
      </c>
      <c r="T6" s="282">
        <f>IF(E6="","",VLOOKUP(E6,'Dados dos fundos'!$C$224:$K$389,9,FALSE))</f>
        <v>1169</v>
      </c>
    </row>
    <row r="7" spans="1:20" x14ac:dyDescent="0.3">
      <c r="A7" s="1">
        <v>5</v>
      </c>
      <c r="B7">
        <v>60</v>
      </c>
      <c r="C7" s="223" t="str">
        <f>IF($B7=1,"",VLOOKUP($B7,'Dados dos fundos'!$A$3:$L$200,2,FALSE))</f>
        <v>Caixa 2016 I TP RF</v>
      </c>
      <c r="D7" s="223" t="str">
        <f>IF($B7=1,"",VLOOKUP($B7,'Dados dos fundos'!$A$3:$L$200,3,FALSE))</f>
        <v>FI Caixa Brasil 2016 I Tp RF</v>
      </c>
      <c r="E7" s="164" t="str">
        <f>IF($B7=1,"",VLOOKUP($B7,'Dados dos fundos'!$A$3:$L$200,6,FALSE))</f>
        <v>20.139.299/0001-77</v>
      </c>
      <c r="F7" s="223" t="str">
        <f>IF($B7=1,"",VLOOKUP($B7,'Dados dos fundos'!$A$3:$L$200,7,FALSE))</f>
        <v>Caixa Econômica Federal</v>
      </c>
      <c r="G7" s="223" t="str">
        <f>IF($B7=1,"",VLOOKUP($B7,'Dados dos fundos'!$A$3:$L$200,8,FALSE))</f>
        <v>Caixa Econômica Federal</v>
      </c>
      <c r="H7" s="223" t="str">
        <f>IF($B7=1,"",VLOOKUP($B7,'Dados dos fundos'!$A$3:$L$200,9,FALSE))</f>
        <v>Caixa Econômica Federal</v>
      </c>
      <c r="I7" s="223" t="str">
        <f>IF($B7=1,"",VLOOKUP($B7,'Dados dos fundos'!$A$3:$L$200,10,FALSE))</f>
        <v>Não definido</v>
      </c>
      <c r="J7" s="223" t="str">
        <f>IF($B7=1,"",VLOOKUP($B7,'Dados dos fundos'!$A$3:$L$200,11,FALSE))</f>
        <v>Aberto</v>
      </c>
      <c r="K7" s="223" t="str">
        <f>IF($B7=1,"",VLOOKUP($B7,'Dados dos fundos'!$A$3:$L$200,12,FALSE))</f>
        <v>Não há</v>
      </c>
      <c r="L7" s="223" t="str">
        <f>IF($B7=1,"",VLOOKUP($B7,'Dados dos fundos'!$A$3:$M$200,13,FALSE))</f>
        <v>FI 100% títulos TN - Art. 7º, I, "b"</v>
      </c>
      <c r="M7" s="206">
        <f>IF($L7="","",VLOOKUP($L7,Dados_Clientes!$K$3:$N$18,2,FALSE))</f>
        <v>1</v>
      </c>
      <c r="N7" s="206">
        <f>IF($L7="","",VLOOKUP($L7,Dados_Clientes!$K$3:$N$18,3,FALSE))</f>
        <v>1</v>
      </c>
      <c r="O7" s="206" t="str">
        <f>IF($L7="","",VLOOKUP($L7,Dados_Clientes!$K$3:$N$18,4,FALSE))</f>
        <v>Renda Fixa</v>
      </c>
      <c r="P7" s="206" t="str">
        <f>IF(B7=1,"",VLOOKUP(B7,'Dados dos fundos'!$A$3:$N$200,14,FALSE))</f>
        <v>00.360.305/0001-04</v>
      </c>
      <c r="Q7" s="259">
        <f>IF(E7="","",VLOOKUP(E7,'Dados dos fundos'!$C$224:$D$389,2,FALSE))</f>
        <v>1466638401.1300001</v>
      </c>
      <c r="R7" s="206">
        <f>IF(E7="","",VLOOKUP(E7,'Dados dos fundos'!$C$224:$I$389,7,FALSE))</f>
        <v>1.0861730000000001</v>
      </c>
      <c r="S7" s="234">
        <f>IF(E7="","",VLOOKUP(E7,'Dados dos fundos'!$C$224:$K$389,8,FALSE))</f>
        <v>2E-3</v>
      </c>
      <c r="T7" s="282">
        <f>IF(E7="","",VLOOKUP(E7,'Dados dos fundos'!$C$224:$K$389,9,FALSE))</f>
        <v>119</v>
      </c>
    </row>
    <row r="8" spans="1:20" x14ac:dyDescent="0.3">
      <c r="A8" s="1">
        <v>6</v>
      </c>
      <c r="B8">
        <v>74</v>
      </c>
      <c r="C8" s="223" t="str">
        <f>IF($B8=1,"",VLOOKUP($B8,'Dados dos fundos'!$A$3:$L$200,2,FALSE))</f>
        <v>Caixa Ref. DI LP</v>
      </c>
      <c r="D8" s="223" t="str">
        <f>IF($B8=1,"",VLOOKUP($B8,'Dados dos fundos'!$A$3:$L$200,3,FALSE))</f>
        <v>CAIXA BRASIL FI REFERENCIADO DI LP</v>
      </c>
      <c r="E8" s="164" t="str">
        <f>IF($B8=1,"",VLOOKUP($B8,'Dados dos fundos'!$A$3:$L$200,6,FALSE))</f>
        <v>03.737.206/0001-97</v>
      </c>
      <c r="F8" s="223" t="str">
        <f>IF($B8=1,"",VLOOKUP($B8,'Dados dos fundos'!$A$3:$L$200,7,FALSE))</f>
        <v>Caixa Econômica Federal</v>
      </c>
      <c r="G8" s="223" t="str">
        <f>IF($B8=1,"",VLOOKUP($B8,'Dados dos fundos'!$A$3:$L$200,8,FALSE))</f>
        <v>Caixa Econômica Federal</v>
      </c>
      <c r="H8" s="223" t="str">
        <f>IF($B8=1,"",VLOOKUP($B8,'Dados dos fundos'!$A$3:$L$200,9,FALSE))</f>
        <v>Caixa Econômica Federal</v>
      </c>
      <c r="I8" s="223" t="str">
        <f>IF($B8=1,"",VLOOKUP($B8,'Dados dos fundos'!$A$3:$L$200,10,FALSE))</f>
        <v>CDI</v>
      </c>
      <c r="J8" s="223" t="str">
        <f>IF($B8=1,"",VLOOKUP($B8,'Dados dos fundos'!$A$3:$L$200,11,FALSE))</f>
        <v>Aberto</v>
      </c>
      <c r="K8" s="223" t="str">
        <f>IF($B8=1,"",VLOOKUP($B8,'Dados dos fundos'!$A$3:$L$200,12,FALSE))</f>
        <v>Não há</v>
      </c>
      <c r="L8" s="223" t="str">
        <f>IF($B8=1,"",VLOOKUP($B8,'Dados dos fundos'!$A$3:$M$200,13,FALSE))</f>
        <v>FI de Renda Fixa - Art. 7º, IV</v>
      </c>
      <c r="M8" s="206">
        <f>IF($L8="","",VLOOKUP($L8,Dados_Clientes!$K$3:$N$18,2,FALSE))</f>
        <v>0.2</v>
      </c>
      <c r="N8" s="206">
        <f>IF($L8="","",VLOOKUP($L8,Dados_Clientes!$K$3:$N$18,3,FALSE))</f>
        <v>0.3</v>
      </c>
      <c r="O8" s="206" t="str">
        <f>IF($L8="","",VLOOKUP($L8,Dados_Clientes!$K$3:$N$18,4,FALSE))</f>
        <v>Renda Fixa</v>
      </c>
      <c r="P8" s="206" t="str">
        <f>IF(B8=1,"",VLOOKUP(B8,'Dados dos fundos'!$A$3:$N$200,14,FALSE))</f>
        <v>00.360.305/0001-04</v>
      </c>
      <c r="Q8" s="259">
        <f>IF(E8="","",VLOOKUP(E8,'Dados dos fundos'!$C$224:$D$389,2,FALSE))</f>
        <v>4367781353.9099998</v>
      </c>
      <c r="R8" s="206">
        <f>IF(E8="","",VLOOKUP(E8,'Dados dos fundos'!$C$224:$I$389,7,FALSE))</f>
        <v>2.6786530000000002</v>
      </c>
      <c r="S8" s="234">
        <f>IF(E8="","",VLOOKUP(E8,'Dados dos fundos'!$C$224:$K$389,8,FALSE))</f>
        <v>2.0000000000000001E-4</v>
      </c>
      <c r="T8" s="282">
        <f>IF(E8="","",VLOOKUP(E8,'Dados dos fundos'!$C$224:$K$389,9,FALSE))</f>
        <v>752</v>
      </c>
    </row>
    <row r="9" spans="1:20" x14ac:dyDescent="0.3">
      <c r="A9" s="1">
        <v>7</v>
      </c>
      <c r="B9">
        <v>88</v>
      </c>
      <c r="C9" s="223" t="str">
        <f>IF($B9=1,"",VLOOKUP($B9,'Dados dos fundos'!$A$3:$L$200,2,FALSE))</f>
        <v>Caixa IRF-M1</v>
      </c>
      <c r="D9" s="223" t="str">
        <f>IF($B9=1,"",VLOOKUP($B9,'Dados dos fundos'!$A$3:$L$200,3,FALSE))</f>
        <v>CAIXA BRASIL IRF-M 1 TÍTULOS PÚBLICOS FI RENDA FIXA</v>
      </c>
      <c r="E9" s="164" t="str">
        <f>IF($B9=1,"",VLOOKUP($B9,'Dados dos fundos'!$A$3:$L$200,6,FALSE))</f>
        <v>10.740.670/0001-06</v>
      </c>
      <c r="F9" s="223" t="str">
        <f>IF($B9=1,"",VLOOKUP($B9,'Dados dos fundos'!$A$3:$L$200,7,FALSE))</f>
        <v>Caixa Econômica Federal</v>
      </c>
      <c r="G9" s="223" t="str">
        <f>IF($B9=1,"",VLOOKUP($B9,'Dados dos fundos'!$A$3:$L$200,8,FALSE))</f>
        <v>Caixa Econômica Federal</v>
      </c>
      <c r="H9" s="223" t="str">
        <f>IF($B9=1,"",VLOOKUP($B9,'Dados dos fundos'!$A$3:$L$200,9,FALSE))</f>
        <v>Caixa Econômica Federal</v>
      </c>
      <c r="I9" s="223" t="str">
        <f>IF($B9=1,"",VLOOKUP($B9,'Dados dos fundos'!$A$3:$L$200,10,FALSE))</f>
        <v>IRF-M</v>
      </c>
      <c r="J9" s="223" t="str">
        <f>IF($B9=1,"",VLOOKUP($B9,'Dados dos fundos'!$A$3:$L$200,11,FALSE))</f>
        <v>Aberto</v>
      </c>
      <c r="K9" s="223" t="str">
        <f>IF($B9=1,"",VLOOKUP($B9,'Dados dos fundos'!$A$3:$L$200,12,FALSE))</f>
        <v>Não há</v>
      </c>
      <c r="L9" s="223" t="str">
        <f>IF($B9=1,"",VLOOKUP($B9,'Dados dos fundos'!$A$3:$M$200,13,FALSE))</f>
        <v>FI 100% títulos TN - Art. 7º, I, "b"</v>
      </c>
      <c r="M9" s="206">
        <f>IF($L9="","",VLOOKUP($L9,Dados_Clientes!$K$3:$N$18,2,FALSE))</f>
        <v>1</v>
      </c>
      <c r="N9" s="206">
        <f>IF($L9="","",VLOOKUP($L9,Dados_Clientes!$K$3:$N$18,3,FALSE))</f>
        <v>1</v>
      </c>
      <c r="O9" s="206" t="str">
        <f>IF($L9="","",VLOOKUP($L9,Dados_Clientes!$K$3:$N$18,4,FALSE))</f>
        <v>Renda Fixa</v>
      </c>
      <c r="P9" s="206" t="str">
        <f>IF(B9=1,"",VLOOKUP(B9,'Dados dos fundos'!$A$3:$N$200,14,FALSE))</f>
        <v>00.360.305/0001-04</v>
      </c>
      <c r="Q9" s="259">
        <f>IF(E9="","",VLOOKUP(E9,'Dados dos fundos'!$C$224:$D$389,2,FALSE))</f>
        <v>9316344330.1599998</v>
      </c>
      <c r="R9" s="206">
        <f>IF(E9="","",VLOOKUP(E9,'Dados dos fundos'!$C$224:$I$389,7,FALSE))</f>
        <v>1.8128500000000001</v>
      </c>
      <c r="S9" s="234">
        <f>IF(E9="","",VLOOKUP(E9,'Dados dos fundos'!$C$224:$K$389,8,FALSE))</f>
        <v>1E-3</v>
      </c>
      <c r="T9" s="282">
        <f>IF(E9="","",VLOOKUP(E9,'Dados dos fundos'!$C$224:$K$389,9,FALSE))</f>
        <v>1319</v>
      </c>
    </row>
    <row r="10" spans="1:20" x14ac:dyDescent="0.3">
      <c r="A10" s="1">
        <v>8</v>
      </c>
      <c r="B10">
        <v>89</v>
      </c>
      <c r="C10" s="223" t="str">
        <f>IF($B10=1,"",VLOOKUP($B10,'Dados dos fundos'!$A$3:$L$200,2,FALSE))</f>
        <v>Caixa IRF-M1+</v>
      </c>
      <c r="D10" s="223" t="str">
        <f>IF($B10=1,"",VLOOKUP($B10,'Dados dos fundos'!$A$3:$L$200,3,FALSE))</f>
        <v>CAIXA BRASIL IRF-M 1+ TÍTULOS PÚBLICOS FI RENDA FIXA LP</v>
      </c>
      <c r="E10" s="164" t="str">
        <f>IF($B10=1,"",VLOOKUP($B10,'Dados dos fundos'!$A$3:$L$200,6,FALSE))</f>
        <v>10.577.519/0001-90</v>
      </c>
      <c r="F10" s="223" t="str">
        <f>IF($B10=1,"",VLOOKUP($B10,'Dados dos fundos'!$A$3:$L$200,7,FALSE))</f>
        <v>Caixa Econômica Federal</v>
      </c>
      <c r="G10" s="223" t="str">
        <f>IF($B10=1,"",VLOOKUP($B10,'Dados dos fundos'!$A$3:$L$200,8,FALSE))</f>
        <v>Caixa Econômica Federal</v>
      </c>
      <c r="H10" s="223" t="str">
        <f>IF($B10=1,"",VLOOKUP($B10,'Dados dos fundos'!$A$3:$L$200,9,FALSE))</f>
        <v>Caixa Econômica Federal</v>
      </c>
      <c r="I10" s="223" t="str">
        <f>IF($B10=1,"",VLOOKUP($B10,'Dados dos fundos'!$A$3:$L$200,10,FALSE))</f>
        <v>IRF-M</v>
      </c>
      <c r="J10" s="223" t="str">
        <f>IF($B10=1,"",VLOOKUP($B10,'Dados dos fundos'!$A$3:$L$200,11,FALSE))</f>
        <v>Aberto</v>
      </c>
      <c r="K10" s="223" t="str">
        <f>IF($B10=1,"",VLOOKUP($B10,'Dados dos fundos'!$A$3:$L$200,12,FALSE))</f>
        <v>Não há</v>
      </c>
      <c r="L10" s="223" t="str">
        <f>IF($B10=1,"",VLOOKUP($B10,'Dados dos fundos'!$A$3:$M$200,13,FALSE))</f>
        <v>FI 100% títulos TN - Art. 7º, I, "b"</v>
      </c>
      <c r="M10" s="206">
        <f>IF($L10="","",VLOOKUP($L10,Dados_Clientes!$K$3:$N$18,2,FALSE))</f>
        <v>1</v>
      </c>
      <c r="N10" s="206">
        <f>IF($L10="","",VLOOKUP($L10,Dados_Clientes!$K$3:$N$18,3,FALSE))</f>
        <v>1</v>
      </c>
      <c r="O10" s="206" t="str">
        <f>IF($L10="","",VLOOKUP($L10,Dados_Clientes!$K$3:$N$18,4,FALSE))</f>
        <v>Renda Fixa</v>
      </c>
      <c r="P10" s="206" t="str">
        <f>IF(B10=1,"",VLOOKUP(B10,'Dados dos fundos'!$A$3:$N$200,14,FALSE))</f>
        <v>00.360.305/0001-04</v>
      </c>
      <c r="Q10" s="259">
        <f>IF(E10="","",VLOOKUP(E10,'Dados dos fundos'!$C$224:$D$389,2,FALSE))</f>
        <v>164234564.71000001</v>
      </c>
      <c r="R10" s="206">
        <f>IF(E10="","",VLOOKUP(E10,'Dados dos fundos'!$C$224:$I$389,7,FALSE))</f>
        <v>1.3819330000000001</v>
      </c>
      <c r="S10" s="234">
        <f>IF(E10="","",VLOOKUP(E10,'Dados dos fundos'!$C$224:$K$389,8,FALSE))</f>
        <v>2.58E-2</v>
      </c>
      <c r="T10" s="282">
        <f>IF(E10="","",VLOOKUP(E10,'Dados dos fundos'!$C$224:$K$389,9,FALSE))</f>
        <v>84</v>
      </c>
    </row>
    <row r="11" spans="1:20" x14ac:dyDescent="0.3">
      <c r="A11" s="1">
        <v>9</v>
      </c>
      <c r="B11">
        <v>1</v>
      </c>
      <c r="C11" s="223" t="str">
        <f>IF($B11=1,"",VLOOKUP($B11,'Dados dos fundos'!$A$3:$L$200,2,FALSE))</f>
        <v/>
      </c>
      <c r="D11" s="223" t="str">
        <f>IF($B11=1,"",VLOOKUP($B11,'Dados dos fundos'!$A$3:$L$200,3,FALSE))</f>
        <v/>
      </c>
      <c r="E11" s="164" t="str">
        <f>IF($B11=1,"",VLOOKUP($B11,'Dados dos fundos'!$A$3:$L$200,6,FALSE))</f>
        <v/>
      </c>
      <c r="F11" s="223" t="str">
        <f>IF($B11=1,"",VLOOKUP($B11,'Dados dos fundos'!$A$3:$L$200,7,FALSE))</f>
        <v/>
      </c>
      <c r="G11" s="223" t="str">
        <f>IF($B11=1,"",VLOOKUP($B11,'Dados dos fundos'!$A$3:$L$200,8,FALSE))</f>
        <v/>
      </c>
      <c r="H11" s="223" t="str">
        <f>IF($B11=1,"",VLOOKUP($B11,'Dados dos fundos'!$A$3:$L$200,9,FALSE))</f>
        <v/>
      </c>
      <c r="I11" s="223" t="str">
        <f>IF($B11=1,"",VLOOKUP($B11,'Dados dos fundos'!$A$3:$L$200,10,FALSE))</f>
        <v/>
      </c>
      <c r="J11" s="223" t="str">
        <f>IF($B11=1,"",VLOOKUP($B11,'Dados dos fundos'!$A$3:$L$200,11,FALSE))</f>
        <v/>
      </c>
      <c r="K11" s="223" t="str">
        <f>IF($B11=1,"",VLOOKUP($B11,'Dados dos fundos'!$A$3:$L$200,12,FALSE))</f>
        <v/>
      </c>
      <c r="L11" s="223" t="str">
        <f>IF($B11=1,"",VLOOKUP($B11,'Dados dos fundos'!$A$3:$M$200,13,FALSE))</f>
        <v/>
      </c>
      <c r="M11" s="206" t="str">
        <f>IF($L11="","",VLOOKUP($L11,Dados_Clientes!$K$3:$N$18,2,FALSE))</f>
        <v/>
      </c>
      <c r="N11" s="206" t="str">
        <f>IF($L11="","",VLOOKUP($L11,Dados_Clientes!$K$3:$N$18,3,FALSE))</f>
        <v/>
      </c>
      <c r="O11" s="206" t="str">
        <f>IF($L11="","",VLOOKUP($L11,Dados_Clientes!$K$3:$N$18,4,FALSE))</f>
        <v/>
      </c>
      <c r="P11" s="206" t="str">
        <f>IF(B11=1,"",VLOOKUP(B11,'Dados dos fundos'!$A$3:$N$200,14,FALSE))</f>
        <v/>
      </c>
      <c r="Q11" s="259" t="str">
        <f>IF(E11="","",VLOOKUP(E11,'Dados dos fundos'!$C$224:$D$389,2,FALSE))</f>
        <v/>
      </c>
      <c r="R11" s="206" t="str">
        <f>IF(E11="","",VLOOKUP(E11,'Dados dos fundos'!$C$224:$I$389,7,FALSE))</f>
        <v/>
      </c>
      <c r="S11" s="234" t="str">
        <f>IF(E11="","",VLOOKUP(E11,'Dados dos fundos'!$C$224:$K$389,8,FALSE))</f>
        <v/>
      </c>
      <c r="T11" s="282" t="str">
        <f>IF(E11="","",VLOOKUP(E11,'Dados dos fundos'!$C$224:$K$389,9,FALSE))</f>
        <v/>
      </c>
    </row>
    <row r="12" spans="1:20" x14ac:dyDescent="0.3">
      <c r="A12" s="1">
        <v>10</v>
      </c>
      <c r="B12">
        <v>1</v>
      </c>
      <c r="C12" s="223" t="str">
        <f>IF($B12=1,"",VLOOKUP($B12,'Dados dos fundos'!$A$3:$L$200,2,FALSE))</f>
        <v/>
      </c>
      <c r="D12" s="223" t="str">
        <f>IF($B12=1,"",VLOOKUP($B12,'Dados dos fundos'!$A$3:$L$200,3,FALSE))</f>
        <v/>
      </c>
      <c r="E12" s="164" t="str">
        <f>IF($B12=1,"",VLOOKUP($B12,'Dados dos fundos'!$A$3:$L$200,6,FALSE))</f>
        <v/>
      </c>
      <c r="F12" s="223" t="str">
        <f>IF($B12=1,"",VLOOKUP($B12,'Dados dos fundos'!$A$3:$L$200,7,FALSE))</f>
        <v/>
      </c>
      <c r="G12" s="223" t="str">
        <f>IF($B12=1,"",VLOOKUP($B12,'Dados dos fundos'!$A$3:$L$200,8,FALSE))</f>
        <v/>
      </c>
      <c r="H12" s="223" t="str">
        <f>IF($B12=1,"",VLOOKUP($B12,'Dados dos fundos'!$A$3:$L$200,9,FALSE))</f>
        <v/>
      </c>
      <c r="I12" s="223" t="str">
        <f>IF($B12=1,"",VLOOKUP($B12,'Dados dos fundos'!$A$3:$L$200,10,FALSE))</f>
        <v/>
      </c>
      <c r="J12" s="223" t="str">
        <f>IF($B12=1,"",VLOOKUP($B12,'Dados dos fundos'!$A$3:$L$200,11,FALSE))</f>
        <v/>
      </c>
      <c r="K12" s="223" t="str">
        <f>IF($B12=1,"",VLOOKUP($B12,'Dados dos fundos'!$A$3:$L$200,12,FALSE))</f>
        <v/>
      </c>
      <c r="L12" s="223" t="str">
        <f>IF($B12=1,"",VLOOKUP($B12,'Dados dos fundos'!$A$3:$M$200,13,FALSE))</f>
        <v/>
      </c>
      <c r="M12" s="206" t="str">
        <f>IF($L12="","",VLOOKUP($L12,Dados_Clientes!$K$3:$N$18,2,FALSE))</f>
        <v/>
      </c>
      <c r="N12" s="206" t="str">
        <f>IF($L12="","",VLOOKUP($L12,Dados_Clientes!$K$3:$N$18,3,FALSE))</f>
        <v/>
      </c>
      <c r="O12" s="206" t="str">
        <f>IF($L12="","",VLOOKUP($L12,Dados_Clientes!$K$3:$N$18,4,FALSE))</f>
        <v/>
      </c>
      <c r="P12" s="206" t="str">
        <f>IF(B12=1,"",VLOOKUP(B12,'Dados dos fundos'!$A$3:$N$200,14,FALSE))</f>
        <v/>
      </c>
      <c r="Q12" s="259" t="str">
        <f>IF(E12="","",VLOOKUP(E12,'Dados dos fundos'!$C$224:$D$389,2,FALSE))</f>
        <v/>
      </c>
      <c r="R12" s="206" t="str">
        <f>IF(E12="","",VLOOKUP(E12,'Dados dos fundos'!$C$224:$I$389,7,FALSE))</f>
        <v/>
      </c>
      <c r="S12" s="234" t="str">
        <f>IF(E12="","",VLOOKUP(E12,'Dados dos fundos'!$C$224:$K$389,8,FALSE))</f>
        <v/>
      </c>
      <c r="T12" s="282" t="str">
        <f>IF(E12="","",VLOOKUP(E12,'Dados dos fundos'!$C$224:$K$389,9,FALSE))</f>
        <v/>
      </c>
    </row>
    <row r="13" spans="1:20" x14ac:dyDescent="0.3">
      <c r="A13" s="1">
        <v>11</v>
      </c>
      <c r="B13">
        <v>1</v>
      </c>
      <c r="C13" s="223" t="str">
        <f>IF($B13=1,"",VLOOKUP($B13,'Dados dos fundos'!$A$3:$L$200,2,FALSE))</f>
        <v/>
      </c>
      <c r="D13" s="223" t="str">
        <f>IF($B13=1,"",VLOOKUP($B13,'Dados dos fundos'!$A$3:$L$200,3,FALSE))</f>
        <v/>
      </c>
      <c r="E13" s="164" t="str">
        <f>IF($B13=1,"",VLOOKUP($B13,'Dados dos fundos'!$A$3:$L$200,6,FALSE))</f>
        <v/>
      </c>
      <c r="F13" s="223" t="str">
        <f>IF($B13=1,"",VLOOKUP($B13,'Dados dos fundos'!$A$3:$L$200,7,FALSE))</f>
        <v/>
      </c>
      <c r="G13" s="223" t="str">
        <f>IF($B13=1,"",VLOOKUP($B13,'Dados dos fundos'!$A$3:$L$200,8,FALSE))</f>
        <v/>
      </c>
      <c r="H13" s="223" t="str">
        <f>IF($B13=1,"",VLOOKUP($B13,'Dados dos fundos'!$A$3:$L$200,9,FALSE))</f>
        <v/>
      </c>
      <c r="I13" s="223" t="str">
        <f>IF($B13=1,"",VLOOKUP($B13,'Dados dos fundos'!$A$3:$L$200,10,FALSE))</f>
        <v/>
      </c>
      <c r="J13" s="223" t="str">
        <f>IF($B13=1,"",VLOOKUP($B13,'Dados dos fundos'!$A$3:$L$200,11,FALSE))</f>
        <v/>
      </c>
      <c r="K13" s="223" t="str">
        <f>IF($B13=1,"",VLOOKUP($B13,'Dados dos fundos'!$A$3:$L$200,12,FALSE))</f>
        <v/>
      </c>
      <c r="L13" s="223" t="str">
        <f>IF($B13=1,"",VLOOKUP($B13,'Dados dos fundos'!$A$3:$M$200,13,FALSE))</f>
        <v/>
      </c>
      <c r="M13" s="206" t="str">
        <f>IF($L13="","",VLOOKUP($L13,Dados_Clientes!$K$3:$N$18,2,FALSE))</f>
        <v/>
      </c>
      <c r="N13" s="206" t="str">
        <f>IF($L13="","",VLOOKUP($L13,Dados_Clientes!$K$3:$N$18,3,FALSE))</f>
        <v/>
      </c>
      <c r="O13" s="206" t="str">
        <f>IF($L13="","",VLOOKUP($L13,Dados_Clientes!$K$3:$N$18,4,FALSE))</f>
        <v/>
      </c>
      <c r="P13" s="206" t="str">
        <f>IF(B13=1,"",VLOOKUP(B13,'Dados dos fundos'!$A$3:$N$200,14,FALSE))</f>
        <v/>
      </c>
      <c r="Q13" s="259" t="str">
        <f>IF(E13="","",VLOOKUP(E13,'Dados dos fundos'!$C$224:$D$389,2,FALSE))</f>
        <v/>
      </c>
      <c r="R13" s="206" t="str">
        <f>IF(E13="","",VLOOKUP(E13,'Dados dos fundos'!$C$224:$I$389,7,FALSE))</f>
        <v/>
      </c>
      <c r="S13" s="234" t="str">
        <f>IF(E13="","",VLOOKUP(E13,'Dados dos fundos'!$C$224:$K$389,8,FALSE))</f>
        <v/>
      </c>
      <c r="T13" s="282" t="str">
        <f>IF(E13="","",VLOOKUP(E13,'Dados dos fundos'!$C$224:$K$389,9,FALSE))</f>
        <v/>
      </c>
    </row>
    <row r="14" spans="1:20" x14ac:dyDescent="0.3">
      <c r="A14" s="1">
        <v>12</v>
      </c>
      <c r="B14">
        <v>1</v>
      </c>
      <c r="C14" s="223" t="str">
        <f>IF($B14=1,"",VLOOKUP($B14,'Dados dos fundos'!$A$3:$L$200,2,FALSE))</f>
        <v/>
      </c>
      <c r="D14" s="223" t="str">
        <f>IF($B14=1,"",VLOOKUP($B14,'Dados dos fundos'!$A$3:$L$200,3,FALSE))</f>
        <v/>
      </c>
      <c r="E14" s="164" t="str">
        <f>IF($B14=1,"",VLOOKUP($B14,'Dados dos fundos'!$A$3:$L$200,6,FALSE))</f>
        <v/>
      </c>
      <c r="F14" s="223" t="str">
        <f>IF($B14=1,"",VLOOKUP($B14,'Dados dos fundos'!$A$3:$L$200,7,FALSE))</f>
        <v/>
      </c>
      <c r="G14" s="223" t="str">
        <f>IF($B14=1,"",VLOOKUP($B14,'Dados dos fundos'!$A$3:$L$200,8,FALSE))</f>
        <v/>
      </c>
      <c r="H14" s="223" t="str">
        <f>IF($B14=1,"",VLOOKUP($B14,'Dados dos fundos'!$A$3:$L$200,9,FALSE))</f>
        <v/>
      </c>
      <c r="I14" s="223" t="str">
        <f>IF($B14=1,"",VLOOKUP($B14,'Dados dos fundos'!$A$3:$L$200,10,FALSE))</f>
        <v/>
      </c>
      <c r="J14" s="223" t="str">
        <f>IF($B14=1,"",VLOOKUP($B14,'Dados dos fundos'!$A$3:$L$200,11,FALSE))</f>
        <v/>
      </c>
      <c r="K14" s="223" t="str">
        <f>IF($B14=1,"",VLOOKUP($B14,'Dados dos fundos'!$A$3:$L$200,12,FALSE))</f>
        <v/>
      </c>
      <c r="L14" s="223" t="str">
        <f>IF($B14=1,"",VLOOKUP($B14,'Dados dos fundos'!$A$3:$M$200,13,FALSE))</f>
        <v/>
      </c>
      <c r="M14" s="206" t="str">
        <f>IF($L14="","",VLOOKUP($L14,Dados_Clientes!$K$3:$N$18,2,FALSE))</f>
        <v/>
      </c>
      <c r="N14" s="206" t="str">
        <f>IF($L14="","",VLOOKUP($L14,Dados_Clientes!$K$3:$N$18,3,FALSE))</f>
        <v/>
      </c>
      <c r="O14" s="206" t="str">
        <f>IF($L14="","",VLOOKUP($L14,Dados_Clientes!$K$3:$N$18,4,FALSE))</f>
        <v/>
      </c>
      <c r="P14" s="206" t="str">
        <f>IF(B14=1,"",VLOOKUP(B14,'Dados dos fundos'!$A$3:$N$200,14,FALSE))</f>
        <v/>
      </c>
      <c r="Q14" s="259" t="str">
        <f>IF(E14="","",VLOOKUP(E14,'Dados dos fundos'!$C$224:$D$389,2,FALSE))</f>
        <v/>
      </c>
      <c r="R14" s="206" t="str">
        <f>IF(E14="","",VLOOKUP(E14,'Dados dos fundos'!$C$224:$I$389,7,FALSE))</f>
        <v/>
      </c>
      <c r="S14" s="234" t="str">
        <f>IF(E14="","",VLOOKUP(E14,'Dados dos fundos'!$C$224:$K$389,8,FALSE))</f>
        <v/>
      </c>
      <c r="T14" s="282" t="str">
        <f>IF(E14="","",VLOOKUP(E14,'Dados dos fundos'!$C$224:$K$389,9,FALSE))</f>
        <v/>
      </c>
    </row>
    <row r="15" spans="1:20" x14ac:dyDescent="0.3">
      <c r="A15" s="1">
        <v>13</v>
      </c>
      <c r="B15">
        <v>1</v>
      </c>
      <c r="C15" s="223" t="str">
        <f>IF($B15=1,"",VLOOKUP($B15,'Dados dos fundos'!$A$3:$L$200,2,FALSE))</f>
        <v/>
      </c>
      <c r="D15" s="223" t="str">
        <f>IF($B15=1,"",VLOOKUP($B15,'Dados dos fundos'!$A$3:$L$200,3,FALSE))</f>
        <v/>
      </c>
      <c r="E15" s="164" t="str">
        <f>IF($B15=1,"",VLOOKUP($B15,'Dados dos fundos'!$A$3:$L$200,6,FALSE))</f>
        <v/>
      </c>
      <c r="F15" s="223" t="str">
        <f>IF($B15=1,"",VLOOKUP($B15,'Dados dos fundos'!$A$3:$L$200,7,FALSE))</f>
        <v/>
      </c>
      <c r="G15" s="223" t="str">
        <f>IF($B15=1,"",VLOOKUP($B15,'Dados dos fundos'!$A$3:$L$200,8,FALSE))</f>
        <v/>
      </c>
      <c r="H15" s="223" t="str">
        <f>IF($B15=1,"",VLOOKUP($B15,'Dados dos fundos'!$A$3:$L$200,9,FALSE))</f>
        <v/>
      </c>
      <c r="I15" s="223" t="str">
        <f>IF($B15=1,"",VLOOKUP($B15,'Dados dos fundos'!$A$3:$L$200,10,FALSE))</f>
        <v/>
      </c>
      <c r="J15" s="223" t="str">
        <f>IF($B15=1,"",VLOOKUP($B15,'Dados dos fundos'!$A$3:$L$200,11,FALSE))</f>
        <v/>
      </c>
      <c r="K15" s="223" t="str">
        <f>IF($B15=1,"",VLOOKUP($B15,'Dados dos fundos'!$A$3:$L$200,12,FALSE))</f>
        <v/>
      </c>
      <c r="L15" s="223" t="str">
        <f>IF($B15=1,"",VLOOKUP($B15,'Dados dos fundos'!$A$3:$M$200,13,FALSE))</f>
        <v/>
      </c>
      <c r="M15" s="206" t="str">
        <f>IF($L15="","",VLOOKUP($L15,Dados_Clientes!$K$3:$N$18,2,FALSE))</f>
        <v/>
      </c>
      <c r="N15" s="206" t="str">
        <f>IF($L15="","",VLOOKUP($L15,Dados_Clientes!$K$3:$N$18,3,FALSE))</f>
        <v/>
      </c>
      <c r="O15" s="206" t="str">
        <f>IF($L15="","",VLOOKUP($L15,Dados_Clientes!$K$3:$N$18,4,FALSE))</f>
        <v/>
      </c>
      <c r="P15" s="206" t="str">
        <f>IF(B15=1,"",VLOOKUP(B15,'Dados dos fundos'!$A$3:$N$200,14,FALSE))</f>
        <v/>
      </c>
      <c r="Q15" s="259" t="str">
        <f>IF(E15="","",VLOOKUP(E15,'Dados dos fundos'!$C$224:$D$389,2,FALSE))</f>
        <v/>
      </c>
      <c r="R15" s="206" t="str">
        <f>IF(E15="","",VLOOKUP(E15,'Dados dos fundos'!$C$224:$I$389,7,FALSE))</f>
        <v/>
      </c>
      <c r="S15" s="234" t="str">
        <f>IF(E15="","",VLOOKUP(E15,'Dados dos fundos'!$C$224:$K$389,8,FALSE))</f>
        <v/>
      </c>
      <c r="T15" s="282" t="str">
        <f>IF(E15="","",VLOOKUP(E15,'Dados dos fundos'!$C$224:$K$389,9,FALSE))</f>
        <v/>
      </c>
    </row>
    <row r="16" spans="1:20" x14ac:dyDescent="0.3">
      <c r="A16" s="1">
        <v>14</v>
      </c>
      <c r="B16">
        <v>1</v>
      </c>
      <c r="C16" s="223" t="str">
        <f>IF($B16=1,"",VLOOKUP($B16,'Dados dos fundos'!$A$3:$L$200,2,FALSE))</f>
        <v/>
      </c>
      <c r="D16" s="223" t="str">
        <f>IF($B16=1,"",VLOOKUP($B16,'Dados dos fundos'!$A$3:$L$200,3,FALSE))</f>
        <v/>
      </c>
      <c r="E16" s="164" t="str">
        <f>IF($B16=1,"",VLOOKUP($B16,'Dados dos fundos'!$A$3:$L$200,6,FALSE))</f>
        <v/>
      </c>
      <c r="F16" s="223" t="str">
        <f>IF($B16=1,"",VLOOKUP($B16,'Dados dos fundos'!$A$3:$L$200,7,FALSE))</f>
        <v/>
      </c>
      <c r="G16" s="223" t="str">
        <f>IF($B16=1,"",VLOOKUP($B16,'Dados dos fundos'!$A$3:$L$200,8,FALSE))</f>
        <v/>
      </c>
      <c r="H16" s="223" t="str">
        <f>IF($B16=1,"",VLOOKUP($B16,'Dados dos fundos'!$A$3:$L$200,9,FALSE))</f>
        <v/>
      </c>
      <c r="I16" s="223" t="str">
        <f>IF($B16=1,"",VLOOKUP($B16,'Dados dos fundos'!$A$3:$L$200,10,FALSE))</f>
        <v/>
      </c>
      <c r="J16" s="223" t="str">
        <f>IF($B16=1,"",VLOOKUP($B16,'Dados dos fundos'!$A$3:$L$200,11,FALSE))</f>
        <v/>
      </c>
      <c r="K16" s="223" t="str">
        <f>IF($B16=1,"",VLOOKUP($B16,'Dados dos fundos'!$A$3:$L$200,12,FALSE))</f>
        <v/>
      </c>
      <c r="L16" s="223" t="str">
        <f>IF($B16=1,"",VLOOKUP($B16,'Dados dos fundos'!$A$3:$M$200,13,FALSE))</f>
        <v/>
      </c>
      <c r="M16" s="206" t="str">
        <f>IF($L16="","",VLOOKUP($L16,Dados_Clientes!$K$3:$N$18,2,FALSE))</f>
        <v/>
      </c>
      <c r="N16" s="206" t="str">
        <f>IF($L16="","",VLOOKUP($L16,Dados_Clientes!$K$3:$N$18,3,FALSE))</f>
        <v/>
      </c>
      <c r="O16" s="206" t="str">
        <f>IF($L16="","",VLOOKUP($L16,Dados_Clientes!$K$3:$N$18,4,FALSE))</f>
        <v/>
      </c>
      <c r="P16" s="206" t="str">
        <f>IF(B16=1,"",VLOOKUP(B16,'Dados dos fundos'!$A$3:$N$200,14,FALSE))</f>
        <v/>
      </c>
      <c r="Q16" s="259" t="str">
        <f>IF(E16="","",VLOOKUP(E16,'Dados dos fundos'!$C$224:$D$389,2,FALSE))</f>
        <v/>
      </c>
      <c r="R16" s="206" t="str">
        <f>IF(E16="","",VLOOKUP(E16,'Dados dos fundos'!$C$224:$I$389,7,FALSE))</f>
        <v/>
      </c>
      <c r="S16" s="234" t="str">
        <f>IF(E16="","",VLOOKUP(E16,'Dados dos fundos'!$C$224:$K$389,8,FALSE))</f>
        <v/>
      </c>
      <c r="T16" s="282" t="str">
        <f>IF(E16="","",VLOOKUP(E16,'Dados dos fundos'!$C$224:$K$389,9,FALSE))</f>
        <v/>
      </c>
    </row>
    <row r="17" spans="1:20" x14ac:dyDescent="0.3">
      <c r="A17" s="1">
        <v>15</v>
      </c>
      <c r="B17">
        <v>1</v>
      </c>
      <c r="C17" s="223" t="str">
        <f>IF($B17=1,"",VLOOKUP($B17,'Dados dos fundos'!$A$3:$L$200,2,FALSE))</f>
        <v/>
      </c>
      <c r="D17" s="223" t="str">
        <f>IF($B17=1,"",VLOOKUP($B17,'Dados dos fundos'!$A$3:$L$200,3,FALSE))</f>
        <v/>
      </c>
      <c r="E17" s="164" t="str">
        <f>IF($B17=1,"",VLOOKUP($B17,'Dados dos fundos'!$A$3:$L$200,6,FALSE))</f>
        <v/>
      </c>
      <c r="F17" s="223" t="str">
        <f>IF($B17=1,"",VLOOKUP($B17,'Dados dos fundos'!$A$3:$L$200,7,FALSE))</f>
        <v/>
      </c>
      <c r="G17" s="223" t="str">
        <f>IF($B17=1,"",VLOOKUP($B17,'Dados dos fundos'!$A$3:$L$200,8,FALSE))</f>
        <v/>
      </c>
      <c r="H17" s="223" t="str">
        <f>IF($B17=1,"",VLOOKUP($B17,'Dados dos fundos'!$A$3:$L$200,9,FALSE))</f>
        <v/>
      </c>
      <c r="I17" s="223" t="str">
        <f>IF($B17=1,"",VLOOKUP($B17,'Dados dos fundos'!$A$3:$L$200,10,FALSE))</f>
        <v/>
      </c>
      <c r="J17" s="223" t="str">
        <f>IF($B17=1,"",VLOOKUP($B17,'Dados dos fundos'!$A$3:$L$200,11,FALSE))</f>
        <v/>
      </c>
      <c r="K17" s="223" t="str">
        <f>IF($B17=1,"",VLOOKUP($B17,'Dados dos fundos'!$A$3:$L$200,12,FALSE))</f>
        <v/>
      </c>
      <c r="L17" s="223" t="str">
        <f>IF($B17=1,"",VLOOKUP($B17,'Dados dos fundos'!$A$3:$M$200,13,FALSE))</f>
        <v/>
      </c>
      <c r="M17" s="206" t="str">
        <f>IF($L17="","",VLOOKUP($L17,Dados_Clientes!$K$3:$N$18,2,FALSE))</f>
        <v/>
      </c>
      <c r="N17" s="206" t="str">
        <f>IF($L17="","",VLOOKUP($L17,Dados_Clientes!$K$3:$N$18,3,FALSE))</f>
        <v/>
      </c>
      <c r="O17" s="206" t="str">
        <f>IF($L17="","",VLOOKUP($L17,Dados_Clientes!$K$3:$N$18,4,FALSE))</f>
        <v/>
      </c>
      <c r="P17" s="206" t="str">
        <f>IF(B17=1,"",VLOOKUP(B17,'Dados dos fundos'!$A$3:$N$200,14,FALSE))</f>
        <v/>
      </c>
      <c r="Q17" s="259" t="str">
        <f>IF(E17="","",VLOOKUP(E17,'Dados dos fundos'!$C$224:$D$389,2,FALSE))</f>
        <v/>
      </c>
      <c r="R17" s="206" t="str">
        <f>IF(E17="","",VLOOKUP(E17,'Dados dos fundos'!$C$224:$I$389,7,FALSE))</f>
        <v/>
      </c>
      <c r="S17" s="234" t="str">
        <f>IF(E17="","",VLOOKUP(E17,'Dados dos fundos'!$C$224:$K$389,8,FALSE))</f>
        <v/>
      </c>
      <c r="T17" s="282" t="str">
        <f>IF(E17="","",VLOOKUP(E17,'Dados dos fundos'!$C$224:$K$389,9,FALSE))</f>
        <v/>
      </c>
    </row>
    <row r="18" spans="1:20" x14ac:dyDescent="0.3">
      <c r="A18" s="1">
        <v>16</v>
      </c>
      <c r="B18">
        <v>1</v>
      </c>
      <c r="C18" s="223" t="str">
        <f>IF($B18=1,"",VLOOKUP($B18,'Dados dos fundos'!$A$3:$L$200,2,FALSE))</f>
        <v/>
      </c>
      <c r="D18" s="223" t="str">
        <f>IF($B18=1,"",VLOOKUP($B18,'Dados dos fundos'!$A$3:$L$200,3,FALSE))</f>
        <v/>
      </c>
      <c r="E18" s="164" t="str">
        <f>IF($B18=1,"",VLOOKUP($B18,'Dados dos fundos'!$A$3:$L$200,6,FALSE))</f>
        <v/>
      </c>
      <c r="F18" s="223" t="str">
        <f>IF($B18=1,"",VLOOKUP($B18,'Dados dos fundos'!$A$3:$L$200,7,FALSE))</f>
        <v/>
      </c>
      <c r="G18" s="223" t="str">
        <f>IF($B18=1,"",VLOOKUP($B18,'Dados dos fundos'!$A$3:$L$200,8,FALSE))</f>
        <v/>
      </c>
      <c r="H18" s="223" t="str">
        <f>IF($B18=1,"",VLOOKUP($B18,'Dados dos fundos'!$A$3:$L$200,9,FALSE))</f>
        <v/>
      </c>
      <c r="I18" s="223" t="str">
        <f>IF($B18=1,"",VLOOKUP($B18,'Dados dos fundos'!$A$3:$L$200,10,FALSE))</f>
        <v/>
      </c>
      <c r="J18" s="223" t="str">
        <f>IF($B18=1,"",VLOOKUP($B18,'Dados dos fundos'!$A$3:$L$200,11,FALSE))</f>
        <v/>
      </c>
      <c r="K18" s="223" t="str">
        <f>IF($B18=1,"",VLOOKUP($B18,'Dados dos fundos'!$A$3:$L$200,12,FALSE))</f>
        <v/>
      </c>
      <c r="L18" s="223" t="str">
        <f>IF($B18=1,"",VLOOKUP($B18,'Dados dos fundos'!$A$3:$M$200,13,FALSE))</f>
        <v/>
      </c>
      <c r="M18" s="206" t="str">
        <f>IF($L18="","",VLOOKUP($L18,Dados_Clientes!$K$3:$N$18,2,FALSE))</f>
        <v/>
      </c>
      <c r="N18" s="206" t="str">
        <f>IF($L18="","",VLOOKUP($L18,Dados_Clientes!$K$3:$N$18,3,FALSE))</f>
        <v/>
      </c>
      <c r="O18" s="206" t="str">
        <f>IF($L18="","",VLOOKUP($L18,Dados_Clientes!$K$3:$N$18,4,FALSE))</f>
        <v/>
      </c>
      <c r="P18" s="206" t="str">
        <f>IF(B18=1,"",VLOOKUP(B18,'Dados dos fundos'!$A$3:$N$200,14,FALSE))</f>
        <v/>
      </c>
      <c r="Q18" s="259" t="str">
        <f>IF(E18="","",VLOOKUP(E18,'Dados dos fundos'!$C$224:$D$389,2,FALSE))</f>
        <v/>
      </c>
      <c r="R18" s="206" t="str">
        <f>IF(E18="","",VLOOKUP(E18,'Dados dos fundos'!$C$224:$I$389,7,FALSE))</f>
        <v/>
      </c>
      <c r="S18" s="234" t="str">
        <f>IF(E18="","",VLOOKUP(E18,'Dados dos fundos'!$C$224:$K$389,8,FALSE))</f>
        <v/>
      </c>
      <c r="T18" s="282" t="str">
        <f>IF(E18="","",VLOOKUP(E18,'Dados dos fundos'!$C$224:$K$389,9,FALSE))</f>
        <v/>
      </c>
    </row>
    <row r="19" spans="1:20" x14ac:dyDescent="0.3">
      <c r="A19" s="1">
        <v>17</v>
      </c>
      <c r="B19">
        <v>1</v>
      </c>
      <c r="C19" s="223" t="str">
        <f>IF($B19=1,"",VLOOKUP($B19,'Dados dos fundos'!$A$3:$L$200,2,FALSE))</f>
        <v/>
      </c>
      <c r="D19" s="223" t="str">
        <f>IF($B19=1,"",VLOOKUP($B19,'Dados dos fundos'!$A$3:$L$200,3,FALSE))</f>
        <v/>
      </c>
      <c r="E19" s="164" t="str">
        <f>IF($B19=1,"",VLOOKUP($B19,'Dados dos fundos'!$A$3:$L$200,6,FALSE))</f>
        <v/>
      </c>
      <c r="F19" s="223" t="str">
        <f>IF($B19=1,"",VLOOKUP($B19,'Dados dos fundos'!$A$3:$L$200,7,FALSE))</f>
        <v/>
      </c>
      <c r="G19" s="223" t="str">
        <f>IF($B19=1,"",VLOOKUP($B19,'Dados dos fundos'!$A$3:$L$200,8,FALSE))</f>
        <v/>
      </c>
      <c r="H19" s="223" t="str">
        <f>IF($B19=1,"",VLOOKUP($B19,'Dados dos fundos'!$A$3:$L$200,9,FALSE))</f>
        <v/>
      </c>
      <c r="I19" s="223" t="str">
        <f>IF($B19=1,"",VLOOKUP($B19,'Dados dos fundos'!$A$3:$L$200,10,FALSE))</f>
        <v/>
      </c>
      <c r="J19" s="223" t="str">
        <f>IF($B19=1,"",VLOOKUP($B19,'Dados dos fundos'!$A$3:$L$200,11,FALSE))</f>
        <v/>
      </c>
      <c r="K19" s="223" t="str">
        <f>IF($B19=1,"",VLOOKUP($B19,'Dados dos fundos'!$A$3:$L$200,12,FALSE))</f>
        <v/>
      </c>
      <c r="L19" s="223" t="str">
        <f>IF($B19=1,"",VLOOKUP($B19,'Dados dos fundos'!$A$3:$M$200,13,FALSE))</f>
        <v/>
      </c>
      <c r="M19" s="206" t="str">
        <f>IF($L19="","",VLOOKUP($L19,Dados_Clientes!$K$3:$N$18,2,FALSE))</f>
        <v/>
      </c>
      <c r="N19" s="206" t="str">
        <f>IF($L19="","",VLOOKUP($L19,Dados_Clientes!$K$3:$N$18,3,FALSE))</f>
        <v/>
      </c>
      <c r="O19" s="206" t="str">
        <f>IF($L19="","",VLOOKUP($L19,Dados_Clientes!$K$3:$N$18,4,FALSE))</f>
        <v/>
      </c>
      <c r="P19" s="206" t="str">
        <f>IF(B19=1,"",VLOOKUP(B19,'Dados dos fundos'!$A$3:$N$200,14,FALSE))</f>
        <v/>
      </c>
      <c r="Q19" s="259" t="str">
        <f>IF(E19="","",VLOOKUP(E19,'Dados dos fundos'!$C$224:$D$389,2,FALSE))</f>
        <v/>
      </c>
      <c r="R19" s="206" t="str">
        <f>IF(E19="","",VLOOKUP(E19,'Dados dos fundos'!$C$224:$I$389,7,FALSE))</f>
        <v/>
      </c>
      <c r="S19" s="234" t="str">
        <f>IF(E19="","",VLOOKUP(E19,'Dados dos fundos'!$C$224:$K$389,8,FALSE))</f>
        <v/>
      </c>
      <c r="T19" s="282" t="str">
        <f>IF(E19="","",VLOOKUP(E19,'Dados dos fundos'!$C$224:$K$389,9,FALSE))</f>
        <v/>
      </c>
    </row>
    <row r="20" spans="1:20" x14ac:dyDescent="0.3">
      <c r="A20" s="1">
        <v>18</v>
      </c>
      <c r="B20">
        <v>1</v>
      </c>
      <c r="C20" s="223" t="str">
        <f>IF($B20=1,"",VLOOKUP($B20,'Dados dos fundos'!$A$3:$L$200,2,FALSE))</f>
        <v/>
      </c>
      <c r="D20" s="223" t="str">
        <f>IF($B20=1,"",VLOOKUP($B20,'Dados dos fundos'!$A$3:$L$200,3,FALSE))</f>
        <v/>
      </c>
      <c r="E20" s="164" t="str">
        <f>IF($B20=1,"",VLOOKUP($B20,'Dados dos fundos'!$A$3:$L$200,6,FALSE))</f>
        <v/>
      </c>
      <c r="F20" s="223" t="str">
        <f>IF($B20=1,"",VLOOKUP($B20,'Dados dos fundos'!$A$3:$L$200,7,FALSE))</f>
        <v/>
      </c>
      <c r="G20" s="223" t="str">
        <f>IF($B20=1,"",VLOOKUP($B20,'Dados dos fundos'!$A$3:$L$200,8,FALSE))</f>
        <v/>
      </c>
      <c r="H20" s="223" t="str">
        <f>IF($B20=1,"",VLOOKUP($B20,'Dados dos fundos'!$A$3:$L$200,9,FALSE))</f>
        <v/>
      </c>
      <c r="I20" s="223" t="str">
        <f>IF($B20=1,"",VLOOKUP($B20,'Dados dos fundos'!$A$3:$L$200,10,FALSE))</f>
        <v/>
      </c>
      <c r="J20" s="223" t="str">
        <f>IF($B20=1,"",VLOOKUP($B20,'Dados dos fundos'!$A$3:$L$200,11,FALSE))</f>
        <v/>
      </c>
      <c r="K20" s="223" t="str">
        <f>IF($B20=1,"",VLOOKUP($B20,'Dados dos fundos'!$A$3:$L$200,12,FALSE))</f>
        <v/>
      </c>
      <c r="L20" s="223" t="str">
        <f>IF($B20=1,"",VLOOKUP($B20,'Dados dos fundos'!$A$3:$M$200,13,FALSE))</f>
        <v/>
      </c>
      <c r="M20" s="206" t="str">
        <f>IF($L20="","",VLOOKUP($L20,Dados_Clientes!$K$3:$N$18,2,FALSE))</f>
        <v/>
      </c>
      <c r="N20" s="206" t="str">
        <f>IF($L20="","",VLOOKUP($L20,Dados_Clientes!$K$3:$N$18,3,FALSE))</f>
        <v/>
      </c>
      <c r="O20" s="206" t="str">
        <f>IF($L20="","",VLOOKUP($L20,Dados_Clientes!$K$3:$N$18,4,FALSE))</f>
        <v/>
      </c>
      <c r="P20" s="206" t="str">
        <f>IF(B20=1,"",VLOOKUP(B20,'Dados dos fundos'!$A$3:$N$200,14,FALSE))</f>
        <v/>
      </c>
      <c r="Q20" s="259" t="str">
        <f>IF(E20="","",VLOOKUP(E20,'Dados dos fundos'!$C$224:$D$389,2,FALSE))</f>
        <v/>
      </c>
      <c r="R20" s="206" t="str">
        <f>IF(E20="","",VLOOKUP(E20,'Dados dos fundos'!$C$224:$I$389,7,FALSE))</f>
        <v/>
      </c>
      <c r="S20" s="234" t="str">
        <f>IF(E20="","",VLOOKUP(E20,'Dados dos fundos'!$C$224:$K$389,8,FALSE))</f>
        <v/>
      </c>
      <c r="T20" s="282" t="str">
        <f>IF(E20="","",VLOOKUP(E20,'Dados dos fundos'!$C$224:$K$389,9,FALSE))</f>
        <v/>
      </c>
    </row>
    <row r="21" spans="1:20" x14ac:dyDescent="0.3">
      <c r="A21" s="1">
        <v>19</v>
      </c>
      <c r="B21">
        <v>1</v>
      </c>
      <c r="C21" s="223" t="str">
        <f>IF($B21=1,"",VLOOKUP($B21,'Dados dos fundos'!$A$3:$L$200,2,FALSE))</f>
        <v/>
      </c>
      <c r="D21" s="223" t="str">
        <f>IF($B21=1,"",VLOOKUP($B21,'Dados dos fundos'!$A$3:$L$200,3,FALSE))</f>
        <v/>
      </c>
      <c r="E21" s="164" t="str">
        <f>IF($B21=1,"",VLOOKUP($B21,'Dados dos fundos'!$A$3:$L$200,6,FALSE))</f>
        <v/>
      </c>
      <c r="F21" s="223" t="str">
        <f>IF($B21=1,"",VLOOKUP($B21,'Dados dos fundos'!$A$3:$L$200,7,FALSE))</f>
        <v/>
      </c>
      <c r="G21" s="223" t="str">
        <f>IF($B21=1,"",VLOOKUP($B21,'Dados dos fundos'!$A$3:$L$200,8,FALSE))</f>
        <v/>
      </c>
      <c r="H21" s="223" t="str">
        <f>IF($B21=1,"",VLOOKUP($B21,'Dados dos fundos'!$A$3:$L$200,9,FALSE))</f>
        <v/>
      </c>
      <c r="I21" s="223" t="str">
        <f>IF($B21=1,"",VLOOKUP($B21,'Dados dos fundos'!$A$3:$L$200,10,FALSE))</f>
        <v/>
      </c>
      <c r="J21" s="223" t="str">
        <f>IF($B21=1,"",VLOOKUP($B21,'Dados dos fundos'!$A$3:$L$200,11,FALSE))</f>
        <v/>
      </c>
      <c r="K21" s="223" t="str">
        <f>IF($B21=1,"",VLOOKUP($B21,'Dados dos fundos'!$A$3:$L$200,12,FALSE))</f>
        <v/>
      </c>
      <c r="L21" s="223" t="str">
        <f>IF($B21=1,"",VLOOKUP($B21,'Dados dos fundos'!$A$3:$M$200,13,FALSE))</f>
        <v/>
      </c>
      <c r="M21" s="206" t="str">
        <f>IF($L21="","",VLOOKUP($L21,Dados_Clientes!$K$3:$N$18,2,FALSE))</f>
        <v/>
      </c>
      <c r="N21" s="206" t="str">
        <f>IF($L21="","",VLOOKUP($L21,Dados_Clientes!$K$3:$N$18,3,FALSE))</f>
        <v/>
      </c>
      <c r="O21" s="206" t="str">
        <f>IF($L21="","",VLOOKUP($L21,Dados_Clientes!$K$3:$N$18,4,FALSE))</f>
        <v/>
      </c>
      <c r="P21" s="206" t="str">
        <f>IF(B21=1,"",VLOOKUP(B21,'Dados dos fundos'!$A$3:$N$200,14,FALSE))</f>
        <v/>
      </c>
      <c r="Q21" s="259" t="str">
        <f>IF(E21="","",VLOOKUP(E21,'Dados dos fundos'!$C$224:$D$389,2,FALSE))</f>
        <v/>
      </c>
      <c r="R21" s="206" t="str">
        <f>IF(E21="","",VLOOKUP(E21,'Dados dos fundos'!$C$224:$I$389,7,FALSE))</f>
        <v/>
      </c>
      <c r="S21" s="234" t="str">
        <f>IF(E21="","",VLOOKUP(E21,'Dados dos fundos'!$C$224:$K$389,8,FALSE))</f>
        <v/>
      </c>
      <c r="T21" s="282" t="str">
        <f>IF(E21="","",VLOOKUP(E21,'Dados dos fundos'!$C$224:$K$389,9,FALSE))</f>
        <v/>
      </c>
    </row>
    <row r="22" spans="1:20" x14ac:dyDescent="0.3">
      <c r="A22" s="1">
        <v>20</v>
      </c>
      <c r="B22">
        <v>1</v>
      </c>
      <c r="C22" s="223" t="str">
        <f>IF($B22=1,"",VLOOKUP($B22,'Dados dos fundos'!$A$3:$L$200,2,FALSE))</f>
        <v/>
      </c>
      <c r="D22" s="223" t="str">
        <f>IF($B22=1,"",VLOOKUP($B22,'Dados dos fundos'!$A$3:$L$200,3,FALSE))</f>
        <v/>
      </c>
      <c r="E22" s="164" t="str">
        <f>IF($B22=1,"",VLOOKUP($B22,'Dados dos fundos'!$A$3:$L$200,6,FALSE))</f>
        <v/>
      </c>
      <c r="F22" s="223" t="str">
        <f>IF($B22=1,"",VLOOKUP($B22,'Dados dos fundos'!$A$3:$L$200,7,FALSE))</f>
        <v/>
      </c>
      <c r="G22" s="223" t="str">
        <f>IF($B22=1,"",VLOOKUP($B22,'Dados dos fundos'!$A$3:$L$200,8,FALSE))</f>
        <v/>
      </c>
      <c r="H22" s="223" t="str">
        <f>IF($B22=1,"",VLOOKUP($B22,'Dados dos fundos'!$A$3:$L$200,9,FALSE))</f>
        <v/>
      </c>
      <c r="I22" s="223" t="str">
        <f>IF($B22=1,"",VLOOKUP($B22,'Dados dos fundos'!$A$3:$L$200,10,FALSE))</f>
        <v/>
      </c>
      <c r="J22" s="223" t="str">
        <f>IF($B22=1,"",VLOOKUP($B22,'Dados dos fundos'!$A$3:$L$200,11,FALSE))</f>
        <v/>
      </c>
      <c r="K22" s="223" t="str">
        <f>IF($B22=1,"",VLOOKUP($B22,'Dados dos fundos'!$A$3:$L$200,12,FALSE))</f>
        <v/>
      </c>
      <c r="L22" s="223" t="str">
        <f>IF($B22=1,"",VLOOKUP($B22,'Dados dos fundos'!$A$3:$M$200,13,FALSE))</f>
        <v/>
      </c>
      <c r="M22" s="206" t="str">
        <f>IF($L22="","",VLOOKUP($L22,Dados_Clientes!$K$3:$N$18,2,FALSE))</f>
        <v/>
      </c>
      <c r="N22" s="206" t="str">
        <f>IF($L22="","",VLOOKUP($L22,Dados_Clientes!$K$3:$N$18,3,FALSE))</f>
        <v/>
      </c>
      <c r="O22" s="206" t="str">
        <f>IF($L22="","",VLOOKUP($L22,Dados_Clientes!$K$3:$N$18,4,FALSE))</f>
        <v/>
      </c>
      <c r="P22" s="206" t="str">
        <f>IF(B22=1,"",VLOOKUP(B22,'Dados dos fundos'!$A$3:$N$200,14,FALSE))</f>
        <v/>
      </c>
      <c r="Q22" s="259" t="str">
        <f>IF(E22="","",VLOOKUP(E22,'Dados dos fundos'!$C$224:$D$389,2,FALSE))</f>
        <v/>
      </c>
      <c r="R22" s="206" t="str">
        <f>IF(E22="","",VLOOKUP(E22,'Dados dos fundos'!$C$224:$I$389,7,FALSE))</f>
        <v/>
      </c>
      <c r="S22" s="234" t="str">
        <f>IF(E22="","",VLOOKUP(E22,'Dados dos fundos'!$C$224:$K$389,8,FALSE))</f>
        <v/>
      </c>
      <c r="T22" s="282" t="str">
        <f>IF(E22="","",VLOOKUP(E22,'Dados dos fundos'!$C$224:$K$389,9,FALSE))</f>
        <v/>
      </c>
    </row>
    <row r="23" spans="1:20" x14ac:dyDescent="0.3">
      <c r="A23" s="1">
        <v>21</v>
      </c>
      <c r="B23">
        <v>1</v>
      </c>
      <c r="C23" s="223" t="str">
        <f>IF($B23=1,"",VLOOKUP($B23,'Dados dos fundos'!$A$3:$L$200,2,FALSE))</f>
        <v/>
      </c>
      <c r="D23" s="223" t="str">
        <f>IF($B23=1,"",VLOOKUP($B23,'Dados dos fundos'!$A$3:$L$200,3,FALSE))</f>
        <v/>
      </c>
      <c r="E23" s="164" t="str">
        <f>IF($B23=1,"",VLOOKUP($B23,'Dados dos fundos'!$A$3:$L$200,6,FALSE))</f>
        <v/>
      </c>
      <c r="F23" s="223" t="str">
        <f>IF($B23=1,"",VLOOKUP($B23,'Dados dos fundos'!$A$3:$L$200,7,FALSE))</f>
        <v/>
      </c>
      <c r="G23" s="223" t="str">
        <f>IF($B23=1,"",VLOOKUP($B23,'Dados dos fundos'!$A$3:$L$200,8,FALSE))</f>
        <v/>
      </c>
      <c r="H23" s="223" t="str">
        <f>IF($B23=1,"",VLOOKUP($B23,'Dados dos fundos'!$A$3:$L$200,9,FALSE))</f>
        <v/>
      </c>
      <c r="I23" s="223" t="str">
        <f>IF($B23=1,"",VLOOKUP($B23,'Dados dos fundos'!$A$3:$L$200,10,FALSE))</f>
        <v/>
      </c>
      <c r="J23" s="223" t="str">
        <f>IF($B23=1,"",VLOOKUP($B23,'Dados dos fundos'!$A$3:$L$200,11,FALSE))</f>
        <v/>
      </c>
      <c r="K23" s="223" t="str">
        <f>IF($B23=1,"",VLOOKUP($B23,'Dados dos fundos'!$A$3:$L$200,12,FALSE))</f>
        <v/>
      </c>
      <c r="L23" s="223" t="str">
        <f>IF($B23=1,"",VLOOKUP($B23,'Dados dos fundos'!$A$3:$M$200,13,FALSE))</f>
        <v/>
      </c>
      <c r="M23" s="206" t="str">
        <f>IF($L23="","",VLOOKUP($L23,Dados_Clientes!$K$3:$N$18,2,FALSE))</f>
        <v/>
      </c>
      <c r="N23" s="206" t="str">
        <f>IF($L23="","",VLOOKUP($L23,Dados_Clientes!$K$3:$N$18,3,FALSE))</f>
        <v/>
      </c>
      <c r="O23" s="206" t="str">
        <f>IF($L23="","",VLOOKUP($L23,Dados_Clientes!$K$3:$N$18,4,FALSE))</f>
        <v/>
      </c>
      <c r="P23" s="206" t="str">
        <f>IF(B23=1,"",VLOOKUP(B23,'Dados dos fundos'!$A$3:$N$200,14,FALSE))</f>
        <v/>
      </c>
      <c r="Q23" s="259" t="str">
        <f>IF(E23="","",VLOOKUP(E23,'Dados dos fundos'!$C$224:$D$389,2,FALSE))</f>
        <v/>
      </c>
      <c r="R23" s="206" t="str">
        <f>IF(E23="","",VLOOKUP(E23,'Dados dos fundos'!$C$224:$I$389,7,FALSE))</f>
        <v/>
      </c>
      <c r="S23" s="234" t="str">
        <f>IF(E23="","",VLOOKUP(E23,'Dados dos fundos'!$C$224:$K$389,8,FALSE))</f>
        <v/>
      </c>
      <c r="T23" s="282" t="str">
        <f>IF(E23="","",VLOOKUP(E23,'Dados dos fundos'!$C$224:$K$389,9,FALSE))</f>
        <v/>
      </c>
    </row>
    <row r="24" spans="1:20" x14ac:dyDescent="0.3">
      <c r="A24" s="1">
        <v>22</v>
      </c>
      <c r="B24">
        <v>1</v>
      </c>
      <c r="C24" s="223" t="str">
        <f>IF($B24=1,"",VLOOKUP($B24,'Dados dos fundos'!$A$3:$L$200,2,FALSE))</f>
        <v/>
      </c>
      <c r="D24" s="223" t="str">
        <f>IF($B24=1,"",VLOOKUP($B24,'Dados dos fundos'!$A$3:$L$200,3,FALSE))</f>
        <v/>
      </c>
      <c r="E24" s="164" t="str">
        <f>IF($B24=1,"",VLOOKUP($B24,'Dados dos fundos'!$A$3:$L$200,6,FALSE))</f>
        <v/>
      </c>
      <c r="F24" s="223" t="str">
        <f>IF($B24=1,"",VLOOKUP($B24,'Dados dos fundos'!$A$3:$L$200,7,FALSE))</f>
        <v/>
      </c>
      <c r="G24" s="223" t="str">
        <f>IF($B24=1,"",VLOOKUP($B24,'Dados dos fundos'!$A$3:$L$200,8,FALSE))</f>
        <v/>
      </c>
      <c r="H24" s="223" t="str">
        <f>IF($B24=1,"",VLOOKUP($B24,'Dados dos fundos'!$A$3:$L$200,9,FALSE))</f>
        <v/>
      </c>
      <c r="I24" s="223" t="str">
        <f>IF($B24=1,"",VLOOKUP($B24,'Dados dos fundos'!$A$3:$L$200,10,FALSE))</f>
        <v/>
      </c>
      <c r="J24" s="223" t="str">
        <f>IF($B24=1,"",VLOOKUP($B24,'Dados dos fundos'!$A$3:$L$200,11,FALSE))</f>
        <v/>
      </c>
      <c r="K24" s="223" t="str">
        <f>IF($B24=1,"",VLOOKUP($B24,'Dados dos fundos'!$A$3:$L$200,12,FALSE))</f>
        <v/>
      </c>
      <c r="L24" s="223" t="str">
        <f>IF($B24=1,"",VLOOKUP($B24,'Dados dos fundos'!$A$3:$M$200,13,FALSE))</f>
        <v/>
      </c>
      <c r="M24" s="206" t="str">
        <f>IF($L24="","",VLOOKUP($L24,Dados_Clientes!$K$3:$N$18,2,FALSE))</f>
        <v/>
      </c>
      <c r="N24" s="206" t="str">
        <f>IF($L24="","",VLOOKUP($L24,Dados_Clientes!$K$3:$N$18,3,FALSE))</f>
        <v/>
      </c>
      <c r="O24" s="206" t="str">
        <f>IF($L24="","",VLOOKUP($L24,Dados_Clientes!$K$3:$N$18,4,FALSE))</f>
        <v/>
      </c>
      <c r="P24" s="206" t="str">
        <f>IF(B24=1,"",VLOOKUP(B24,'Dados dos fundos'!$A$3:$N$200,14,FALSE))</f>
        <v/>
      </c>
      <c r="Q24" s="259" t="str">
        <f>IF(E24="","",VLOOKUP(E24,'Dados dos fundos'!$C$224:$D$389,2,FALSE))</f>
        <v/>
      </c>
      <c r="R24" s="206" t="str">
        <f>IF(E24="","",VLOOKUP(E24,'Dados dos fundos'!$C$224:$I$389,7,FALSE))</f>
        <v/>
      </c>
      <c r="S24" s="234" t="str">
        <f>IF(E24="","",VLOOKUP(E24,'Dados dos fundos'!$C$224:$K$389,8,FALSE))</f>
        <v/>
      </c>
      <c r="T24" s="282" t="str">
        <f>IF(E24="","",VLOOKUP(E24,'Dados dos fundos'!$C$224:$K$389,9,FALSE))</f>
        <v/>
      </c>
    </row>
    <row r="25" spans="1:20" x14ac:dyDescent="0.3">
      <c r="A25" s="1">
        <v>23</v>
      </c>
      <c r="B25">
        <v>1</v>
      </c>
      <c r="C25" s="223" t="str">
        <f>IF($B25=1,"",VLOOKUP($B25,'Dados dos fundos'!$A$3:$L$200,2,FALSE))</f>
        <v/>
      </c>
      <c r="D25" s="223" t="str">
        <f>IF($B25=1,"",VLOOKUP($B25,'Dados dos fundos'!$A$3:$L$200,3,FALSE))</f>
        <v/>
      </c>
      <c r="E25" s="164" t="str">
        <f>IF($B25=1,"",VLOOKUP($B25,'Dados dos fundos'!$A$3:$L$200,6,FALSE))</f>
        <v/>
      </c>
      <c r="F25" s="223" t="str">
        <f>IF($B25=1,"",VLOOKUP($B25,'Dados dos fundos'!$A$3:$L$200,7,FALSE))</f>
        <v/>
      </c>
      <c r="G25" s="223" t="str">
        <f>IF($B25=1,"",VLOOKUP($B25,'Dados dos fundos'!$A$3:$L$200,8,FALSE))</f>
        <v/>
      </c>
      <c r="H25" s="223" t="str">
        <f>IF($B25=1,"",VLOOKUP($B25,'Dados dos fundos'!$A$3:$L$200,9,FALSE))</f>
        <v/>
      </c>
      <c r="I25" s="223" t="str">
        <f>IF($B25=1,"",VLOOKUP($B25,'Dados dos fundos'!$A$3:$L$200,10,FALSE))</f>
        <v/>
      </c>
      <c r="J25" s="223" t="str">
        <f>IF($B25=1,"",VLOOKUP($B25,'Dados dos fundos'!$A$3:$L$200,11,FALSE))</f>
        <v/>
      </c>
      <c r="K25" s="223" t="str">
        <f>IF($B25=1,"",VLOOKUP($B25,'Dados dos fundos'!$A$3:$L$200,12,FALSE))</f>
        <v/>
      </c>
      <c r="L25" s="223" t="str">
        <f>IF($B25=1,"",VLOOKUP($B25,'Dados dos fundos'!$A$3:$M$200,13,FALSE))</f>
        <v/>
      </c>
      <c r="M25" s="206" t="str">
        <f>IF($L25="","",VLOOKUP($L25,Dados_Clientes!$K$3:$N$18,2,FALSE))</f>
        <v/>
      </c>
      <c r="N25" s="206" t="str">
        <f>IF($L25="","",VLOOKUP($L25,Dados_Clientes!$K$3:$N$18,3,FALSE))</f>
        <v/>
      </c>
      <c r="O25" s="206" t="str">
        <f>IF($L25="","",VLOOKUP($L25,Dados_Clientes!$K$3:$N$18,4,FALSE))</f>
        <v/>
      </c>
      <c r="P25" s="206" t="str">
        <f>IF(B25=1,"",VLOOKUP(B25,'Dados dos fundos'!$A$3:$N$200,14,FALSE))</f>
        <v/>
      </c>
      <c r="Q25" s="259" t="str">
        <f>IF(E25="","",VLOOKUP(E25,'Dados dos fundos'!$C$224:$D$389,2,FALSE))</f>
        <v/>
      </c>
      <c r="R25" s="206" t="str">
        <f>IF(E25="","",VLOOKUP(E25,'Dados dos fundos'!$C$224:$I$389,7,FALSE))</f>
        <v/>
      </c>
      <c r="S25" s="234" t="str">
        <f>IF(E25="","",VLOOKUP(E25,'Dados dos fundos'!$C$224:$K$389,8,FALSE))</f>
        <v/>
      </c>
      <c r="T25" s="282" t="str">
        <f>IF(E25="","",VLOOKUP(E25,'Dados dos fundos'!$C$224:$K$389,9,FALSE))</f>
        <v/>
      </c>
    </row>
    <row r="26" spans="1:20" x14ac:dyDescent="0.3">
      <c r="A26" s="1">
        <v>24</v>
      </c>
      <c r="B26">
        <v>1</v>
      </c>
      <c r="C26" s="223" t="str">
        <f>IF($B26=1,"",VLOOKUP($B26,'Dados dos fundos'!$A$3:$L$200,2,FALSE))</f>
        <v/>
      </c>
      <c r="D26" s="223" t="str">
        <f>IF($B26=1,"",VLOOKUP($B26,'Dados dos fundos'!$A$3:$L$200,3,FALSE))</f>
        <v/>
      </c>
      <c r="E26" s="164" t="str">
        <f>IF($B26=1,"",VLOOKUP($B26,'Dados dos fundos'!$A$3:$L$200,6,FALSE))</f>
        <v/>
      </c>
      <c r="F26" s="223" t="str">
        <f>IF($B26=1,"",VLOOKUP($B26,'Dados dos fundos'!$A$3:$L$200,7,FALSE))</f>
        <v/>
      </c>
      <c r="G26" s="223" t="str">
        <f>IF($B26=1,"",VLOOKUP($B26,'Dados dos fundos'!$A$3:$L$200,8,FALSE))</f>
        <v/>
      </c>
      <c r="H26" s="223" t="str">
        <f>IF($B26=1,"",VLOOKUP($B26,'Dados dos fundos'!$A$3:$L$200,9,FALSE))</f>
        <v/>
      </c>
      <c r="I26" s="223" t="str">
        <f>IF($B26=1,"",VLOOKUP($B26,'Dados dos fundos'!$A$3:$L$200,10,FALSE))</f>
        <v/>
      </c>
      <c r="J26" s="223" t="str">
        <f>IF($B26=1,"",VLOOKUP($B26,'Dados dos fundos'!$A$3:$L$200,11,FALSE))</f>
        <v/>
      </c>
      <c r="K26" s="223" t="str">
        <f>IF($B26=1,"",VLOOKUP($B26,'Dados dos fundos'!$A$3:$L$200,12,FALSE))</f>
        <v/>
      </c>
      <c r="L26" s="223" t="str">
        <f>IF($B26=1,"",VLOOKUP($B26,'Dados dos fundos'!$A$3:$M$200,13,FALSE))</f>
        <v/>
      </c>
      <c r="M26" s="206" t="str">
        <f>IF($L26="","",VLOOKUP($L26,Dados_Clientes!$K$3:$N$18,2,FALSE))</f>
        <v/>
      </c>
      <c r="N26" s="206" t="str">
        <f>IF($L26="","",VLOOKUP($L26,Dados_Clientes!$K$3:$N$18,3,FALSE))</f>
        <v/>
      </c>
      <c r="O26" s="206" t="str">
        <f>IF($L26="","",VLOOKUP($L26,Dados_Clientes!$K$3:$N$18,4,FALSE))</f>
        <v/>
      </c>
      <c r="P26" s="206" t="str">
        <f>IF(B26=1,"",VLOOKUP(B26,'Dados dos fundos'!$A$3:$N$200,14,FALSE))</f>
        <v/>
      </c>
      <c r="Q26" s="259" t="str">
        <f>IF(E26="","",VLOOKUP(E26,'Dados dos fundos'!$C$224:$D$389,2,FALSE))</f>
        <v/>
      </c>
      <c r="R26" s="206" t="str">
        <f>IF(E26="","",VLOOKUP(E26,'Dados dos fundos'!$C$224:$I$389,7,FALSE))</f>
        <v/>
      </c>
      <c r="S26" s="234" t="str">
        <f>IF(E26="","",VLOOKUP(E26,'Dados dos fundos'!$C$224:$K$389,8,FALSE))</f>
        <v/>
      </c>
      <c r="T26" s="282" t="str">
        <f>IF(E26="","",VLOOKUP(E26,'Dados dos fundos'!$C$224:$K$389,9,FALSE))</f>
        <v/>
      </c>
    </row>
    <row r="27" spans="1:20" x14ac:dyDescent="0.3">
      <c r="A27" s="1">
        <v>25</v>
      </c>
      <c r="B27">
        <v>1</v>
      </c>
      <c r="C27" s="223" t="str">
        <f>IF($B27=1,"",VLOOKUP($B27,'Dados dos fundos'!$A$3:$L$200,2,FALSE))</f>
        <v/>
      </c>
      <c r="D27" s="223" t="str">
        <f>IF($B27=1,"",VLOOKUP($B27,'Dados dos fundos'!$A$3:$L$200,3,FALSE))</f>
        <v/>
      </c>
      <c r="E27" s="164" t="str">
        <f>IF($B27=1,"",VLOOKUP($B27,'Dados dos fundos'!$A$3:$L$200,6,FALSE))</f>
        <v/>
      </c>
      <c r="F27" s="223" t="str">
        <f>IF($B27=1,"",VLOOKUP($B27,'Dados dos fundos'!$A$3:$L$200,7,FALSE))</f>
        <v/>
      </c>
      <c r="G27" s="223" t="str">
        <f>IF($B27=1,"",VLOOKUP($B27,'Dados dos fundos'!$A$3:$L$200,8,FALSE))</f>
        <v/>
      </c>
      <c r="H27" s="223" t="str">
        <f>IF($B27=1,"",VLOOKUP($B27,'Dados dos fundos'!$A$3:$L$200,9,FALSE))</f>
        <v/>
      </c>
      <c r="I27" s="223" t="str">
        <f>IF($B27=1,"",VLOOKUP($B27,'Dados dos fundos'!$A$3:$L$200,10,FALSE))</f>
        <v/>
      </c>
      <c r="J27" s="223" t="str">
        <f>IF($B27=1,"",VLOOKUP($B27,'Dados dos fundos'!$A$3:$L$200,11,FALSE))</f>
        <v/>
      </c>
      <c r="K27" s="223" t="str">
        <f>IF($B27=1,"",VLOOKUP($B27,'Dados dos fundos'!$A$3:$L$200,12,FALSE))</f>
        <v/>
      </c>
      <c r="L27" s="223" t="str">
        <f>IF($B27=1,"",VLOOKUP($B27,'Dados dos fundos'!$A$3:$M$200,13,FALSE))</f>
        <v/>
      </c>
      <c r="M27" s="206" t="str">
        <f>IF($L27="","",VLOOKUP($L27,Dados_Clientes!$K$3:$N$18,2,FALSE))</f>
        <v/>
      </c>
      <c r="N27" s="206" t="str">
        <f>IF($L27="","",VLOOKUP($L27,Dados_Clientes!$K$3:$N$18,3,FALSE))</f>
        <v/>
      </c>
      <c r="O27" s="206" t="str">
        <f>IF($L27="","",VLOOKUP($L27,Dados_Clientes!$K$3:$N$18,4,FALSE))</f>
        <v/>
      </c>
      <c r="P27" s="206" t="str">
        <f>IF(B27=1,"",VLOOKUP(B27,'Dados dos fundos'!$A$3:$N$200,14,FALSE))</f>
        <v/>
      </c>
      <c r="Q27" s="259" t="str">
        <f>IF(E27="","",VLOOKUP(E27,'Dados dos fundos'!$C$224:$D$389,2,FALSE))</f>
        <v/>
      </c>
      <c r="R27" s="206" t="str">
        <f>IF(E27="","",VLOOKUP(E27,'Dados dos fundos'!$C$224:$I$389,7,FALSE))</f>
        <v/>
      </c>
      <c r="S27" s="234" t="str">
        <f>IF(E27="","",VLOOKUP(E27,'Dados dos fundos'!$C$224:$K$389,8,FALSE))</f>
        <v/>
      </c>
      <c r="T27" s="282" t="str">
        <f>IF(E27="","",VLOOKUP(E27,'Dados dos fundos'!$C$224:$K$389,9,FALSE))</f>
        <v/>
      </c>
    </row>
    <row r="28" spans="1:20" x14ac:dyDescent="0.3">
      <c r="A28" s="1">
        <v>26</v>
      </c>
      <c r="B28">
        <v>1</v>
      </c>
      <c r="C28" s="223" t="str">
        <f>IF($B28=1,"",VLOOKUP($B28,'Dados dos fundos'!$A$3:$L$200,2,FALSE))</f>
        <v/>
      </c>
      <c r="D28" s="223" t="str">
        <f>IF($B28=1,"",VLOOKUP($B28,'Dados dos fundos'!$A$3:$L$200,3,FALSE))</f>
        <v/>
      </c>
      <c r="E28" s="164" t="str">
        <f>IF($B28=1,"",VLOOKUP($B28,'Dados dos fundos'!$A$3:$L$200,6,FALSE))</f>
        <v/>
      </c>
      <c r="F28" s="223" t="str">
        <f>IF($B28=1,"",VLOOKUP($B28,'Dados dos fundos'!$A$3:$L$200,7,FALSE))</f>
        <v/>
      </c>
      <c r="G28" s="223" t="str">
        <f>IF($B28=1,"",VLOOKUP($B28,'Dados dos fundos'!$A$3:$L$200,8,FALSE))</f>
        <v/>
      </c>
      <c r="H28" s="223" t="str">
        <f>IF($B28=1,"",VLOOKUP($B28,'Dados dos fundos'!$A$3:$L$200,9,FALSE))</f>
        <v/>
      </c>
      <c r="I28" s="223" t="str">
        <f>IF($B28=1,"",VLOOKUP($B28,'Dados dos fundos'!$A$3:$L$200,10,FALSE))</f>
        <v/>
      </c>
      <c r="J28" s="223" t="str">
        <f>IF($B28=1,"",VLOOKUP($B28,'Dados dos fundos'!$A$3:$L$200,11,FALSE))</f>
        <v/>
      </c>
      <c r="K28" s="223" t="str">
        <f>IF($B28=1,"",VLOOKUP($B28,'Dados dos fundos'!$A$3:$L$200,12,FALSE))</f>
        <v/>
      </c>
      <c r="L28" s="223" t="str">
        <f>IF($B28=1,"",VLOOKUP($B28,'Dados dos fundos'!$A$3:$M$200,13,FALSE))</f>
        <v/>
      </c>
      <c r="M28" s="206" t="str">
        <f>IF($L28="","",VLOOKUP($L28,Dados_Clientes!$K$3:$N$18,2,FALSE))</f>
        <v/>
      </c>
      <c r="N28" s="206" t="str">
        <f>IF($L28="","",VLOOKUP($L28,Dados_Clientes!$K$3:$N$18,3,FALSE))</f>
        <v/>
      </c>
      <c r="O28" s="206" t="str">
        <f>IF($L28="","",VLOOKUP($L28,Dados_Clientes!$K$3:$N$18,4,FALSE))</f>
        <v/>
      </c>
      <c r="P28" s="206" t="str">
        <f>IF(B28=1,"",VLOOKUP(B28,'Dados dos fundos'!$A$3:$N$200,14,FALSE))</f>
        <v/>
      </c>
      <c r="Q28" s="259" t="str">
        <f>IF(E28="","",VLOOKUP(E28,'Dados dos fundos'!$C$224:$D$389,2,FALSE))</f>
        <v/>
      </c>
      <c r="R28" s="206" t="str">
        <f>IF(E28="","",VLOOKUP(E28,'Dados dos fundos'!$C$224:$I$389,7,FALSE))</f>
        <v/>
      </c>
      <c r="S28" s="234" t="str">
        <f>IF(E28="","",VLOOKUP(E28,'Dados dos fundos'!$C$224:$K$389,8,FALSE))</f>
        <v/>
      </c>
      <c r="T28" s="282" t="str">
        <f>IF(E28="","",VLOOKUP(E28,'Dados dos fundos'!$C$224:$K$389,9,FALSE))</f>
        <v/>
      </c>
    </row>
    <row r="29" spans="1:20" x14ac:dyDescent="0.3">
      <c r="A29" s="1">
        <v>27</v>
      </c>
      <c r="B29">
        <v>1</v>
      </c>
      <c r="C29" s="223" t="str">
        <f>IF($B29=1,"",VLOOKUP($B29,'Dados dos fundos'!$A$3:$L$200,2,FALSE))</f>
        <v/>
      </c>
      <c r="D29" s="223" t="str">
        <f>IF($B29=1,"",VLOOKUP($B29,'Dados dos fundos'!$A$3:$L$200,3,FALSE))</f>
        <v/>
      </c>
      <c r="E29" s="164" t="str">
        <f>IF($B29=1,"",VLOOKUP($B29,'Dados dos fundos'!$A$3:$L$200,6,FALSE))</f>
        <v/>
      </c>
      <c r="F29" s="223" t="str">
        <f>IF($B29=1,"",VLOOKUP($B29,'Dados dos fundos'!$A$3:$L$200,7,FALSE))</f>
        <v/>
      </c>
      <c r="G29" s="223" t="str">
        <f>IF($B29=1,"",VLOOKUP($B29,'Dados dos fundos'!$A$3:$L$200,8,FALSE))</f>
        <v/>
      </c>
      <c r="H29" s="223" t="str">
        <f>IF($B29=1,"",VLOOKUP($B29,'Dados dos fundos'!$A$3:$L$200,9,FALSE))</f>
        <v/>
      </c>
      <c r="I29" s="223" t="str">
        <f>IF($B29=1,"",VLOOKUP($B29,'Dados dos fundos'!$A$3:$L$200,10,FALSE))</f>
        <v/>
      </c>
      <c r="J29" s="223" t="str">
        <f>IF($B29=1,"",VLOOKUP($B29,'Dados dos fundos'!$A$3:$L$200,11,FALSE))</f>
        <v/>
      </c>
      <c r="K29" s="223" t="str">
        <f>IF($B29=1,"",VLOOKUP($B29,'Dados dos fundos'!$A$3:$L$200,12,FALSE))</f>
        <v/>
      </c>
      <c r="L29" s="223" t="str">
        <f>IF($B29=1,"",VLOOKUP($B29,'Dados dos fundos'!$A$3:$M$200,13,FALSE))</f>
        <v/>
      </c>
      <c r="M29" s="206" t="str">
        <f>IF($L29="","",VLOOKUP($L29,Dados_Clientes!$K$3:$N$18,2,FALSE))</f>
        <v/>
      </c>
      <c r="N29" s="206" t="str">
        <f>IF($L29="","",VLOOKUP($L29,Dados_Clientes!$K$3:$N$18,3,FALSE))</f>
        <v/>
      </c>
      <c r="O29" s="206" t="str">
        <f>IF($L29="","",VLOOKUP($L29,Dados_Clientes!$K$3:$N$18,4,FALSE))</f>
        <v/>
      </c>
      <c r="P29" s="206" t="str">
        <f>IF(B29=1,"",VLOOKUP(B29,'Dados dos fundos'!$A$3:$N$200,14,FALSE))</f>
        <v/>
      </c>
      <c r="Q29" s="259" t="str">
        <f>IF(E29="","",VLOOKUP(E29,'Dados dos fundos'!$C$224:$D$389,2,FALSE))</f>
        <v/>
      </c>
      <c r="R29" s="206" t="str">
        <f>IF(E29="","",VLOOKUP(E29,'Dados dos fundos'!$C$224:$I$389,7,FALSE))</f>
        <v/>
      </c>
      <c r="S29" s="234" t="str">
        <f>IF(E29="","",VLOOKUP(E29,'Dados dos fundos'!$C$224:$K$389,8,FALSE))</f>
        <v/>
      </c>
      <c r="T29" s="282" t="str">
        <f>IF(E29="","",VLOOKUP(E29,'Dados dos fundos'!$C$224:$K$389,9,FALSE))</f>
        <v/>
      </c>
    </row>
    <row r="30" spans="1:20" x14ac:dyDescent="0.3">
      <c r="A30" s="1">
        <v>28</v>
      </c>
      <c r="B30">
        <v>1</v>
      </c>
      <c r="C30" s="223" t="str">
        <f>IF($B30=1,"",VLOOKUP($B30,'Dados dos fundos'!$A$3:$L$200,2,FALSE))</f>
        <v/>
      </c>
      <c r="D30" s="223" t="str">
        <f>IF($B30=1,"",VLOOKUP($B30,'Dados dos fundos'!$A$3:$L$200,3,FALSE))</f>
        <v/>
      </c>
      <c r="E30" s="164" t="str">
        <f>IF($B30=1,"",VLOOKUP($B30,'Dados dos fundos'!$A$3:$L$200,6,FALSE))</f>
        <v/>
      </c>
      <c r="F30" s="223" t="str">
        <f>IF($B30=1,"",VLOOKUP($B30,'Dados dos fundos'!$A$3:$L$200,7,FALSE))</f>
        <v/>
      </c>
      <c r="G30" s="223" t="str">
        <f>IF($B30=1,"",VLOOKUP($B30,'Dados dos fundos'!$A$3:$L$200,8,FALSE))</f>
        <v/>
      </c>
      <c r="H30" s="223" t="str">
        <f>IF($B30=1,"",VLOOKUP($B30,'Dados dos fundos'!$A$3:$L$200,9,FALSE))</f>
        <v/>
      </c>
      <c r="I30" s="223" t="str">
        <f>IF($B30=1,"",VLOOKUP($B30,'Dados dos fundos'!$A$3:$L$200,10,FALSE))</f>
        <v/>
      </c>
      <c r="J30" s="223" t="str">
        <f>IF($B30=1,"",VLOOKUP($B30,'Dados dos fundos'!$A$3:$L$200,11,FALSE))</f>
        <v/>
      </c>
      <c r="K30" s="223" t="str">
        <f>IF($B30=1,"",VLOOKUP($B30,'Dados dos fundos'!$A$3:$L$200,12,FALSE))</f>
        <v/>
      </c>
      <c r="L30" s="223" t="str">
        <f>IF($B30=1,"",VLOOKUP($B30,'Dados dos fundos'!$A$3:$M$200,13,FALSE))</f>
        <v/>
      </c>
      <c r="M30" s="206" t="str">
        <f>IF($L30="","",VLOOKUP($L30,Dados_Clientes!$K$3:$N$18,2,FALSE))</f>
        <v/>
      </c>
      <c r="N30" s="206" t="str">
        <f>IF($L30="","",VLOOKUP($L30,Dados_Clientes!$K$3:$N$18,3,FALSE))</f>
        <v/>
      </c>
      <c r="O30" s="206" t="str">
        <f>IF($L30="","",VLOOKUP($L30,Dados_Clientes!$K$3:$N$18,4,FALSE))</f>
        <v/>
      </c>
      <c r="P30" s="206" t="str">
        <f>IF(B30=1,"",VLOOKUP(B30,'Dados dos fundos'!$A$3:$N$200,14,FALSE))</f>
        <v/>
      </c>
      <c r="Q30" s="259" t="str">
        <f>IF(E30="","",VLOOKUP(E30,'Dados dos fundos'!$C$224:$D$389,2,FALSE))</f>
        <v/>
      </c>
      <c r="R30" s="206" t="str">
        <f>IF(E30="","",VLOOKUP(E30,'Dados dos fundos'!$C$224:$I$389,7,FALSE))</f>
        <v/>
      </c>
      <c r="S30" s="234" t="str">
        <f>IF(E30="","",VLOOKUP(E30,'Dados dos fundos'!$C$224:$K$389,8,FALSE))</f>
        <v/>
      </c>
      <c r="T30" s="282" t="str">
        <f>IF(E30="","",VLOOKUP(E30,'Dados dos fundos'!$C$224:$K$389,9,FALSE))</f>
        <v/>
      </c>
    </row>
    <row r="31" spans="1:20" x14ac:dyDescent="0.3">
      <c r="A31" s="1">
        <v>29</v>
      </c>
      <c r="B31">
        <v>1</v>
      </c>
      <c r="C31" s="223" t="str">
        <f>IF($B31=1,"",VLOOKUP($B31,'Dados dos fundos'!$A$3:$L$200,2,FALSE))</f>
        <v/>
      </c>
      <c r="D31" s="223" t="str">
        <f>IF($B31=1,"",VLOOKUP($B31,'Dados dos fundos'!$A$3:$L$200,3,FALSE))</f>
        <v/>
      </c>
      <c r="E31" s="164" t="str">
        <f>IF($B31=1,"",VLOOKUP($B31,'Dados dos fundos'!$A$3:$L$200,6,FALSE))</f>
        <v/>
      </c>
      <c r="F31" s="223" t="str">
        <f>IF($B31=1,"",VLOOKUP($B31,'Dados dos fundos'!$A$3:$L$200,7,FALSE))</f>
        <v/>
      </c>
      <c r="G31" s="223" t="str">
        <f>IF($B31=1,"",VLOOKUP($B31,'Dados dos fundos'!$A$3:$L$200,8,FALSE))</f>
        <v/>
      </c>
      <c r="H31" s="223" t="str">
        <f>IF($B31=1,"",VLOOKUP($B31,'Dados dos fundos'!$A$3:$L$200,9,FALSE))</f>
        <v/>
      </c>
      <c r="I31" s="223" t="str">
        <f>IF($B31=1,"",VLOOKUP($B31,'Dados dos fundos'!$A$3:$L$200,10,FALSE))</f>
        <v/>
      </c>
      <c r="J31" s="223" t="str">
        <f>IF($B31=1,"",VLOOKUP($B31,'Dados dos fundos'!$A$3:$L$200,11,FALSE))</f>
        <v/>
      </c>
      <c r="K31" s="223" t="str">
        <f>IF($B31=1,"",VLOOKUP($B31,'Dados dos fundos'!$A$3:$L$200,12,FALSE))</f>
        <v/>
      </c>
      <c r="L31" s="223" t="str">
        <f>IF($B31=1,"",VLOOKUP($B31,'Dados dos fundos'!$A$3:$M$200,13,FALSE))</f>
        <v/>
      </c>
      <c r="M31" s="206" t="str">
        <f>IF($L31="","",VLOOKUP($L31,Dados_Clientes!$K$3:$N$18,2,FALSE))</f>
        <v/>
      </c>
      <c r="N31" s="206" t="str">
        <f>IF($L31="","",VLOOKUP($L31,Dados_Clientes!$K$3:$N$18,3,FALSE))</f>
        <v/>
      </c>
      <c r="O31" s="206" t="str">
        <f>IF($L31="","",VLOOKUP($L31,Dados_Clientes!$K$3:$N$18,4,FALSE))</f>
        <v/>
      </c>
      <c r="P31" s="206" t="str">
        <f>IF(B31=1,"",VLOOKUP(B31,'Dados dos fundos'!$A$3:$N$200,14,FALSE))</f>
        <v/>
      </c>
      <c r="Q31" s="259" t="str">
        <f>IF(E31="","",VLOOKUP(E31,'Dados dos fundos'!$C$224:$D$389,2,FALSE))</f>
        <v/>
      </c>
      <c r="R31" s="206" t="str">
        <f>IF(E31="","",VLOOKUP(E31,'Dados dos fundos'!$C$224:$I$389,7,FALSE))</f>
        <v/>
      </c>
      <c r="S31" s="234" t="str">
        <f>IF(E31="","",VLOOKUP(E31,'Dados dos fundos'!$C$224:$K$389,8,FALSE))</f>
        <v/>
      </c>
      <c r="T31" s="282" t="str">
        <f>IF(E31="","",VLOOKUP(E31,'Dados dos fundos'!$C$224:$K$389,9,FALSE))</f>
        <v/>
      </c>
    </row>
    <row r="32" spans="1:20" x14ac:dyDescent="0.3">
      <c r="A32" s="1">
        <v>30</v>
      </c>
      <c r="B32">
        <v>1</v>
      </c>
      <c r="C32" s="223" t="str">
        <f>IF($B32=1,"",VLOOKUP($B32,'Dados dos fundos'!$A$3:$L$200,2,FALSE))</f>
        <v/>
      </c>
      <c r="D32" s="223" t="str">
        <f>IF($B32=1,"",VLOOKUP($B32,'Dados dos fundos'!$A$3:$L$200,3,FALSE))</f>
        <v/>
      </c>
      <c r="E32" s="164" t="str">
        <f>IF($B32=1,"",VLOOKUP($B32,'Dados dos fundos'!$A$3:$L$200,6,FALSE))</f>
        <v/>
      </c>
      <c r="F32" s="223" t="str">
        <f>IF($B32=1,"",VLOOKUP($B32,'Dados dos fundos'!$A$3:$L$200,7,FALSE))</f>
        <v/>
      </c>
      <c r="G32" s="223" t="str">
        <f>IF($B32=1,"",VLOOKUP($B32,'Dados dos fundos'!$A$3:$L$200,8,FALSE))</f>
        <v/>
      </c>
      <c r="H32" s="223" t="str">
        <f>IF($B32=1,"",VLOOKUP($B32,'Dados dos fundos'!$A$3:$L$200,9,FALSE))</f>
        <v/>
      </c>
      <c r="I32" s="223" t="str">
        <f>IF($B32=1,"",VLOOKUP($B32,'Dados dos fundos'!$A$3:$L$200,10,FALSE))</f>
        <v/>
      </c>
      <c r="J32" s="223" t="str">
        <f>IF($B32=1,"",VLOOKUP($B32,'Dados dos fundos'!$A$3:$L$200,11,FALSE))</f>
        <v/>
      </c>
      <c r="K32" s="223" t="str">
        <f>IF($B32=1,"",VLOOKUP($B32,'Dados dos fundos'!$A$3:$L$200,12,FALSE))</f>
        <v/>
      </c>
      <c r="L32" s="223" t="str">
        <f>IF($B32=1,"",VLOOKUP($B32,'Dados dos fundos'!$A$3:$M$200,13,FALSE))</f>
        <v/>
      </c>
      <c r="M32" s="206" t="str">
        <f>IF($L32="","",VLOOKUP($L32,Dados_Clientes!$K$3:$N$18,2,FALSE))</f>
        <v/>
      </c>
      <c r="N32" s="206" t="str">
        <f>IF($L32="","",VLOOKUP($L32,Dados_Clientes!$K$3:$N$18,3,FALSE))</f>
        <v/>
      </c>
      <c r="O32" s="206" t="str">
        <f>IF($L32="","",VLOOKUP($L32,Dados_Clientes!$K$3:$N$18,4,FALSE))</f>
        <v/>
      </c>
      <c r="P32" s="206" t="str">
        <f>IF(B32=1,"",VLOOKUP(B32,'Dados dos fundos'!$A$3:$N$200,14,FALSE))</f>
        <v/>
      </c>
      <c r="Q32" s="259" t="str">
        <f>IF(E32="","",VLOOKUP(E32,'Dados dos fundos'!$C$224:$D$389,2,FALSE))</f>
        <v/>
      </c>
      <c r="R32" s="206" t="str">
        <f>IF(E32="","",VLOOKUP(E32,'Dados dos fundos'!$C$224:$I$389,7,FALSE))</f>
        <v/>
      </c>
      <c r="S32" s="234" t="str">
        <f>IF(E32="","",VLOOKUP(E32,'Dados dos fundos'!$C$224:$K$389,8,FALSE))</f>
        <v/>
      </c>
      <c r="T32" s="282" t="str">
        <f>IF(E32="","",VLOOKUP(E32,'Dados dos fundos'!$C$224:$K$389,9,FALSE))</f>
        <v/>
      </c>
    </row>
    <row r="33" spans="1:20" x14ac:dyDescent="0.3">
      <c r="A33" s="1">
        <v>31</v>
      </c>
      <c r="B33">
        <v>1</v>
      </c>
      <c r="C33" s="223" t="str">
        <f>IF($B33=1,"",VLOOKUP($B33,'Dados dos fundos'!$A$3:$L$200,2,FALSE))</f>
        <v/>
      </c>
      <c r="D33" s="223" t="str">
        <f>IF($B33=1,"",VLOOKUP($B33,'Dados dos fundos'!$A$3:$L$200,3,FALSE))</f>
        <v/>
      </c>
      <c r="E33" s="164" t="str">
        <f>IF($B33=1,"",VLOOKUP($B33,'Dados dos fundos'!$A$3:$L$200,6,FALSE))</f>
        <v/>
      </c>
      <c r="F33" s="223" t="str">
        <f>IF($B33=1,"",VLOOKUP($B33,'Dados dos fundos'!$A$3:$L$200,7,FALSE))</f>
        <v/>
      </c>
      <c r="G33" s="223" t="str">
        <f>IF($B33=1,"",VLOOKUP($B33,'Dados dos fundos'!$A$3:$L$200,8,FALSE))</f>
        <v/>
      </c>
      <c r="H33" s="223" t="str">
        <f>IF($B33=1,"",VLOOKUP($B33,'Dados dos fundos'!$A$3:$L$200,9,FALSE))</f>
        <v/>
      </c>
      <c r="I33" s="223" t="str">
        <f>IF($B33=1,"",VLOOKUP($B33,'Dados dos fundos'!$A$3:$L$200,10,FALSE))</f>
        <v/>
      </c>
      <c r="J33" s="223" t="str">
        <f>IF($B33=1,"",VLOOKUP($B33,'Dados dos fundos'!$A$3:$L$200,11,FALSE))</f>
        <v/>
      </c>
      <c r="K33" s="223" t="str">
        <f>IF($B33=1,"",VLOOKUP($B33,'Dados dos fundos'!$A$3:$L$200,12,FALSE))</f>
        <v/>
      </c>
      <c r="L33" s="223" t="str">
        <f>IF($B33=1,"",VLOOKUP($B33,'Dados dos fundos'!$A$3:$M$200,13,FALSE))</f>
        <v/>
      </c>
      <c r="M33" s="206" t="str">
        <f>IF($L33="","",VLOOKUP($L33,Dados_Clientes!$K$3:$N$18,2,FALSE))</f>
        <v/>
      </c>
      <c r="N33" s="206" t="str">
        <f>IF($L33="","",VLOOKUP($L33,Dados_Clientes!$K$3:$N$18,3,FALSE))</f>
        <v/>
      </c>
      <c r="O33" s="206" t="str">
        <f>IF($L33="","",VLOOKUP($L33,Dados_Clientes!$K$3:$N$18,4,FALSE))</f>
        <v/>
      </c>
      <c r="P33" s="206" t="str">
        <f>IF(B33=1,"",VLOOKUP(B33,'Dados dos fundos'!$A$3:$N$200,14,FALSE))</f>
        <v/>
      </c>
      <c r="Q33" s="259" t="str">
        <f>IF(E33="","",VLOOKUP(E33,'Dados dos fundos'!$C$224:$D$389,2,FALSE))</f>
        <v/>
      </c>
      <c r="R33" s="206" t="str">
        <f>IF(E33="","",VLOOKUP(E33,'Dados dos fundos'!$C$224:$I$389,7,FALSE))</f>
        <v/>
      </c>
      <c r="S33" s="234" t="str">
        <f>IF(E33="","",VLOOKUP(E33,'Dados dos fundos'!$C$224:$K$389,8,FALSE))</f>
        <v/>
      </c>
      <c r="T33" s="282" t="str">
        <f>IF(E33="","",VLOOKUP(E33,'Dados dos fundos'!$C$224:$K$389,9,FALSE))</f>
        <v/>
      </c>
    </row>
    <row r="34" spans="1:20" x14ac:dyDescent="0.3">
      <c r="A34" s="1">
        <v>32</v>
      </c>
      <c r="B34">
        <v>1</v>
      </c>
      <c r="C34" s="223" t="str">
        <f>IF($B34=1,"",VLOOKUP($B34,'Dados dos fundos'!$A$3:$L$200,2,FALSE))</f>
        <v/>
      </c>
      <c r="D34" s="223" t="str">
        <f>IF($B34=1,"",VLOOKUP($B34,'Dados dos fundos'!$A$3:$L$200,3,FALSE))</f>
        <v/>
      </c>
      <c r="E34" s="164" t="str">
        <f>IF($B34=1,"",VLOOKUP($B34,'Dados dos fundos'!$A$3:$L$200,6,FALSE))</f>
        <v/>
      </c>
      <c r="F34" s="223" t="str">
        <f>IF($B34=1,"",VLOOKUP($B34,'Dados dos fundos'!$A$3:$L$200,7,FALSE))</f>
        <v/>
      </c>
      <c r="G34" s="223" t="str">
        <f>IF($B34=1,"",VLOOKUP($B34,'Dados dos fundos'!$A$3:$L$200,8,FALSE))</f>
        <v/>
      </c>
      <c r="H34" s="223" t="str">
        <f>IF($B34=1,"",VLOOKUP($B34,'Dados dos fundos'!$A$3:$L$200,9,FALSE))</f>
        <v/>
      </c>
      <c r="I34" s="223" t="str">
        <f>IF($B34=1,"",VLOOKUP($B34,'Dados dos fundos'!$A$3:$L$200,10,FALSE))</f>
        <v/>
      </c>
      <c r="J34" s="223" t="str">
        <f>IF($B34=1,"",VLOOKUP($B34,'Dados dos fundos'!$A$3:$L$200,11,FALSE))</f>
        <v/>
      </c>
      <c r="K34" s="223" t="str">
        <f>IF($B34=1,"",VLOOKUP($B34,'Dados dos fundos'!$A$3:$L$200,12,FALSE))</f>
        <v/>
      </c>
      <c r="L34" s="223" t="str">
        <f>IF($B34=1,"",VLOOKUP($B34,'Dados dos fundos'!$A$3:$M$200,13,FALSE))</f>
        <v/>
      </c>
      <c r="M34" s="206" t="str">
        <f>IF($L34="","",VLOOKUP($L34,Dados_Clientes!$K$3:$N$18,2,FALSE))</f>
        <v/>
      </c>
      <c r="N34" s="206" t="str">
        <f>IF($L34="","",VLOOKUP($L34,Dados_Clientes!$K$3:$N$18,3,FALSE))</f>
        <v/>
      </c>
      <c r="O34" s="206" t="str">
        <f>IF($L34="","",VLOOKUP($L34,Dados_Clientes!$K$3:$N$18,4,FALSE))</f>
        <v/>
      </c>
      <c r="P34" s="206" t="str">
        <f>IF(B34=1,"",VLOOKUP(B34,'Dados dos fundos'!$A$3:$N$200,14,FALSE))</f>
        <v/>
      </c>
      <c r="Q34" s="259" t="str">
        <f>IF(E34="","",VLOOKUP(E34,'Dados dos fundos'!$C$224:$D$389,2,FALSE))</f>
        <v/>
      </c>
      <c r="R34" s="206" t="str">
        <f>IF(E34="","",VLOOKUP(E34,'Dados dos fundos'!$C$224:$I$389,7,FALSE))</f>
        <v/>
      </c>
      <c r="S34" s="234" t="str">
        <f>IF(E34="","",VLOOKUP(E34,'Dados dos fundos'!$C$224:$K$389,8,FALSE))</f>
        <v/>
      </c>
      <c r="T34" s="282" t="str">
        <f>IF(E34="","",VLOOKUP(E34,'Dados dos fundos'!$C$224:$K$389,9,FALSE))</f>
        <v/>
      </c>
    </row>
    <row r="35" spans="1:20" x14ac:dyDescent="0.3">
      <c r="A35" s="1">
        <v>33</v>
      </c>
      <c r="B35">
        <v>1</v>
      </c>
      <c r="C35" s="223" t="str">
        <f>IF($B35=1,"",VLOOKUP($B35,'Dados dos fundos'!$A$3:$L$200,2,FALSE))</f>
        <v/>
      </c>
      <c r="D35" s="223" t="str">
        <f>IF($B35=1,"",VLOOKUP($B35,'Dados dos fundos'!$A$3:$L$200,3,FALSE))</f>
        <v/>
      </c>
      <c r="E35" s="164" t="str">
        <f>IF($B35=1,"",VLOOKUP($B35,'Dados dos fundos'!$A$3:$L$200,6,FALSE))</f>
        <v/>
      </c>
      <c r="F35" s="223" t="str">
        <f>IF($B35=1,"",VLOOKUP($B35,'Dados dos fundos'!$A$3:$L$200,7,FALSE))</f>
        <v/>
      </c>
      <c r="G35" s="223" t="str">
        <f>IF($B35=1,"",VLOOKUP($B35,'Dados dos fundos'!$A$3:$L$200,8,FALSE))</f>
        <v/>
      </c>
      <c r="H35" s="223" t="str">
        <f>IF($B35=1,"",VLOOKUP($B35,'Dados dos fundos'!$A$3:$L$200,9,FALSE))</f>
        <v/>
      </c>
      <c r="I35" s="223" t="str">
        <f>IF($B35=1,"",VLOOKUP($B35,'Dados dos fundos'!$A$3:$L$200,10,FALSE))</f>
        <v/>
      </c>
      <c r="J35" s="223" t="str">
        <f>IF($B35=1,"",VLOOKUP($B35,'Dados dos fundos'!$A$3:$L$200,11,FALSE))</f>
        <v/>
      </c>
      <c r="K35" s="223" t="str">
        <f>IF($B35=1,"",VLOOKUP($B35,'Dados dos fundos'!$A$3:$L$200,12,FALSE))</f>
        <v/>
      </c>
      <c r="L35" s="223" t="str">
        <f>IF($B35=1,"",VLOOKUP($B35,'Dados dos fundos'!$A$3:$M$200,13,FALSE))</f>
        <v/>
      </c>
      <c r="M35" s="206" t="str">
        <f>IF($L35="","",VLOOKUP($L35,Dados_Clientes!$K$3:$N$18,2,FALSE))</f>
        <v/>
      </c>
      <c r="N35" s="206" t="str">
        <f>IF($L35="","",VLOOKUP($L35,Dados_Clientes!$K$3:$N$18,3,FALSE))</f>
        <v/>
      </c>
      <c r="O35" s="206" t="str">
        <f>IF($L35="","",VLOOKUP($L35,Dados_Clientes!$K$3:$N$18,4,FALSE))</f>
        <v/>
      </c>
      <c r="P35" s="206" t="str">
        <f>IF(B35=1,"",VLOOKUP(B35,'Dados dos fundos'!$A$3:$N$200,14,FALSE))</f>
        <v/>
      </c>
      <c r="Q35" s="259" t="str">
        <f>IF(E35="","",VLOOKUP(E35,'Dados dos fundos'!$C$224:$D$389,2,FALSE))</f>
        <v/>
      </c>
      <c r="R35" s="206" t="str">
        <f>IF(E35="","",VLOOKUP(E35,'Dados dos fundos'!$C$224:$I$389,7,FALSE))</f>
        <v/>
      </c>
      <c r="S35" s="234" t="str">
        <f>IF(E35="","",VLOOKUP(E35,'Dados dos fundos'!$C$224:$K$389,8,FALSE))</f>
        <v/>
      </c>
      <c r="T35" s="282" t="str">
        <f>IF(E35="","",VLOOKUP(E35,'Dados dos fundos'!$C$224:$K$389,9,FALSE))</f>
        <v/>
      </c>
    </row>
    <row r="36" spans="1:20" x14ac:dyDescent="0.3">
      <c r="A36" s="1">
        <v>34</v>
      </c>
      <c r="B36">
        <v>1</v>
      </c>
      <c r="C36" s="223" t="str">
        <f>IF($B36=1,"",VLOOKUP($B36,'Dados dos fundos'!$A$3:$L$200,2,FALSE))</f>
        <v/>
      </c>
      <c r="D36" s="223" t="str">
        <f>IF($B36=1,"",VLOOKUP($B36,'Dados dos fundos'!$A$3:$L$200,3,FALSE))</f>
        <v/>
      </c>
      <c r="E36" s="164" t="str">
        <f>IF($B36=1,"",VLOOKUP($B36,'Dados dos fundos'!$A$3:$L$200,6,FALSE))</f>
        <v/>
      </c>
      <c r="F36" s="223" t="str">
        <f>IF($B36=1,"",VLOOKUP($B36,'Dados dos fundos'!$A$3:$L$200,7,FALSE))</f>
        <v/>
      </c>
      <c r="G36" s="223" t="str">
        <f>IF($B36=1,"",VLOOKUP($B36,'Dados dos fundos'!$A$3:$L$200,8,FALSE))</f>
        <v/>
      </c>
      <c r="H36" s="223" t="str">
        <f>IF($B36=1,"",VLOOKUP($B36,'Dados dos fundos'!$A$3:$L$200,9,FALSE))</f>
        <v/>
      </c>
      <c r="I36" s="223" t="str">
        <f>IF($B36=1,"",VLOOKUP($B36,'Dados dos fundos'!$A$3:$L$200,10,FALSE))</f>
        <v/>
      </c>
      <c r="J36" s="223" t="str">
        <f>IF($B36=1,"",VLOOKUP($B36,'Dados dos fundos'!$A$3:$L$200,11,FALSE))</f>
        <v/>
      </c>
      <c r="K36" s="223" t="str">
        <f>IF($B36=1,"",VLOOKUP($B36,'Dados dos fundos'!$A$3:$L$200,12,FALSE))</f>
        <v/>
      </c>
      <c r="L36" s="223" t="str">
        <f>IF($B36=1,"",VLOOKUP($B36,'Dados dos fundos'!$A$3:$M$200,13,FALSE))</f>
        <v/>
      </c>
      <c r="M36" s="206" t="str">
        <f>IF($L36="","",VLOOKUP($L36,Dados_Clientes!$K$3:$N$18,2,FALSE))</f>
        <v/>
      </c>
      <c r="N36" s="206" t="str">
        <f>IF($L36="","",VLOOKUP($L36,Dados_Clientes!$K$3:$N$18,3,FALSE))</f>
        <v/>
      </c>
      <c r="O36" s="206" t="str">
        <f>IF($L36="","",VLOOKUP($L36,Dados_Clientes!$K$3:$N$18,4,FALSE))</f>
        <v/>
      </c>
      <c r="P36" s="206" t="str">
        <f>IF(B36=1,"",VLOOKUP(B36,'Dados dos fundos'!$A$3:$N$200,14,FALSE))</f>
        <v/>
      </c>
      <c r="Q36" s="259" t="str">
        <f>IF(E36="","",VLOOKUP(E36,'Dados dos fundos'!$C$224:$D$389,2,FALSE))</f>
        <v/>
      </c>
      <c r="R36" s="206" t="str">
        <f>IF(E36="","",VLOOKUP(E36,'Dados dos fundos'!$C$224:$I$389,7,FALSE))</f>
        <v/>
      </c>
      <c r="S36" s="234" t="str">
        <f>IF(E36="","",VLOOKUP(E36,'Dados dos fundos'!$C$224:$K$389,8,FALSE))</f>
        <v/>
      </c>
      <c r="T36" s="282" t="str">
        <f>IF(E36="","",VLOOKUP(E36,'Dados dos fundos'!$C$224:$K$389,9,FALSE))</f>
        <v/>
      </c>
    </row>
    <row r="37" spans="1:20" x14ac:dyDescent="0.3">
      <c r="A37" s="1">
        <v>35</v>
      </c>
      <c r="B37">
        <v>1</v>
      </c>
      <c r="C37" s="223" t="str">
        <f>IF($B37=1,"",VLOOKUP($B37,'Dados dos fundos'!$A$3:$L$200,2,FALSE))</f>
        <v/>
      </c>
      <c r="D37" s="223" t="str">
        <f>IF($B37=1,"",VLOOKUP($B37,'Dados dos fundos'!$A$3:$L$200,3,FALSE))</f>
        <v/>
      </c>
      <c r="E37" s="164" t="str">
        <f>IF($B37=1,"",VLOOKUP($B37,'Dados dos fundos'!$A$3:$L$200,6,FALSE))</f>
        <v/>
      </c>
      <c r="F37" s="223" t="str">
        <f>IF($B37=1,"",VLOOKUP($B37,'Dados dos fundos'!$A$3:$L$200,7,FALSE))</f>
        <v/>
      </c>
      <c r="G37" s="223" t="str">
        <f>IF($B37=1,"",VLOOKUP($B37,'Dados dos fundos'!$A$3:$L$200,8,FALSE))</f>
        <v/>
      </c>
      <c r="H37" s="223" t="str">
        <f>IF($B37=1,"",VLOOKUP($B37,'Dados dos fundos'!$A$3:$L$200,9,FALSE))</f>
        <v/>
      </c>
      <c r="I37" s="223" t="str">
        <f>IF($B37=1,"",VLOOKUP($B37,'Dados dos fundos'!$A$3:$L$200,10,FALSE))</f>
        <v/>
      </c>
      <c r="J37" s="223" t="str">
        <f>IF($B37=1,"",VLOOKUP($B37,'Dados dos fundos'!$A$3:$L$200,11,FALSE))</f>
        <v/>
      </c>
      <c r="K37" s="223" t="str">
        <f>IF($B37=1,"",VLOOKUP($B37,'Dados dos fundos'!$A$3:$L$200,12,FALSE))</f>
        <v/>
      </c>
      <c r="L37" s="223" t="str">
        <f>IF($B37=1,"",VLOOKUP($B37,'Dados dos fundos'!$A$3:$M$200,13,FALSE))</f>
        <v/>
      </c>
      <c r="M37" s="206" t="str">
        <f>IF($L37="","",VLOOKUP($L37,Dados_Clientes!$K$3:$N$18,2,FALSE))</f>
        <v/>
      </c>
      <c r="N37" s="206" t="str">
        <f>IF($L37="","",VLOOKUP($L37,Dados_Clientes!$K$3:$N$18,3,FALSE))</f>
        <v/>
      </c>
      <c r="O37" s="206" t="str">
        <f>IF($L37="","",VLOOKUP($L37,Dados_Clientes!$K$3:$N$18,4,FALSE))</f>
        <v/>
      </c>
      <c r="P37" s="206" t="str">
        <f>IF(B37=1,"",VLOOKUP(B37,'Dados dos fundos'!$A$3:$N$200,14,FALSE))</f>
        <v/>
      </c>
      <c r="Q37" s="259" t="str">
        <f>IF(E37="","",VLOOKUP(E37,'Dados dos fundos'!$C$224:$D$389,2,FALSE))</f>
        <v/>
      </c>
      <c r="R37" s="206" t="str">
        <f>IF(E37="","",VLOOKUP(E37,'Dados dos fundos'!$C$224:$I$389,7,FALSE))</f>
        <v/>
      </c>
      <c r="S37" s="234" t="str">
        <f>IF(E37="","",VLOOKUP(E37,'Dados dos fundos'!$C$224:$K$389,8,FALSE))</f>
        <v/>
      </c>
      <c r="T37" s="282" t="str">
        <f>IF(E37="","",VLOOKUP(E37,'Dados dos fundos'!$C$224:$K$389,9,FALSE))</f>
        <v/>
      </c>
    </row>
    <row r="38" spans="1:20" x14ac:dyDescent="0.3">
      <c r="A38" s="1">
        <v>36</v>
      </c>
      <c r="B38">
        <v>1</v>
      </c>
      <c r="C38" s="223" t="str">
        <f>IF($B38=1,"",VLOOKUP($B38,'Dados dos fundos'!$A$3:$L$200,2,FALSE))</f>
        <v/>
      </c>
      <c r="D38" s="223" t="str">
        <f>IF($B38=1,"",VLOOKUP($B38,'Dados dos fundos'!$A$3:$L$200,3,FALSE))</f>
        <v/>
      </c>
      <c r="E38" s="164" t="str">
        <f>IF($B38=1,"",VLOOKUP($B38,'Dados dos fundos'!$A$3:$L$200,6,FALSE))</f>
        <v/>
      </c>
      <c r="F38" s="223" t="str">
        <f>IF($B38=1,"",VLOOKUP($B38,'Dados dos fundos'!$A$3:$L$200,7,FALSE))</f>
        <v/>
      </c>
      <c r="G38" s="223" t="str">
        <f>IF($B38=1,"",VLOOKUP($B38,'Dados dos fundos'!$A$3:$L$200,8,FALSE))</f>
        <v/>
      </c>
      <c r="H38" s="223" t="str">
        <f>IF($B38=1,"",VLOOKUP($B38,'Dados dos fundos'!$A$3:$L$200,9,FALSE))</f>
        <v/>
      </c>
      <c r="I38" s="223" t="str">
        <f>IF($B38=1,"",VLOOKUP($B38,'Dados dos fundos'!$A$3:$L$200,10,FALSE))</f>
        <v/>
      </c>
      <c r="J38" s="223" t="str">
        <f>IF($B38=1,"",VLOOKUP($B38,'Dados dos fundos'!$A$3:$L$200,11,FALSE))</f>
        <v/>
      </c>
      <c r="K38" s="223" t="str">
        <f>IF($B38=1,"",VLOOKUP($B38,'Dados dos fundos'!$A$3:$L$200,12,FALSE))</f>
        <v/>
      </c>
      <c r="L38" s="223" t="str">
        <f>IF($B38=1,"",VLOOKUP($B38,'Dados dos fundos'!$A$3:$M$200,13,FALSE))</f>
        <v/>
      </c>
      <c r="M38" s="206" t="str">
        <f>IF($L38="","",VLOOKUP($L38,Dados_Clientes!$K$3:$N$18,2,FALSE))</f>
        <v/>
      </c>
      <c r="N38" s="206" t="str">
        <f>IF($L38="","",VLOOKUP($L38,Dados_Clientes!$K$3:$N$18,3,FALSE))</f>
        <v/>
      </c>
      <c r="O38" s="206" t="str">
        <f>IF($L38="","",VLOOKUP($L38,Dados_Clientes!$K$3:$N$18,4,FALSE))</f>
        <v/>
      </c>
      <c r="P38" s="206" t="str">
        <f>IF(B38=1,"",VLOOKUP(B38,'Dados dos fundos'!$A$3:$N$200,14,FALSE))</f>
        <v/>
      </c>
      <c r="Q38" s="259" t="str">
        <f>IF(E38="","",VLOOKUP(E38,'Dados dos fundos'!$C$224:$D$389,2,FALSE))</f>
        <v/>
      </c>
      <c r="R38" s="206" t="str">
        <f>IF(E38="","",VLOOKUP(E38,'Dados dos fundos'!$C$224:$I$389,7,FALSE))</f>
        <v/>
      </c>
      <c r="S38" s="234" t="str">
        <f>IF(E38="","",VLOOKUP(E38,'Dados dos fundos'!$C$224:$K$389,8,FALSE))</f>
        <v/>
      </c>
      <c r="T38" s="282" t="str">
        <f>IF(E38="","",VLOOKUP(E38,'Dados dos fundos'!$C$224:$K$389,9,FALSE))</f>
        <v/>
      </c>
    </row>
    <row r="39" spans="1:20" x14ac:dyDescent="0.3">
      <c r="A39" s="1">
        <v>37</v>
      </c>
      <c r="B39">
        <v>1</v>
      </c>
      <c r="C39" s="223" t="str">
        <f>IF($B39=1,"",VLOOKUP($B39,'Dados dos fundos'!$A$3:$L$200,2,FALSE))</f>
        <v/>
      </c>
      <c r="D39" s="223" t="str">
        <f>IF($B39=1,"",VLOOKUP($B39,'Dados dos fundos'!$A$3:$L$200,3,FALSE))</f>
        <v/>
      </c>
      <c r="E39" s="164" t="str">
        <f>IF($B39=1,"",VLOOKUP($B39,'Dados dos fundos'!$A$3:$L$200,6,FALSE))</f>
        <v/>
      </c>
      <c r="F39" s="223" t="str">
        <f>IF($B39=1,"",VLOOKUP($B39,'Dados dos fundos'!$A$3:$L$200,7,FALSE))</f>
        <v/>
      </c>
      <c r="G39" s="223" t="str">
        <f>IF($B39=1,"",VLOOKUP($B39,'Dados dos fundos'!$A$3:$L$200,8,FALSE))</f>
        <v/>
      </c>
      <c r="H39" s="223" t="str">
        <f>IF($B39=1,"",VLOOKUP($B39,'Dados dos fundos'!$A$3:$L$200,9,FALSE))</f>
        <v/>
      </c>
      <c r="I39" s="223" t="str">
        <f>IF($B39=1,"",VLOOKUP($B39,'Dados dos fundos'!$A$3:$L$200,10,FALSE))</f>
        <v/>
      </c>
      <c r="J39" s="223" t="str">
        <f>IF($B39=1,"",VLOOKUP($B39,'Dados dos fundos'!$A$3:$L$200,11,FALSE))</f>
        <v/>
      </c>
      <c r="K39" s="223" t="str">
        <f>IF($B39=1,"",VLOOKUP($B39,'Dados dos fundos'!$A$3:$L$200,12,FALSE))</f>
        <v/>
      </c>
      <c r="L39" s="223" t="str">
        <f>IF($B39=1,"",VLOOKUP($B39,'Dados dos fundos'!$A$3:$M$200,13,FALSE))</f>
        <v/>
      </c>
      <c r="M39" s="206" t="str">
        <f>IF($L39="","",VLOOKUP($L39,Dados_Clientes!$K$3:$N$18,2,FALSE))</f>
        <v/>
      </c>
      <c r="N39" s="206" t="str">
        <f>IF($L39="","",VLOOKUP($L39,Dados_Clientes!$K$3:$N$18,3,FALSE))</f>
        <v/>
      </c>
      <c r="O39" s="206" t="str">
        <f>IF($L39="","",VLOOKUP($L39,Dados_Clientes!$K$3:$N$18,4,FALSE))</f>
        <v/>
      </c>
      <c r="P39" s="206" t="str">
        <f>IF(B39=1,"",VLOOKUP(B39,'Dados dos fundos'!$A$3:$N$200,14,FALSE))</f>
        <v/>
      </c>
      <c r="Q39" s="259" t="str">
        <f>IF(E39="","",VLOOKUP(E39,'Dados dos fundos'!$C$224:$D$389,2,FALSE))</f>
        <v/>
      </c>
      <c r="R39" s="206" t="str">
        <f>IF(E39="","",VLOOKUP(E39,'Dados dos fundos'!$C$224:$I$389,7,FALSE))</f>
        <v/>
      </c>
      <c r="S39" s="234" t="str">
        <f>IF(E39="","",VLOOKUP(E39,'Dados dos fundos'!$C$224:$K$389,8,FALSE))</f>
        <v/>
      </c>
      <c r="T39" s="282" t="str">
        <f>IF(E39="","",VLOOKUP(E39,'Dados dos fundos'!$C$224:$K$389,9,FALSE))</f>
        <v/>
      </c>
    </row>
    <row r="40" spans="1:20" x14ac:dyDescent="0.3">
      <c r="A40" s="1">
        <v>38</v>
      </c>
      <c r="B40">
        <v>1</v>
      </c>
      <c r="C40" s="223" t="str">
        <f>IF($B40=1,"",VLOOKUP($B40,'Dados dos fundos'!$A$3:$L$200,2,FALSE))</f>
        <v/>
      </c>
      <c r="D40" s="223" t="str">
        <f>IF($B40=1,"",VLOOKUP($B40,'Dados dos fundos'!$A$3:$L$200,3,FALSE))</f>
        <v/>
      </c>
      <c r="E40" s="164" t="str">
        <f>IF($B40=1,"",VLOOKUP($B40,'Dados dos fundos'!$A$3:$L$200,6,FALSE))</f>
        <v/>
      </c>
      <c r="F40" s="223" t="str">
        <f>IF($B40=1,"",VLOOKUP($B40,'Dados dos fundos'!$A$3:$L$200,7,FALSE))</f>
        <v/>
      </c>
      <c r="G40" s="223" t="str">
        <f>IF($B40=1,"",VLOOKUP($B40,'Dados dos fundos'!$A$3:$L$200,8,FALSE))</f>
        <v/>
      </c>
      <c r="H40" s="223" t="str">
        <f>IF($B40=1,"",VLOOKUP($B40,'Dados dos fundos'!$A$3:$L$200,9,FALSE))</f>
        <v/>
      </c>
      <c r="I40" s="223" t="str">
        <f>IF($B40=1,"",VLOOKUP($B40,'Dados dos fundos'!$A$3:$L$200,10,FALSE))</f>
        <v/>
      </c>
      <c r="J40" s="223" t="str">
        <f>IF($B40=1,"",VLOOKUP($B40,'Dados dos fundos'!$A$3:$L$200,11,FALSE))</f>
        <v/>
      </c>
      <c r="K40" s="223" t="str">
        <f>IF($B40=1,"",VLOOKUP($B40,'Dados dos fundos'!$A$3:$L$200,12,FALSE))</f>
        <v/>
      </c>
      <c r="L40" s="223" t="str">
        <f>IF($B40=1,"",VLOOKUP($B40,'Dados dos fundos'!$A$3:$M$200,13,FALSE))</f>
        <v/>
      </c>
      <c r="M40" s="206" t="str">
        <f>IF($L40="","",VLOOKUP($L40,Dados_Clientes!$K$3:$N$18,2,FALSE))</f>
        <v/>
      </c>
      <c r="N40" s="206" t="str">
        <f>IF($L40="","",VLOOKUP($L40,Dados_Clientes!$K$3:$N$18,3,FALSE))</f>
        <v/>
      </c>
      <c r="O40" s="206" t="str">
        <f>IF($L40="","",VLOOKUP($L40,Dados_Clientes!$K$3:$N$18,4,FALSE))</f>
        <v/>
      </c>
      <c r="P40" s="206" t="str">
        <f>IF(B40=1,"",VLOOKUP(B40,'Dados dos fundos'!$A$3:$N$200,14,FALSE))</f>
        <v/>
      </c>
      <c r="Q40" s="259" t="str">
        <f>IF(E40="","",VLOOKUP(E40,'Dados dos fundos'!$C$224:$D$389,2,FALSE))</f>
        <v/>
      </c>
      <c r="R40" s="206" t="str">
        <f>IF(E40="","",VLOOKUP(E40,'Dados dos fundos'!$C$224:$I$389,7,FALSE))</f>
        <v/>
      </c>
      <c r="S40" s="234" t="str">
        <f>IF(E40="","",VLOOKUP(E40,'Dados dos fundos'!$C$224:$K$389,8,FALSE))</f>
        <v/>
      </c>
      <c r="T40" s="282" t="str">
        <f>IF(E40="","",VLOOKUP(E40,'Dados dos fundos'!$C$224:$K$389,9,FALSE))</f>
        <v/>
      </c>
    </row>
    <row r="41" spans="1:20" x14ac:dyDescent="0.3">
      <c r="A41" s="1">
        <v>39</v>
      </c>
      <c r="B41">
        <v>1</v>
      </c>
      <c r="C41" s="223" t="str">
        <f>IF($B41=1,"",VLOOKUP($B41,'Dados dos fundos'!$A$3:$L$200,2,FALSE))</f>
        <v/>
      </c>
      <c r="D41" s="223" t="str">
        <f>IF($B41=1,"",VLOOKUP($B41,'Dados dos fundos'!$A$3:$L$200,3,FALSE))</f>
        <v/>
      </c>
      <c r="E41" s="164" t="str">
        <f>IF($B41=1,"",VLOOKUP($B41,'Dados dos fundos'!$A$3:$L$200,6,FALSE))</f>
        <v/>
      </c>
      <c r="F41" s="223" t="str">
        <f>IF($B41=1,"",VLOOKUP($B41,'Dados dos fundos'!$A$3:$L$200,7,FALSE))</f>
        <v/>
      </c>
      <c r="G41" s="223" t="str">
        <f>IF($B41=1,"",VLOOKUP($B41,'Dados dos fundos'!$A$3:$L$200,8,FALSE))</f>
        <v/>
      </c>
      <c r="H41" s="223" t="str">
        <f>IF($B41=1,"",VLOOKUP($B41,'Dados dos fundos'!$A$3:$L$200,9,FALSE))</f>
        <v/>
      </c>
      <c r="I41" s="223" t="str">
        <f>IF($B41=1,"",VLOOKUP($B41,'Dados dos fundos'!$A$3:$L$200,10,FALSE))</f>
        <v/>
      </c>
      <c r="J41" s="223" t="str">
        <f>IF($B41=1,"",VLOOKUP($B41,'Dados dos fundos'!$A$3:$L$200,11,FALSE))</f>
        <v/>
      </c>
      <c r="K41" s="223" t="str">
        <f>IF($B41=1,"",VLOOKUP($B41,'Dados dos fundos'!$A$3:$L$200,12,FALSE))</f>
        <v/>
      </c>
      <c r="L41" s="223" t="str">
        <f>IF($B41=1,"",VLOOKUP($B41,'Dados dos fundos'!$A$3:$M$200,13,FALSE))</f>
        <v/>
      </c>
      <c r="M41" s="206" t="str">
        <f>IF($L41="","",VLOOKUP($L41,Dados_Clientes!$K$3:$N$18,2,FALSE))</f>
        <v/>
      </c>
      <c r="N41" s="206" t="str">
        <f>IF($L41="","",VLOOKUP($L41,Dados_Clientes!$K$3:$N$18,3,FALSE))</f>
        <v/>
      </c>
      <c r="O41" s="206" t="str">
        <f>IF($L41="","",VLOOKUP($L41,Dados_Clientes!$K$3:$N$18,4,FALSE))</f>
        <v/>
      </c>
      <c r="P41" s="206" t="str">
        <f>IF(B41=1,"",VLOOKUP(B41,'Dados dos fundos'!$A$3:$N$200,14,FALSE))</f>
        <v/>
      </c>
      <c r="Q41" s="259" t="str">
        <f>IF(E41="","",VLOOKUP(E41,'Dados dos fundos'!$C$224:$D$389,2,FALSE))</f>
        <v/>
      </c>
      <c r="R41" s="206" t="str">
        <f>IF(E41="","",VLOOKUP(E41,'Dados dos fundos'!$C$224:$I$389,7,FALSE))</f>
        <v/>
      </c>
      <c r="S41" s="234" t="str">
        <f>IF(E41="","",VLOOKUP(E41,'Dados dos fundos'!$C$224:$K$389,8,FALSE))</f>
        <v/>
      </c>
      <c r="T41" s="282" t="str">
        <f>IF(E41="","",VLOOKUP(E41,'Dados dos fundos'!$C$224:$K$389,9,FALSE))</f>
        <v/>
      </c>
    </row>
    <row r="42" spans="1:20" x14ac:dyDescent="0.3">
      <c r="A42" s="1">
        <v>40</v>
      </c>
      <c r="B42">
        <v>1</v>
      </c>
      <c r="C42" s="223" t="str">
        <f>IF($B42=1,"",VLOOKUP($B42,'Dados dos fundos'!$A$3:$L$200,2,FALSE))</f>
        <v/>
      </c>
      <c r="D42" s="223" t="str">
        <f>IF($B42=1,"",VLOOKUP($B42,'Dados dos fundos'!$A$3:$L$200,3,FALSE))</f>
        <v/>
      </c>
      <c r="E42" s="164" t="str">
        <f>IF($B42=1,"",VLOOKUP($B42,'Dados dos fundos'!$A$3:$L$200,6,FALSE))</f>
        <v/>
      </c>
      <c r="F42" s="223" t="str">
        <f>IF($B42=1,"",VLOOKUP($B42,'Dados dos fundos'!$A$3:$L$200,7,FALSE))</f>
        <v/>
      </c>
      <c r="G42" s="223" t="str">
        <f>IF($B42=1,"",VLOOKUP($B42,'Dados dos fundos'!$A$3:$L$200,8,FALSE))</f>
        <v/>
      </c>
      <c r="H42" s="223" t="str">
        <f>IF($B42=1,"",VLOOKUP($B42,'Dados dos fundos'!$A$3:$L$200,9,FALSE))</f>
        <v/>
      </c>
      <c r="I42" s="223" t="str">
        <f>IF($B42=1,"",VLOOKUP($B42,'Dados dos fundos'!$A$3:$L$200,10,FALSE))</f>
        <v/>
      </c>
      <c r="J42" s="223" t="str">
        <f>IF($B42=1,"",VLOOKUP($B42,'Dados dos fundos'!$A$3:$L$200,11,FALSE))</f>
        <v/>
      </c>
      <c r="K42" s="223" t="str">
        <f>IF($B42=1,"",VLOOKUP($B42,'Dados dos fundos'!$A$3:$L$200,12,FALSE))</f>
        <v/>
      </c>
      <c r="L42" s="223" t="str">
        <f>IF($B42=1,"",VLOOKUP($B42,'Dados dos fundos'!$A$3:$M$200,13,FALSE))</f>
        <v/>
      </c>
      <c r="M42" s="206" t="str">
        <f>IF($L42="","",VLOOKUP($L42,Dados_Clientes!$K$3:$N$18,2,FALSE))</f>
        <v/>
      </c>
      <c r="N42" s="206" t="str">
        <f>IF($L42="","",VLOOKUP($L42,Dados_Clientes!$K$3:$N$18,3,FALSE))</f>
        <v/>
      </c>
      <c r="O42" s="206" t="str">
        <f>IF($L42="","",VLOOKUP($L42,Dados_Clientes!$K$3:$N$18,4,FALSE))</f>
        <v/>
      </c>
      <c r="P42" s="206" t="str">
        <f>IF(B42=1,"",VLOOKUP(B42,'Dados dos fundos'!$A$3:$N$200,14,FALSE))</f>
        <v/>
      </c>
      <c r="Q42" s="259" t="str">
        <f>IF(E42="","",VLOOKUP(E42,'Dados dos fundos'!$C$224:$D$389,2,FALSE))</f>
        <v/>
      </c>
      <c r="R42" s="206" t="str">
        <f>IF(E42="","",VLOOKUP(E42,'Dados dos fundos'!$C$224:$I$389,7,FALSE))</f>
        <v/>
      </c>
      <c r="S42" s="234" t="str">
        <f>IF(E42="","",VLOOKUP(E42,'Dados dos fundos'!$C$224:$K$389,8,FALSE))</f>
        <v/>
      </c>
      <c r="T42" s="282" t="str">
        <f>IF(E42="","",VLOOKUP(E42,'Dados dos fundos'!$C$224:$K$389,9,FALSE))</f>
        <v/>
      </c>
    </row>
  </sheetData>
  <conditionalFormatting sqref="E3:E42">
    <cfRule type="notContainsBlanks" dxfId="49" priority="1">
      <formula>LEN(TRIM(E3))&gt;0</formula>
    </cfRule>
  </conditionalFormatting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B3:L43"/>
  <sheetViews>
    <sheetView showGridLines="0" topLeftCell="C1" workbookViewId="0">
      <selection activeCell="I20" sqref="I20"/>
    </sheetView>
  </sheetViews>
  <sheetFormatPr defaultColWidth="9.140625" defaultRowHeight="15" x14ac:dyDescent="0.3"/>
  <cols>
    <col min="1" max="1" width="9.140625" style="1"/>
    <col min="2" max="2" width="14" style="1" bestFit="1" customWidth="1"/>
    <col min="3" max="3" width="13.28515625" style="1" bestFit="1" customWidth="1"/>
    <col min="4" max="4" width="8.140625" style="1" bestFit="1" customWidth="1"/>
    <col min="5" max="5" width="15.85546875" style="1" bestFit="1" customWidth="1"/>
    <col min="6" max="6" width="12" style="1" bestFit="1" customWidth="1"/>
    <col min="7" max="7" width="25.85546875" style="1" bestFit="1" customWidth="1"/>
    <col min="8" max="8" width="25.85546875" style="1" customWidth="1"/>
    <col min="9" max="9" width="9.140625" style="1"/>
    <col min="10" max="10" width="47.85546875" style="1" bestFit="1" customWidth="1"/>
    <col min="11" max="11" width="9.140625" style="1"/>
    <col min="12" max="12" width="13.85546875" style="1" bestFit="1" customWidth="1"/>
    <col min="13" max="16384" width="9.140625" style="1"/>
  </cols>
  <sheetData>
    <row r="3" spans="2:12" s="28" customFormat="1" ht="30" customHeight="1" x14ac:dyDescent="0.3">
      <c r="B3" s="35" t="s">
        <v>73</v>
      </c>
      <c r="C3" s="35" t="s">
        <v>540</v>
      </c>
      <c r="D3" s="35" t="s">
        <v>541</v>
      </c>
      <c r="E3" s="35" t="s">
        <v>542</v>
      </c>
      <c r="F3" s="35" t="s">
        <v>543</v>
      </c>
      <c r="G3" s="35" t="s">
        <v>494</v>
      </c>
      <c r="H3" s="98"/>
      <c r="K3" s="59" t="s">
        <v>628</v>
      </c>
    </row>
    <row r="4" spans="2:12" x14ac:dyDescent="0.3">
      <c r="B4" s="64" t="str">
        <f>Retorno!B7</f>
        <v>BB IRF-M</v>
      </c>
      <c r="C4" s="99">
        <f>IF(B4="","",Retorno!G7)</f>
        <v>0</v>
      </c>
      <c r="D4" s="64">
        <f>IF(B4="","",Retorno!K7)</f>
        <v>0</v>
      </c>
      <c r="E4" s="64">
        <f>Carteira!M3</f>
        <v>1</v>
      </c>
      <c r="F4" s="64">
        <f>IF(OR(B4="",Carteira!Q3=""),"",C4/Carteira!Q3)</f>
        <v>0</v>
      </c>
      <c r="G4" s="64" t="str">
        <f>Carteira!L3</f>
        <v>FI 100% títulos TN - Art. 7º, I, "b"</v>
      </c>
      <c r="H4" s="64" t="str">
        <f>IF(B4="","",VLOOKUP(G4,$J$4:$L$19,3,FALSE))</f>
        <v>Art. 7º, I, "b"</v>
      </c>
      <c r="J4" s="78" t="s">
        <v>507</v>
      </c>
      <c r="K4" s="75">
        <f>SUMIF($G$4:$G$43,J4,$D$4:$D$43)</f>
        <v>0</v>
      </c>
      <c r="L4" s="1" t="s">
        <v>668</v>
      </c>
    </row>
    <row r="5" spans="2:12" x14ac:dyDescent="0.3">
      <c r="B5" s="64" t="str">
        <f>Retorno!B8</f>
        <v>BB Perfil</v>
      </c>
      <c r="C5" s="99">
        <f>IF(B5="","",Retorno!G8)</f>
        <v>368033.64</v>
      </c>
      <c r="D5" s="64">
        <f>IF(B5="","",Retorno!K8)</f>
        <v>4.5059442210735635E-2</v>
      </c>
      <c r="E5" s="64">
        <f>Carteira!M4</f>
        <v>0.2</v>
      </c>
      <c r="F5" s="64">
        <f>IF(OR(B5="",Carteira!Q4=""),"",C5/Carteira!Q4)</f>
        <v>5.6662010286147599E-5</v>
      </c>
      <c r="G5" s="64" t="str">
        <f>Carteira!L4</f>
        <v>FI de Renda Fixa - Art. 7º, IV</v>
      </c>
      <c r="H5" s="64" t="str">
        <f t="shared" ref="H5:H43" si="0">IF(B5="","",VLOOKUP(G5,$J$4:$L$19,3,FALSE))</f>
        <v>Art. 7º, IV</v>
      </c>
      <c r="J5" s="78" t="s">
        <v>497</v>
      </c>
      <c r="K5" s="75">
        <f t="shared" ref="K5:K19" si="1">SUMIF($G$4:$G$43,J5,$D$4:$D$43)</f>
        <v>0.87712229214413928</v>
      </c>
      <c r="L5" s="1" t="s">
        <v>669</v>
      </c>
    </row>
    <row r="6" spans="2:12" x14ac:dyDescent="0.3">
      <c r="B6" s="64" t="str">
        <f>Retorno!B9</f>
        <v>BB IX TP</v>
      </c>
      <c r="C6" s="99">
        <f>IF(B6="","",Retorno!G9)</f>
        <v>535928.17000000004</v>
      </c>
      <c r="D6" s="64">
        <f>IF(B6="","",Retorno!K9)</f>
        <v>6.561526387973747E-2</v>
      </c>
      <c r="E6" s="64">
        <f>Carteira!M5</f>
        <v>1</v>
      </c>
      <c r="F6" s="64">
        <f>IF(OR(B6="",Carteira!Q5=""),"",C6/Carteira!Q5)</f>
        <v>2.3775467278348004E-4</v>
      </c>
      <c r="G6" s="64" t="str">
        <f>Carteira!L5</f>
        <v>FI 100% títulos TN - Art. 7º, I, "b"</v>
      </c>
      <c r="H6" s="64" t="str">
        <f t="shared" si="0"/>
        <v>Art. 7º, I, "b"</v>
      </c>
      <c r="J6" s="78" t="s">
        <v>508</v>
      </c>
      <c r="K6" s="75">
        <f t="shared" si="1"/>
        <v>0</v>
      </c>
      <c r="L6" s="1" t="s">
        <v>670</v>
      </c>
    </row>
    <row r="7" spans="2:12" x14ac:dyDescent="0.3">
      <c r="B7" s="64" t="str">
        <f>Retorno!B10</f>
        <v>BB IRF-M1</v>
      </c>
      <c r="C7" s="99">
        <f>IF(B7="","",Retorno!G10)</f>
        <v>3391984.3</v>
      </c>
      <c r="D7" s="64">
        <f>IF(B7="","",Retorno!K10)</f>
        <v>0.41529062545905465</v>
      </c>
      <c r="E7" s="64">
        <f>Carteira!M6</f>
        <v>1</v>
      </c>
      <c r="F7" s="64">
        <f>IF(OR(B7="",Carteira!Q6=""),"",C7/Carteira!Q6)</f>
        <v>4.3598621460382649E-4</v>
      </c>
      <c r="G7" s="64" t="str">
        <f>Carteira!L6</f>
        <v>FI 100% títulos TN - Art. 7º, I, "b"</v>
      </c>
      <c r="H7" s="64" t="str">
        <f t="shared" si="0"/>
        <v>Art. 7º, I, "b"</v>
      </c>
      <c r="J7" s="78" t="s">
        <v>495</v>
      </c>
      <c r="K7" s="75">
        <f t="shared" si="1"/>
        <v>0</v>
      </c>
      <c r="L7" s="1" t="s">
        <v>671</v>
      </c>
    </row>
    <row r="8" spans="2:12" x14ac:dyDescent="0.3">
      <c r="B8" s="64" t="str">
        <f>Retorno!B11</f>
        <v>Caixa 2016 I TP RF</v>
      </c>
      <c r="C8" s="99">
        <f>IF(B8="","",Retorno!G11)</f>
        <v>1086173</v>
      </c>
      <c r="D8" s="64">
        <f>IF(B8="","",Retorno!K11)</f>
        <v>0.13298335859831009</v>
      </c>
      <c r="E8" s="64">
        <f>Carteira!M7</f>
        <v>1</v>
      </c>
      <c r="F8" s="64">
        <f>IF(OR(B8="",Carteira!Q7=""),"",C8/Carteira!Q7)</f>
        <v>7.4058677255630073E-4</v>
      </c>
      <c r="G8" s="64" t="str">
        <f>Carteira!L7</f>
        <v>FI 100% títulos TN - Art. 7º, I, "b"</v>
      </c>
      <c r="H8" s="64" t="str">
        <f t="shared" si="0"/>
        <v>Art. 7º, I, "b"</v>
      </c>
      <c r="J8" s="78" t="s">
        <v>496</v>
      </c>
      <c r="K8" s="75">
        <f t="shared" si="1"/>
        <v>0.12287770785586066</v>
      </c>
      <c r="L8" s="1" t="s">
        <v>672</v>
      </c>
    </row>
    <row r="9" spans="2:12" x14ac:dyDescent="0.3">
      <c r="B9" s="64" t="str">
        <f>Retorno!B12</f>
        <v>Caixa Ref. DI LP</v>
      </c>
      <c r="C9" s="99">
        <f>IF(B9="","",Retorno!G12)</f>
        <v>635599.06999999995</v>
      </c>
      <c r="D9" s="64">
        <f>IF(B9="","",Retorno!K12)</f>
        <v>7.781826564512502E-2</v>
      </c>
      <c r="E9" s="64">
        <f>Carteira!M8</f>
        <v>0.2</v>
      </c>
      <c r="F9" s="64">
        <f>IF(OR(B9="",Carteira!Q8=""),"",C9/Carteira!Q8)</f>
        <v>1.4551989179380903E-4</v>
      </c>
      <c r="G9" s="64" t="str">
        <f>Carteira!L8</f>
        <v>FI de Renda Fixa - Art. 7º, IV</v>
      </c>
      <c r="H9" s="64" t="str">
        <f t="shared" si="0"/>
        <v>Art. 7º, IV</v>
      </c>
      <c r="J9" s="78" t="s">
        <v>509</v>
      </c>
      <c r="K9" s="75">
        <f t="shared" si="1"/>
        <v>0</v>
      </c>
      <c r="L9" s="1" t="s">
        <v>673</v>
      </c>
    </row>
    <row r="10" spans="2:12" x14ac:dyDescent="0.3">
      <c r="B10" s="64" t="str">
        <f>Retorno!B13</f>
        <v>Caixa IRF-M1</v>
      </c>
      <c r="C10" s="99">
        <f>IF(B10="","",Retorno!G13)</f>
        <v>2150018.08</v>
      </c>
      <c r="D10" s="64">
        <f>IF(B10="","",Retorno!K13)</f>
        <v>0.26323304420703714</v>
      </c>
      <c r="E10" s="64">
        <f>Carteira!M9</f>
        <v>1</v>
      </c>
      <c r="F10" s="64">
        <f>IF(OR(B10="",Carteira!Q9=""),"",C10/Carteira!Q9)</f>
        <v>2.3077915583687701E-4</v>
      </c>
      <c r="G10" s="64" t="str">
        <f>Carteira!L9</f>
        <v>FI 100% títulos TN - Art. 7º, I, "b"</v>
      </c>
      <c r="H10" s="64" t="str">
        <f t="shared" si="0"/>
        <v>Art. 7º, I, "b"</v>
      </c>
      <c r="J10" s="78" t="s">
        <v>501</v>
      </c>
      <c r="K10" s="75">
        <f t="shared" si="1"/>
        <v>0</v>
      </c>
      <c r="L10" s="1" t="s">
        <v>674</v>
      </c>
    </row>
    <row r="11" spans="2:12" x14ac:dyDescent="0.3">
      <c r="B11" s="64" t="str">
        <f>Retorno!B14</f>
        <v>Caixa IRF-M1+</v>
      </c>
      <c r="C11" s="99">
        <f>IF(B11="","",Retorno!G14)</f>
        <v>0</v>
      </c>
      <c r="D11" s="64">
        <f>IF(B11="","",Retorno!K14)</f>
        <v>0</v>
      </c>
      <c r="E11" s="64">
        <f>Carteira!M10</f>
        <v>1</v>
      </c>
      <c r="F11" s="64">
        <f>IF(OR(B11="",Carteira!Q10=""),"",C11/Carteira!Q10)</f>
        <v>0</v>
      </c>
      <c r="G11" s="64" t="str">
        <f>Carteira!L10</f>
        <v>FI 100% títulos TN - Art. 7º, I, "b"</v>
      </c>
      <c r="H11" s="64" t="str">
        <f t="shared" si="0"/>
        <v>Art. 7º, I, "b"</v>
      </c>
      <c r="J11" s="78" t="s">
        <v>504</v>
      </c>
      <c r="K11" s="75">
        <f t="shared" si="1"/>
        <v>0</v>
      </c>
      <c r="L11" s="1" t="s">
        <v>675</v>
      </c>
    </row>
    <row r="12" spans="2:12" x14ac:dyDescent="0.3">
      <c r="B12" s="64" t="str">
        <f>Retorno!B15</f>
        <v/>
      </c>
      <c r="C12" s="99" t="str">
        <f>IF(B12="","",Retorno!G15)</f>
        <v/>
      </c>
      <c r="D12" s="64" t="str">
        <f>IF(B12="","",Retorno!K15)</f>
        <v/>
      </c>
      <c r="E12" s="64" t="str">
        <f>Carteira!M11</f>
        <v/>
      </c>
      <c r="F12" s="64" t="str">
        <f>IF(OR(B12="",Carteira!Q11=""),"",C12/Carteira!Q11)</f>
        <v/>
      </c>
      <c r="G12" s="64" t="str">
        <f>Carteira!L11</f>
        <v/>
      </c>
      <c r="H12" s="64" t="str">
        <f t="shared" si="0"/>
        <v/>
      </c>
      <c r="J12" s="78" t="s">
        <v>500</v>
      </c>
      <c r="K12" s="75">
        <f t="shared" si="1"/>
        <v>0</v>
      </c>
      <c r="L12" s="1" t="s">
        <v>676</v>
      </c>
    </row>
    <row r="13" spans="2:12" x14ac:dyDescent="0.3">
      <c r="B13" s="64" t="str">
        <f>Retorno!B16</f>
        <v/>
      </c>
      <c r="C13" s="99" t="str">
        <f>IF(B13="","",Retorno!G16)</f>
        <v/>
      </c>
      <c r="D13" s="64" t="str">
        <f>IF(B13="","",Retorno!K16)</f>
        <v/>
      </c>
      <c r="E13" s="64" t="str">
        <f>Carteira!M12</f>
        <v/>
      </c>
      <c r="F13" s="64" t="str">
        <f>IF(OR(B13="",Carteira!Q12=""),"",C13/Carteira!Q12)</f>
        <v/>
      </c>
      <c r="G13" s="64" t="str">
        <f>Carteira!L12</f>
        <v/>
      </c>
      <c r="H13" s="64" t="str">
        <f t="shared" si="0"/>
        <v/>
      </c>
      <c r="J13" s="78"/>
      <c r="K13" s="75">
        <f t="shared" si="1"/>
        <v>0</v>
      </c>
    </row>
    <row r="14" spans="2:12" x14ac:dyDescent="0.3">
      <c r="B14" s="64" t="str">
        <f>Retorno!B17</f>
        <v/>
      </c>
      <c r="C14" s="99" t="str">
        <f>IF(B14="","",Retorno!G17)</f>
        <v/>
      </c>
      <c r="D14" s="64" t="str">
        <f>IF(B14="","",Retorno!K17)</f>
        <v/>
      </c>
      <c r="E14" s="64" t="str">
        <f>Carteira!M13</f>
        <v/>
      </c>
      <c r="F14" s="64" t="str">
        <f>IF(OR(B14="",Carteira!Q13=""),"",C14/Carteira!Q13)</f>
        <v/>
      </c>
      <c r="G14" s="64" t="str">
        <f>Carteira!L13</f>
        <v/>
      </c>
      <c r="H14" s="64" t="str">
        <f t="shared" si="0"/>
        <v/>
      </c>
      <c r="J14" s="78" t="s">
        <v>502</v>
      </c>
      <c r="K14" s="75">
        <f t="shared" si="1"/>
        <v>0</v>
      </c>
      <c r="L14" s="1" t="s">
        <v>677</v>
      </c>
    </row>
    <row r="15" spans="2:12" x14ac:dyDescent="0.3">
      <c r="B15" s="64" t="str">
        <f>Retorno!B18</f>
        <v/>
      </c>
      <c r="C15" s="99" t="str">
        <f>IF(B15="","",Retorno!G18)</f>
        <v/>
      </c>
      <c r="D15" s="64" t="str">
        <f>IF(B15="","",Retorno!K18)</f>
        <v/>
      </c>
      <c r="E15" s="64" t="str">
        <f>Carteira!M14</f>
        <v/>
      </c>
      <c r="F15" s="64" t="str">
        <f>IF(OR(B15="",Carteira!Q14=""),"",C15/Carteira!Q14)</f>
        <v/>
      </c>
      <c r="G15" s="64" t="str">
        <f>Carteira!L14</f>
        <v/>
      </c>
      <c r="H15" s="64" t="str">
        <f t="shared" si="0"/>
        <v/>
      </c>
      <c r="J15" s="78" t="s">
        <v>503</v>
      </c>
      <c r="K15" s="75">
        <f t="shared" si="1"/>
        <v>0</v>
      </c>
      <c r="L15" s="1" t="s">
        <v>678</v>
      </c>
    </row>
    <row r="16" spans="2:12" x14ac:dyDescent="0.3">
      <c r="B16" s="64" t="str">
        <f>Retorno!B19</f>
        <v/>
      </c>
      <c r="C16" s="99" t="str">
        <f>IF(B16="","",Retorno!G19)</f>
        <v/>
      </c>
      <c r="D16" s="64" t="str">
        <f>IF(B16="","",Retorno!K19)</f>
        <v/>
      </c>
      <c r="E16" s="64" t="str">
        <f>Carteira!M15</f>
        <v/>
      </c>
      <c r="F16" s="64" t="str">
        <f>IF(OR(B16="",Carteira!Q15=""),"",C16/Carteira!Q15)</f>
        <v/>
      </c>
      <c r="G16" s="64" t="str">
        <f>Carteira!L15</f>
        <v/>
      </c>
      <c r="H16" s="64" t="str">
        <f t="shared" si="0"/>
        <v/>
      </c>
      <c r="J16" s="78" t="s">
        <v>498</v>
      </c>
      <c r="K16" s="75">
        <f t="shared" si="1"/>
        <v>0</v>
      </c>
      <c r="L16" s="1" t="s">
        <v>679</v>
      </c>
    </row>
    <row r="17" spans="2:12" x14ac:dyDescent="0.3">
      <c r="B17" s="64" t="str">
        <f>Retorno!B20</f>
        <v/>
      </c>
      <c r="C17" s="99" t="str">
        <f>IF(B17="","",Retorno!G20)</f>
        <v/>
      </c>
      <c r="D17" s="64" t="str">
        <f>IF(B17="","",Retorno!K20)</f>
        <v/>
      </c>
      <c r="E17" s="64" t="str">
        <f>Carteira!M16</f>
        <v/>
      </c>
      <c r="F17" s="64" t="str">
        <f>IF(OR(B17="",Carteira!Q16=""),"",C17/Carteira!Q16)</f>
        <v/>
      </c>
      <c r="G17" s="64" t="str">
        <f>Carteira!L16</f>
        <v/>
      </c>
      <c r="H17" s="64" t="str">
        <f t="shared" si="0"/>
        <v/>
      </c>
      <c r="J17" s="78" t="s">
        <v>499</v>
      </c>
      <c r="K17" s="75">
        <f t="shared" si="1"/>
        <v>0</v>
      </c>
      <c r="L17" s="1" t="s">
        <v>680</v>
      </c>
    </row>
    <row r="18" spans="2:12" x14ac:dyDescent="0.3">
      <c r="B18" s="64" t="str">
        <f>Retorno!B21</f>
        <v/>
      </c>
      <c r="C18" s="99" t="str">
        <f>IF(B18="","",Retorno!G21)</f>
        <v/>
      </c>
      <c r="D18" s="64" t="str">
        <f>IF(B18="","",Retorno!K21)</f>
        <v/>
      </c>
      <c r="E18" s="64" t="str">
        <f>Carteira!M17</f>
        <v/>
      </c>
      <c r="F18" s="64" t="str">
        <f>IF(OR(B18="",Carteira!Q17=""),"",C18/Carteira!Q17)</f>
        <v/>
      </c>
      <c r="G18" s="64" t="str">
        <f>Carteira!L17</f>
        <v/>
      </c>
      <c r="H18" s="64" t="str">
        <f t="shared" si="0"/>
        <v/>
      </c>
      <c r="J18" s="78" t="s">
        <v>510</v>
      </c>
      <c r="K18" s="75">
        <f t="shared" si="1"/>
        <v>0</v>
      </c>
      <c r="L18" s="1" t="s">
        <v>681</v>
      </c>
    </row>
    <row r="19" spans="2:12" x14ac:dyDescent="0.3">
      <c r="B19" s="64" t="str">
        <f>Retorno!B22</f>
        <v/>
      </c>
      <c r="C19" s="99" t="str">
        <f>IF(B19="","",Retorno!G22)</f>
        <v/>
      </c>
      <c r="D19" s="64" t="str">
        <f>IF(B19="","",Retorno!K22)</f>
        <v/>
      </c>
      <c r="E19" s="64" t="str">
        <f>Carteira!M18</f>
        <v/>
      </c>
      <c r="F19" s="64" t="str">
        <f>IF(OR(B19="",Carteira!Q18=""),"",C19/Carteira!Q18)</f>
        <v/>
      </c>
      <c r="G19" s="64" t="str">
        <f>Carteira!L18</f>
        <v/>
      </c>
      <c r="H19" s="64" t="str">
        <f t="shared" si="0"/>
        <v/>
      </c>
      <c r="J19" s="78" t="s">
        <v>505</v>
      </c>
      <c r="K19" s="75">
        <f t="shared" si="1"/>
        <v>0</v>
      </c>
      <c r="L19" s="1" t="s">
        <v>682</v>
      </c>
    </row>
    <row r="20" spans="2:12" x14ac:dyDescent="0.3">
      <c r="B20" s="64" t="str">
        <f>Retorno!B23</f>
        <v/>
      </c>
      <c r="C20" s="99" t="str">
        <f>IF(B20="","",Retorno!G23)</f>
        <v/>
      </c>
      <c r="D20" s="64" t="str">
        <f>IF(B20="","",Retorno!K23)</f>
        <v/>
      </c>
      <c r="E20" s="64" t="str">
        <f>Carteira!M19</f>
        <v/>
      </c>
      <c r="F20" s="64" t="str">
        <f>IF(OR(B20="",Carteira!Q19=""),"",C20/Carteira!Q19)</f>
        <v/>
      </c>
      <c r="G20" s="64" t="str">
        <f>Carteira!L19</f>
        <v/>
      </c>
      <c r="H20" s="64" t="str">
        <f t="shared" si="0"/>
        <v/>
      </c>
    </row>
    <row r="21" spans="2:12" x14ac:dyDescent="0.3">
      <c r="B21" s="64" t="str">
        <f>Retorno!B24</f>
        <v/>
      </c>
      <c r="C21" s="99" t="str">
        <f>IF(B21="","",Retorno!G24)</f>
        <v/>
      </c>
      <c r="D21" s="64" t="str">
        <f>IF(B21="","",Retorno!K24)</f>
        <v/>
      </c>
      <c r="E21" s="64" t="str">
        <f>Carteira!M20</f>
        <v/>
      </c>
      <c r="F21" s="64" t="str">
        <f>IF(OR(B21="",Carteira!Q20=""),"",C21/Carteira!Q20)</f>
        <v/>
      </c>
      <c r="G21" s="64" t="str">
        <f>Carteira!L20</f>
        <v/>
      </c>
      <c r="H21" s="64" t="str">
        <f t="shared" si="0"/>
        <v/>
      </c>
    </row>
    <row r="22" spans="2:12" x14ac:dyDescent="0.3">
      <c r="B22" s="64" t="str">
        <f>Retorno!B25</f>
        <v/>
      </c>
      <c r="C22" s="99" t="str">
        <f>IF(B22="","",Retorno!G25)</f>
        <v/>
      </c>
      <c r="D22" s="64" t="str">
        <f>IF(B22="","",Retorno!K25)</f>
        <v/>
      </c>
      <c r="E22" s="64" t="str">
        <f>Carteira!M21</f>
        <v/>
      </c>
      <c r="F22" s="64" t="str">
        <f>IF(OR(B22="",Carteira!Q21=""),"",C22/Carteira!Q21)</f>
        <v/>
      </c>
      <c r="G22" s="64" t="str">
        <f>Carteira!L21</f>
        <v/>
      </c>
      <c r="H22" s="64" t="str">
        <f t="shared" si="0"/>
        <v/>
      </c>
    </row>
    <row r="23" spans="2:12" x14ac:dyDescent="0.3">
      <c r="B23" s="64" t="str">
        <f>Retorno!B26</f>
        <v/>
      </c>
      <c r="C23" s="99" t="str">
        <f>IF(B23="","",Retorno!G26)</f>
        <v/>
      </c>
      <c r="D23" s="64" t="str">
        <f>IF(B23="","",Retorno!K26)</f>
        <v/>
      </c>
      <c r="E23" s="64" t="str">
        <f>Carteira!M22</f>
        <v/>
      </c>
      <c r="F23" s="64" t="str">
        <f>IF(OR(B23="",Carteira!Q22=""),"",C23/Carteira!Q22)</f>
        <v/>
      </c>
      <c r="G23" s="64" t="str">
        <f>Carteira!L22</f>
        <v/>
      </c>
      <c r="H23" s="64" t="str">
        <f t="shared" si="0"/>
        <v/>
      </c>
    </row>
    <row r="24" spans="2:12" x14ac:dyDescent="0.3">
      <c r="B24" s="64" t="str">
        <f>Retorno!B27</f>
        <v/>
      </c>
      <c r="C24" s="99" t="str">
        <f>IF(B24="","",Retorno!G27)</f>
        <v/>
      </c>
      <c r="D24" s="64" t="str">
        <f>IF(B24="","",Retorno!K27)</f>
        <v/>
      </c>
      <c r="E24" s="64" t="str">
        <f>Carteira!M23</f>
        <v/>
      </c>
      <c r="F24" s="64" t="str">
        <f>IF(OR(B24="",Carteira!Q23=""),"",C24/Carteira!Q23)</f>
        <v/>
      </c>
      <c r="G24" s="64" t="str">
        <f>Carteira!L23</f>
        <v/>
      </c>
      <c r="H24" s="64" t="str">
        <f t="shared" si="0"/>
        <v/>
      </c>
    </row>
    <row r="25" spans="2:12" x14ac:dyDescent="0.3">
      <c r="B25" s="64" t="str">
        <f>Retorno!B28</f>
        <v/>
      </c>
      <c r="C25" s="99" t="str">
        <f>IF(B25="","",Retorno!G28)</f>
        <v/>
      </c>
      <c r="D25" s="64" t="str">
        <f>IF(B25="","",Retorno!K28)</f>
        <v/>
      </c>
      <c r="E25" s="64" t="str">
        <f>Carteira!M24</f>
        <v/>
      </c>
      <c r="F25" s="64" t="str">
        <f>IF(OR(B25="",Carteira!Q24=""),"",C25/Carteira!Q24)</f>
        <v/>
      </c>
      <c r="G25" s="64" t="str">
        <f>Carteira!L24</f>
        <v/>
      </c>
      <c r="H25" s="64" t="str">
        <f t="shared" si="0"/>
        <v/>
      </c>
    </row>
    <row r="26" spans="2:12" x14ac:dyDescent="0.3">
      <c r="B26" s="64" t="str">
        <f>Retorno!B29</f>
        <v/>
      </c>
      <c r="C26" s="99" t="str">
        <f>IF(B26="","",Retorno!G29)</f>
        <v/>
      </c>
      <c r="D26" s="64" t="str">
        <f>IF(B26="","",Retorno!K29)</f>
        <v/>
      </c>
      <c r="E26" s="64" t="str">
        <f>Carteira!M25</f>
        <v/>
      </c>
      <c r="F26" s="64" t="str">
        <f>IF(OR(B26="",Carteira!Q25=""),"",C26/Carteira!Q25)</f>
        <v/>
      </c>
      <c r="G26" s="64" t="str">
        <f>Carteira!L25</f>
        <v/>
      </c>
      <c r="H26" s="64" t="str">
        <f t="shared" si="0"/>
        <v/>
      </c>
    </row>
    <row r="27" spans="2:12" x14ac:dyDescent="0.3">
      <c r="B27" s="64" t="str">
        <f>Retorno!B30</f>
        <v/>
      </c>
      <c r="C27" s="99" t="str">
        <f>IF(B27="","",Retorno!G30)</f>
        <v/>
      </c>
      <c r="D27" s="64" t="str">
        <f>IF(B27="","",Retorno!K30)</f>
        <v/>
      </c>
      <c r="E27" s="64" t="str">
        <f>Carteira!M26</f>
        <v/>
      </c>
      <c r="F27" s="64" t="str">
        <f>IF(OR(B27="",Carteira!Q26=""),"",C27/Carteira!Q26)</f>
        <v/>
      </c>
      <c r="G27" s="64" t="str">
        <f>Carteira!L26</f>
        <v/>
      </c>
      <c r="H27" s="64" t="str">
        <f t="shared" si="0"/>
        <v/>
      </c>
    </row>
    <row r="28" spans="2:12" x14ac:dyDescent="0.3">
      <c r="B28" s="64" t="str">
        <f>Retorno!B31</f>
        <v/>
      </c>
      <c r="C28" s="99" t="str">
        <f>IF(B28="","",Retorno!G31)</f>
        <v/>
      </c>
      <c r="D28" s="64" t="str">
        <f>IF(B28="","",Retorno!K31)</f>
        <v/>
      </c>
      <c r="E28" s="64" t="str">
        <f>Carteira!M27</f>
        <v/>
      </c>
      <c r="F28" s="64" t="str">
        <f>IF(OR(B28="",Carteira!Q27=""),"",C28/Carteira!Q27)</f>
        <v/>
      </c>
      <c r="G28" s="64" t="str">
        <f>Carteira!L27</f>
        <v/>
      </c>
      <c r="H28" s="64" t="str">
        <f t="shared" si="0"/>
        <v/>
      </c>
    </row>
    <row r="29" spans="2:12" x14ac:dyDescent="0.3">
      <c r="B29" s="64" t="str">
        <f>Retorno!B32</f>
        <v/>
      </c>
      <c r="C29" s="99" t="str">
        <f>IF(B29="","",Retorno!G32)</f>
        <v/>
      </c>
      <c r="D29" s="64" t="str">
        <f>IF(B29="","",Retorno!K32)</f>
        <v/>
      </c>
      <c r="E29" s="64" t="str">
        <f>Carteira!M28</f>
        <v/>
      </c>
      <c r="F29" s="64" t="str">
        <f>IF(OR(B29="",Carteira!Q28=""),"",C29/Carteira!Q28)</f>
        <v/>
      </c>
      <c r="G29" s="64" t="str">
        <f>Carteira!L28</f>
        <v/>
      </c>
      <c r="H29" s="64" t="str">
        <f t="shared" si="0"/>
        <v/>
      </c>
    </row>
    <row r="30" spans="2:12" x14ac:dyDescent="0.3">
      <c r="B30" s="64" t="str">
        <f>Retorno!B33</f>
        <v/>
      </c>
      <c r="C30" s="99" t="str">
        <f>IF(B30="","",Retorno!G33)</f>
        <v/>
      </c>
      <c r="D30" s="64" t="str">
        <f>IF(B30="","",Retorno!K33)</f>
        <v/>
      </c>
      <c r="E30" s="64" t="str">
        <f>Carteira!M29</f>
        <v/>
      </c>
      <c r="F30" s="64" t="str">
        <f>IF(OR(B30="",Carteira!Q29=""),"",C30/Carteira!Q29)</f>
        <v/>
      </c>
      <c r="G30" s="64" t="str">
        <f>Carteira!L29</f>
        <v/>
      </c>
      <c r="H30" s="64" t="str">
        <f t="shared" si="0"/>
        <v/>
      </c>
    </row>
    <row r="31" spans="2:12" x14ac:dyDescent="0.3">
      <c r="B31" s="64" t="str">
        <f>Retorno!B34</f>
        <v/>
      </c>
      <c r="C31" s="99" t="str">
        <f>IF(B31="","",Retorno!G34)</f>
        <v/>
      </c>
      <c r="D31" s="64" t="str">
        <f>IF(B31="","",Retorno!K34)</f>
        <v/>
      </c>
      <c r="E31" s="64" t="str">
        <f>Carteira!M30</f>
        <v/>
      </c>
      <c r="F31" s="64" t="str">
        <f>IF(OR(B31="",Carteira!Q30=""),"",C31/Carteira!Q30)</f>
        <v/>
      </c>
      <c r="G31" s="64" t="str">
        <f>Carteira!L30</f>
        <v/>
      </c>
      <c r="H31" s="64" t="str">
        <f t="shared" si="0"/>
        <v/>
      </c>
    </row>
    <row r="32" spans="2:12" x14ac:dyDescent="0.3">
      <c r="B32" s="64" t="str">
        <f>Retorno!B35</f>
        <v/>
      </c>
      <c r="C32" s="99" t="str">
        <f>IF(B32="","",Retorno!G35)</f>
        <v/>
      </c>
      <c r="D32" s="64" t="str">
        <f>IF(B32="","",Retorno!K35)</f>
        <v/>
      </c>
      <c r="E32" s="64" t="str">
        <f>Carteira!M31</f>
        <v/>
      </c>
      <c r="F32" s="64" t="str">
        <f>IF(OR(B32="",Carteira!Q31=""),"",C32/Carteira!Q31)</f>
        <v/>
      </c>
      <c r="G32" s="64" t="str">
        <f>Carteira!L31</f>
        <v/>
      </c>
      <c r="H32" s="64" t="str">
        <f t="shared" si="0"/>
        <v/>
      </c>
    </row>
    <row r="33" spans="2:8" x14ac:dyDescent="0.3">
      <c r="B33" s="64" t="str">
        <f>Retorno!B36</f>
        <v/>
      </c>
      <c r="C33" s="99" t="str">
        <f>IF(B33="","",Retorno!G36)</f>
        <v/>
      </c>
      <c r="D33" s="64" t="str">
        <f>IF(B33="","",Retorno!K36)</f>
        <v/>
      </c>
      <c r="E33" s="64" t="str">
        <f>Carteira!M32</f>
        <v/>
      </c>
      <c r="F33" s="64" t="str">
        <f>IF(OR(B33="",Carteira!Q32=""),"",C33/Carteira!Q32)</f>
        <v/>
      </c>
      <c r="G33" s="64" t="str">
        <f>Carteira!L32</f>
        <v/>
      </c>
      <c r="H33" s="64" t="str">
        <f t="shared" si="0"/>
        <v/>
      </c>
    </row>
    <row r="34" spans="2:8" x14ac:dyDescent="0.3">
      <c r="B34" s="64" t="str">
        <f>Retorno!B37</f>
        <v/>
      </c>
      <c r="C34" s="99" t="str">
        <f>IF(B34="","",Retorno!G37)</f>
        <v/>
      </c>
      <c r="D34" s="64" t="str">
        <f>IF(B34="","",Retorno!K37)</f>
        <v/>
      </c>
      <c r="E34" s="64" t="str">
        <f>Carteira!M33</f>
        <v/>
      </c>
      <c r="F34" s="64" t="str">
        <f>IF(OR(B34="",Carteira!Q33=""),"",C34/Carteira!Q33)</f>
        <v/>
      </c>
      <c r="G34" s="64" t="str">
        <f>Carteira!L33</f>
        <v/>
      </c>
      <c r="H34" s="64" t="str">
        <f t="shared" si="0"/>
        <v/>
      </c>
    </row>
    <row r="35" spans="2:8" x14ac:dyDescent="0.3">
      <c r="B35" s="64" t="str">
        <f>Retorno!B38</f>
        <v/>
      </c>
      <c r="C35" s="99" t="str">
        <f>IF(B35="","",Retorno!G38)</f>
        <v/>
      </c>
      <c r="D35" s="64" t="str">
        <f>IF(B35="","",Retorno!K38)</f>
        <v/>
      </c>
      <c r="E35" s="64" t="str">
        <f>Carteira!M34</f>
        <v/>
      </c>
      <c r="F35" s="64" t="str">
        <f>IF(OR(B35="",Carteira!Q34=""),"",C35/Carteira!Q34)</f>
        <v/>
      </c>
      <c r="G35" s="64" t="str">
        <f>Carteira!L34</f>
        <v/>
      </c>
      <c r="H35" s="64" t="str">
        <f t="shared" si="0"/>
        <v/>
      </c>
    </row>
    <row r="36" spans="2:8" x14ac:dyDescent="0.3">
      <c r="B36" s="64" t="str">
        <f>Retorno!B39</f>
        <v/>
      </c>
      <c r="C36" s="99" t="str">
        <f>IF(B36="","",Retorno!G39)</f>
        <v/>
      </c>
      <c r="D36" s="64" t="str">
        <f>IF(B36="","",Retorno!K39)</f>
        <v/>
      </c>
      <c r="E36" s="64" t="str">
        <f>Carteira!M35</f>
        <v/>
      </c>
      <c r="F36" s="64" t="str">
        <f>IF(OR(B36="",Carteira!Q35=""),"",C36/Carteira!Q35)</f>
        <v/>
      </c>
      <c r="G36" s="64" t="str">
        <f>Carteira!L35</f>
        <v/>
      </c>
      <c r="H36" s="64" t="str">
        <f t="shared" si="0"/>
        <v/>
      </c>
    </row>
    <row r="37" spans="2:8" x14ac:dyDescent="0.3">
      <c r="B37" s="64" t="str">
        <f>Retorno!B40</f>
        <v/>
      </c>
      <c r="C37" s="99" t="str">
        <f>IF(B37="","",Retorno!G40)</f>
        <v/>
      </c>
      <c r="D37" s="64" t="str">
        <f>IF(B37="","",Retorno!K40)</f>
        <v/>
      </c>
      <c r="E37" s="64" t="str">
        <f>Carteira!M36</f>
        <v/>
      </c>
      <c r="F37" s="64" t="str">
        <f>IF(OR(B37="",Carteira!Q36=""),"",C37/Carteira!Q36)</f>
        <v/>
      </c>
      <c r="G37" s="64" t="str">
        <f>Carteira!L36</f>
        <v/>
      </c>
      <c r="H37" s="64" t="str">
        <f t="shared" si="0"/>
        <v/>
      </c>
    </row>
    <row r="38" spans="2:8" x14ac:dyDescent="0.3">
      <c r="B38" s="64" t="str">
        <f>Retorno!B41</f>
        <v/>
      </c>
      <c r="C38" s="99" t="str">
        <f>IF(B38="","",Retorno!G41)</f>
        <v/>
      </c>
      <c r="D38" s="64" t="str">
        <f>IF(B38="","",Retorno!K41)</f>
        <v/>
      </c>
      <c r="E38" s="64" t="str">
        <f>Carteira!M37</f>
        <v/>
      </c>
      <c r="F38" s="64" t="str">
        <f>IF(OR(B38="",Carteira!Q37=""),"",C38/Carteira!Q37)</f>
        <v/>
      </c>
      <c r="G38" s="64" t="str">
        <f>Carteira!L37</f>
        <v/>
      </c>
      <c r="H38" s="64" t="str">
        <f t="shared" si="0"/>
        <v/>
      </c>
    </row>
    <row r="39" spans="2:8" x14ac:dyDescent="0.3">
      <c r="B39" s="64" t="str">
        <f>Retorno!B42</f>
        <v/>
      </c>
      <c r="C39" s="99" t="str">
        <f>IF(B39="","",Retorno!G42)</f>
        <v/>
      </c>
      <c r="D39" s="64" t="str">
        <f>IF(B39="","",Retorno!K42)</f>
        <v/>
      </c>
      <c r="E39" s="64" t="str">
        <f>Carteira!M38</f>
        <v/>
      </c>
      <c r="F39" s="64" t="str">
        <f>IF(OR(B39="",Carteira!Q38=""),"",C39/Carteira!Q38)</f>
        <v/>
      </c>
      <c r="G39" s="64" t="str">
        <f>Carteira!L38</f>
        <v/>
      </c>
      <c r="H39" s="64" t="str">
        <f t="shared" si="0"/>
        <v/>
      </c>
    </row>
    <row r="40" spans="2:8" x14ac:dyDescent="0.3">
      <c r="B40" s="64" t="str">
        <f>Retorno!B43</f>
        <v/>
      </c>
      <c r="C40" s="99" t="str">
        <f>IF(B40="","",Retorno!G43)</f>
        <v/>
      </c>
      <c r="D40" s="64" t="str">
        <f>IF(B40="","",Retorno!K43)</f>
        <v/>
      </c>
      <c r="E40" s="64" t="str">
        <f>Carteira!M39</f>
        <v/>
      </c>
      <c r="F40" s="64" t="str">
        <f>IF(OR(B40="",Carteira!Q39=""),"",C40/Carteira!Q39)</f>
        <v/>
      </c>
      <c r="G40" s="64" t="str">
        <f>Carteira!L39</f>
        <v/>
      </c>
      <c r="H40" s="64" t="str">
        <f t="shared" si="0"/>
        <v/>
      </c>
    </row>
    <row r="41" spans="2:8" x14ac:dyDescent="0.3">
      <c r="B41" s="64" t="str">
        <f>Retorno!B44</f>
        <v/>
      </c>
      <c r="C41" s="99" t="str">
        <f>IF(B41="","",Retorno!G44)</f>
        <v/>
      </c>
      <c r="D41" s="64" t="str">
        <f>IF(B41="","",Retorno!K44)</f>
        <v/>
      </c>
      <c r="E41" s="64" t="str">
        <f>Carteira!M40</f>
        <v/>
      </c>
      <c r="F41" s="64" t="str">
        <f>IF(OR(B41="",Carteira!Q40=""),"",C41/Carteira!Q40)</f>
        <v/>
      </c>
      <c r="G41" s="64" t="str">
        <f>Carteira!L40</f>
        <v/>
      </c>
      <c r="H41" s="64" t="str">
        <f t="shared" si="0"/>
        <v/>
      </c>
    </row>
    <row r="42" spans="2:8" x14ac:dyDescent="0.3">
      <c r="B42" s="64" t="str">
        <f>Retorno!B45</f>
        <v/>
      </c>
      <c r="C42" s="99" t="str">
        <f>IF(B42="","",Retorno!G45)</f>
        <v/>
      </c>
      <c r="D42" s="64" t="str">
        <f>IF(B42="","",Retorno!K45)</f>
        <v/>
      </c>
      <c r="E42" s="64" t="str">
        <f>Carteira!M41</f>
        <v/>
      </c>
      <c r="F42" s="64" t="str">
        <f>IF(OR(B42="",Carteira!Q41=""),"",C42/Carteira!Q41)</f>
        <v/>
      </c>
      <c r="G42" s="64" t="str">
        <f>Carteira!L41</f>
        <v/>
      </c>
      <c r="H42" s="64" t="str">
        <f t="shared" si="0"/>
        <v/>
      </c>
    </row>
    <row r="43" spans="2:8" x14ac:dyDescent="0.3">
      <c r="B43" s="64" t="str">
        <f>Retorno!B46</f>
        <v/>
      </c>
      <c r="C43" s="99" t="str">
        <f>IF(B43="","",Retorno!G46)</f>
        <v/>
      </c>
      <c r="D43" s="64" t="str">
        <f>IF(B43="","",Retorno!K46)</f>
        <v/>
      </c>
      <c r="E43" s="64" t="str">
        <f>Carteira!M42</f>
        <v/>
      </c>
      <c r="F43" s="64" t="str">
        <f>IF(OR(B43="",Carteira!Q42=""),"",C43/Carteira!Q42)</f>
        <v/>
      </c>
      <c r="G43" s="64" t="str">
        <f>Carteira!L42</f>
        <v/>
      </c>
      <c r="H43" s="64" t="str">
        <f t="shared" si="0"/>
        <v/>
      </c>
    </row>
  </sheetData>
  <sheetProtection formatCells="0" formatColumns="0" formatRows="0" insertColumns="0" insertRows="0" insertHyperlinks="0" deleteColumns="0" deleteRows="0" selectLockedCells="1" sort="0" autoFilter="0" pivotTables="0"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W46"/>
  <sheetViews>
    <sheetView showGridLines="0" topLeftCell="A13" zoomScaleSheetLayoutView="100" workbookViewId="0">
      <selection activeCell="I7" sqref="I7:I46"/>
    </sheetView>
  </sheetViews>
  <sheetFormatPr defaultRowHeight="15" x14ac:dyDescent="0.3"/>
  <cols>
    <col min="2" max="2" width="14" bestFit="1" customWidth="1"/>
    <col min="3" max="3" width="14.140625" bestFit="1" customWidth="1"/>
    <col min="4" max="5" width="13.140625" bestFit="1" customWidth="1"/>
    <col min="6" max="6" width="13.140625" style="25" customWidth="1"/>
    <col min="7" max="7" width="14.140625" bestFit="1" customWidth="1"/>
    <col min="8" max="8" width="12" bestFit="1" customWidth="1"/>
    <col min="9" max="9" width="9.28515625" bestFit="1" customWidth="1"/>
    <col min="11" max="11" width="14.7109375" bestFit="1" customWidth="1"/>
    <col min="13" max="13" width="14.28515625" customWidth="1"/>
    <col min="14" max="14" width="12.28515625" bestFit="1" customWidth="1"/>
    <col min="15" max="15" width="9.140625" customWidth="1"/>
  </cols>
  <sheetData>
    <row r="1" spans="1:23" x14ac:dyDescent="0.3">
      <c r="O1" s="1" t="s">
        <v>605</v>
      </c>
    </row>
    <row r="2" spans="1:23" s="25" customFormat="1" x14ac:dyDescent="0.3">
      <c r="B2" s="25" t="s">
        <v>539</v>
      </c>
      <c r="C2" s="377" t="s">
        <v>546</v>
      </c>
      <c r="D2" s="378"/>
      <c r="E2" s="378"/>
      <c r="F2" s="378"/>
      <c r="G2" s="378"/>
      <c r="H2" s="378"/>
      <c r="I2" s="379"/>
      <c r="O2" s="33">
        <f>HLOOKUP(M3,R2:W14,1+Dados_Clientes!C10,FALSE)</f>
        <v>4.4000000000000003E-3</v>
      </c>
      <c r="Q2" s="52" t="s">
        <v>534</v>
      </c>
      <c r="R2" s="52" t="s">
        <v>467</v>
      </c>
      <c r="S2" s="52" t="s">
        <v>537</v>
      </c>
      <c r="T2" s="52" t="s">
        <v>9</v>
      </c>
      <c r="U2" s="52" t="s">
        <v>8</v>
      </c>
      <c r="V2" s="52" t="s">
        <v>7</v>
      </c>
      <c r="W2" s="52" t="s">
        <v>10</v>
      </c>
    </row>
    <row r="3" spans="1:23" x14ac:dyDescent="0.3">
      <c r="B3" s="56" t="s">
        <v>631</v>
      </c>
      <c r="C3" s="29" t="s">
        <v>2</v>
      </c>
      <c r="D3" s="57" t="s">
        <v>3</v>
      </c>
      <c r="E3" s="57" t="s">
        <v>4</v>
      </c>
      <c r="F3" s="162" t="s">
        <v>806</v>
      </c>
      <c r="G3" s="57" t="s">
        <v>5</v>
      </c>
      <c r="H3" s="57" t="s">
        <v>544</v>
      </c>
      <c r="I3" s="57" t="s">
        <v>545</v>
      </c>
      <c r="J3" s="78" t="s">
        <v>569</v>
      </c>
      <c r="K3" s="78" t="s">
        <v>634</v>
      </c>
      <c r="M3" s="1" t="str">
        <f>Entrada!D4</f>
        <v>INPC</v>
      </c>
      <c r="N3" s="60">
        <f>Entrada!B4</f>
        <v>0.06</v>
      </c>
      <c r="O3" s="33">
        <f>(1+N3)^(1/12)*(1+O2)-1</f>
        <v>9.2889677878305044E-3</v>
      </c>
      <c r="Q3" s="24">
        <v>42370</v>
      </c>
      <c r="R3" s="23">
        <f>VLOOKUP(Retorno!$Q3,'Dados dos fundos'!A194:G219,2,FALSE)</f>
        <v>1.0500000000000001E-2</v>
      </c>
      <c r="S3" s="23">
        <f>VLOOKUP(Retorno!$Q3,'Dados dos fundos'!A194:G219,3,FALSE)</f>
        <v>-6.7900000000000002E-2</v>
      </c>
      <c r="T3" s="23">
        <f>VLOOKUP(Retorno!$Q3,'Dados dos fundos'!A194:G219,4,FALSE)</f>
        <v>1.14E-2</v>
      </c>
      <c r="U3" s="23">
        <f>VLOOKUP(Retorno!$Q3,'Dados dos fundos'!A194:G219,5,FALSE)</f>
        <v>1.5100000000000001E-2</v>
      </c>
      <c r="V3" s="23">
        <f>VLOOKUP(Retorno!$Q3,'Dados dos fundos'!A194:G219,6,FALSE)</f>
        <v>1.2699999999999999E-2</v>
      </c>
      <c r="W3" s="23">
        <f>VLOOKUP(Retorno!$Q3,'Dados dos fundos'!A194:G219,7,FALSE)</f>
        <v>1.7999999999999999E-2</v>
      </c>
    </row>
    <row r="4" spans="1:23" x14ac:dyDescent="0.3">
      <c r="B4" s="56"/>
      <c r="C4" s="30">
        <f>SUM(C7:C46)</f>
        <v>7955238.4399999995</v>
      </c>
      <c r="D4" s="30">
        <f>SUM(D7:D46)</f>
        <v>5519280.0800000001</v>
      </c>
      <c r="E4" s="30">
        <f>SUM(E7:E46)</f>
        <v>5519280.0800000001</v>
      </c>
      <c r="F4" s="30">
        <f>SUM(F7:F46)</f>
        <v>0</v>
      </c>
      <c r="G4" s="30">
        <f>SUM(G7:G46)</f>
        <v>8167736.2599999998</v>
      </c>
      <c r="H4" s="30">
        <f>G4+E4-D4-C4+F4</f>
        <v>212497.8200000003</v>
      </c>
      <c r="I4" s="23">
        <f>IF(D4-E4&gt;=0,H4/(C4+D4-E4),H4/C4)</f>
        <v>2.671168458402616E-2</v>
      </c>
      <c r="J4" s="23">
        <f>O3</f>
        <v>9.2889677878305044E-3</v>
      </c>
      <c r="K4" s="23">
        <f>I4/J4</f>
        <v>2.8756353982647234</v>
      </c>
      <c r="Q4" s="24">
        <v>42401</v>
      </c>
      <c r="R4" s="23">
        <f>IF(Dados_Clientes!$C$10&lt;=Dados_Clientes!$A10,"",VLOOKUP(Retorno!$Q4,'Dados dos fundos'!$A$194:$G$219,2,FALSE))</f>
        <v>0.01</v>
      </c>
      <c r="S4" s="23">
        <f>IF(Dados_Clientes!$C$10&lt;=Dados_Clientes!$A10,"",VLOOKUP(Retorno!$Q4,'Dados dos fundos'!$A$194:$G$219,3,FALSE))</f>
        <v>5.91E-2</v>
      </c>
      <c r="T4" s="23">
        <f>IF(Dados_Clientes!$C$10&lt;=Dados_Clientes!$A10,"",VLOOKUP(Retorno!$Q4,'Dados dos fundos'!$A$194:$G$219,4,FALSE))</f>
        <v>1.29E-2</v>
      </c>
      <c r="U4" s="23">
        <f>IF(Dados_Clientes!$C$10&lt;=Dados_Clientes!$A10,"",VLOOKUP(Retorno!$Q4,'Dados dos fundos'!$A$194:$G$219,5,FALSE))</f>
        <v>9.4999999999999998E-3</v>
      </c>
      <c r="V4" s="23">
        <f>IF(Dados_Clientes!$C$10&lt;=Dados_Clientes!$A10,"",VLOOKUP(Retorno!$Q4,'Dados dos fundos'!$A$194:$G$219,6,FALSE))</f>
        <v>8.9999999999999993E-3</v>
      </c>
      <c r="W4" s="23">
        <f>IF(Dados_Clientes!$C$10&lt;=Dados_Clientes!$A10,"",VLOOKUP(Retorno!$Q4,'Dados dos fundos'!$A$194:$G$219,7,FALSE))</f>
        <v>7.1000000000000004E-3</v>
      </c>
    </row>
    <row r="5" spans="1:23" x14ac:dyDescent="0.3">
      <c r="C5" s="31"/>
      <c r="D5" s="31"/>
      <c r="E5" s="31"/>
      <c r="F5" s="31"/>
      <c r="G5" s="31"/>
      <c r="M5" s="53" t="s">
        <v>571</v>
      </c>
      <c r="N5" s="29" t="s">
        <v>604</v>
      </c>
      <c r="O5" s="53" t="str">
        <f>M3</f>
        <v>INPC</v>
      </c>
      <c r="Q5" s="24">
        <v>42430</v>
      </c>
      <c r="R5" s="23">
        <f>IF(Dados_Clientes!$C$10&lt;=Dados_Clientes!$A11,"",VLOOKUP(Retorno!$Q5,'Dados dos fundos'!$A$194:$G$219,2,FALSE))</f>
        <v>1.1599999999999999E-2</v>
      </c>
      <c r="S5" s="23">
        <f>IF(Dados_Clientes!$C$10&lt;=Dados_Clientes!$A11,"",VLOOKUP(Retorno!$Q5,'Dados dos fundos'!$A$194:$G$219,3,FALSE))</f>
        <v>0.16969999999999999</v>
      </c>
      <c r="T5" s="23">
        <f>IF(Dados_Clientes!$C$10&lt;=Dados_Clientes!$A11,"",VLOOKUP(Retorno!$Q5,'Dados dos fundos'!$A$194:$G$219,4,FALSE))</f>
        <v>5.1000000000000004E-3</v>
      </c>
      <c r="U5" s="23">
        <f>IF(Dados_Clientes!$C$10&lt;=Dados_Clientes!$A11,"",VLOOKUP(Retorno!$Q5,'Dados dos fundos'!$A$194:$G$219,5,FALSE))</f>
        <v>4.4000000000000003E-3</v>
      </c>
      <c r="V5" s="23">
        <f>IF(Dados_Clientes!$C$10&lt;=Dados_Clientes!$A11,"",VLOOKUP(Retorno!$Q5,'Dados dos fundos'!$A$194:$G$219,6,FALSE))</f>
        <v>4.3E-3</v>
      </c>
      <c r="W5" s="23">
        <f>IF(Dados_Clientes!$C$10&lt;=Dados_Clientes!$A11,"",VLOOKUP(Retorno!$Q5,'Dados dos fundos'!$A$194:$G$219,7,FALSE))</f>
        <v>4.4000000000000003E-3</v>
      </c>
    </row>
    <row r="6" spans="1:23" x14ac:dyDescent="0.3">
      <c r="B6" s="29" t="s">
        <v>73</v>
      </c>
      <c r="C6" s="29" t="s">
        <v>2</v>
      </c>
      <c r="D6" s="29" t="s">
        <v>3</v>
      </c>
      <c r="E6" s="29" t="s">
        <v>4</v>
      </c>
      <c r="F6" s="29" t="s">
        <v>806</v>
      </c>
      <c r="G6" s="29" t="s">
        <v>5</v>
      </c>
      <c r="H6" s="29" t="s">
        <v>544</v>
      </c>
      <c r="I6" s="29" t="s">
        <v>545</v>
      </c>
      <c r="K6" s="29" t="s">
        <v>541</v>
      </c>
      <c r="M6" s="24">
        <v>42370</v>
      </c>
      <c r="N6" s="23">
        <f>(1+$N$3)^(1/12)*(1+O6)-1</f>
        <v>2.0041050578879727E-2</v>
      </c>
      <c r="O6" s="23">
        <f>HLOOKUP($O$5,$R$2:$W$14,2,FALSE)</f>
        <v>1.5100000000000001E-2</v>
      </c>
      <c r="Q6" s="24">
        <v>42461</v>
      </c>
      <c r="R6" s="23" t="str">
        <f>IF(Dados_Clientes!$C$10&lt;=Dados_Clientes!$A12,"",VLOOKUP(Retorno!$Q6,'Dados dos fundos'!$A$194:$G$219,2,FALSE))</f>
        <v/>
      </c>
      <c r="S6" s="23" t="str">
        <f>IF(Dados_Clientes!$C$10&lt;=Dados_Clientes!$A12,"",VLOOKUP(Retorno!$Q6,'Dados dos fundos'!$A$194:$G$219,3,FALSE))</f>
        <v/>
      </c>
      <c r="T6" s="23" t="str">
        <f>IF(Dados_Clientes!$C$10&lt;=Dados_Clientes!$A12,"",VLOOKUP(Retorno!$Q6,'Dados dos fundos'!$A$194:$G$219,4,FALSE))</f>
        <v/>
      </c>
      <c r="U6" s="23" t="str">
        <f>IF(Dados_Clientes!$C$10&lt;=Dados_Clientes!$A12,"",VLOOKUP(Retorno!$Q6,'Dados dos fundos'!$A$194:$G$219,5,FALSE))</f>
        <v/>
      </c>
      <c r="V6" s="23" t="str">
        <f>IF(Dados_Clientes!$C$10&lt;=Dados_Clientes!$A12,"",VLOOKUP(Retorno!$Q6,'Dados dos fundos'!$A$194:$G$219,6,FALSE))</f>
        <v/>
      </c>
      <c r="W6" s="23" t="str">
        <f>IF(Dados_Clientes!$C$10&lt;=Dados_Clientes!$A12,"",VLOOKUP(Retorno!$Q6,'Dados dos fundos'!$A$194:$G$219,7,FALSE))</f>
        <v/>
      </c>
    </row>
    <row r="7" spans="1:23" x14ac:dyDescent="0.3">
      <c r="A7" t="str">
        <f>Carteira!O3</f>
        <v>Renda Fixa</v>
      </c>
      <c r="B7" s="29" t="str">
        <f>Carteira!C3</f>
        <v>BB IRF-M</v>
      </c>
      <c r="C7" s="30">
        <f>Entrada!F10</f>
        <v>3282733.81</v>
      </c>
      <c r="D7" s="30">
        <f>Entrada!G10</f>
        <v>0</v>
      </c>
      <c r="E7" s="30">
        <f>Entrada!H10</f>
        <v>3378168.77</v>
      </c>
      <c r="F7" s="30">
        <f>Entrada!I10</f>
        <v>0</v>
      </c>
      <c r="G7" s="30">
        <f>Entrada!J10</f>
        <v>0</v>
      </c>
      <c r="H7" s="30">
        <f>G7+E7-D7-C7+F7</f>
        <v>95434.959999999963</v>
      </c>
      <c r="I7" s="23">
        <f>IF(D7-E7&gt;=0,H7/(C7+D7-E7),H7/C7)</f>
        <v>2.907179367065402E-2</v>
      </c>
      <c r="J7" s="61"/>
      <c r="K7" s="23">
        <f>G7/$G$4</f>
        <v>0</v>
      </c>
      <c r="M7" s="24">
        <v>42401</v>
      </c>
      <c r="N7" s="23">
        <f>IF(O7="","",(1+$N$3)^(1/12)*(1+O7)-1)</f>
        <v>1.4413792295713934E-2</v>
      </c>
      <c r="O7" s="23">
        <f>HLOOKUP($O$5,$R$2:$W$14,3,FALSE)</f>
        <v>9.4999999999999998E-3</v>
      </c>
      <c r="Q7" s="24">
        <v>42491</v>
      </c>
      <c r="R7" s="23" t="str">
        <f>IF(Dados_Clientes!$C$10&lt;=Dados_Clientes!$A13,"",VLOOKUP(Retorno!$Q7,'Dados dos fundos'!$A$194:$G$219,2,FALSE))</f>
        <v/>
      </c>
      <c r="S7" s="23" t="str">
        <f>IF(Dados_Clientes!$C$10&lt;=Dados_Clientes!$A13,"",VLOOKUP(Retorno!$Q7,'Dados dos fundos'!$A$194:$G$219,3,FALSE))</f>
        <v/>
      </c>
      <c r="T7" s="23" t="str">
        <f>IF(Dados_Clientes!$C$10&lt;=Dados_Clientes!$A13,"",VLOOKUP(Retorno!$Q7,'Dados dos fundos'!$A$194:$G$219,4,FALSE))</f>
        <v/>
      </c>
      <c r="U7" s="23" t="str">
        <f>IF(Dados_Clientes!$C$10&lt;=Dados_Clientes!$A13,"",VLOOKUP(Retorno!$Q7,'Dados dos fundos'!$A$194:$G$219,5,FALSE))</f>
        <v/>
      </c>
      <c r="V7" s="23" t="str">
        <f>IF(Dados_Clientes!$C$10&lt;=Dados_Clientes!$A13,"",VLOOKUP(Retorno!$Q7,'Dados dos fundos'!$A$194:$G$219,6,FALSE))</f>
        <v/>
      </c>
      <c r="W7" s="23" t="str">
        <f>IF(Dados_Clientes!$C$10&lt;=Dados_Clientes!$A13,"",VLOOKUP(Retorno!$Q7,'Dados dos fundos'!$A$194:$G$219,7,FALSE))</f>
        <v/>
      </c>
    </row>
    <row r="8" spans="1:23" x14ac:dyDescent="0.3">
      <c r="A8" s="25" t="str">
        <f>Carteira!O4</f>
        <v>Renda Fixa</v>
      </c>
      <c r="B8" s="29" t="str">
        <f>Carteira!C4</f>
        <v>BB Perfil</v>
      </c>
      <c r="C8" s="30">
        <f>Entrada!F11</f>
        <v>363984.75</v>
      </c>
      <c r="D8" s="30">
        <f>Entrada!G11</f>
        <v>0</v>
      </c>
      <c r="E8" s="30">
        <f>Entrada!H11</f>
        <v>0</v>
      </c>
      <c r="F8" s="30">
        <f>Entrada!I11</f>
        <v>0</v>
      </c>
      <c r="G8" s="30">
        <f>Entrada!J11</f>
        <v>368033.64</v>
      </c>
      <c r="H8" s="30">
        <f>G8+E8-D8-C8+F8</f>
        <v>4048.890000000014</v>
      </c>
      <c r="I8" s="23">
        <f t="shared" ref="I8:I46" si="0">IF(D8-E8&gt;=0,H8/(C8+D8-E8),H8/C8)</f>
        <v>1.1123790213738388E-2</v>
      </c>
      <c r="K8" s="23">
        <f>G8/$G$4</f>
        <v>4.5059442210735635E-2</v>
      </c>
      <c r="M8" s="24">
        <v>42430</v>
      </c>
      <c r="N8" s="23">
        <f t="shared" ref="N8:N17" si="1">IF(O8="","",(1+$N$3)^(1/12)*(1+O8)-1)</f>
        <v>9.2889677878305044E-3</v>
      </c>
      <c r="O8" s="23">
        <f>HLOOKUP($O$5,$R$2:$W$14,4,FALSE)</f>
        <v>4.4000000000000003E-3</v>
      </c>
      <c r="Q8" s="24">
        <v>42522</v>
      </c>
      <c r="R8" s="23" t="str">
        <f>IF(Dados_Clientes!$C$10&lt;=Dados_Clientes!$A14,"",VLOOKUP(Retorno!$Q8,'Dados dos fundos'!$A$194:$G$219,2,FALSE))</f>
        <v/>
      </c>
      <c r="S8" s="23" t="str">
        <f>IF(Dados_Clientes!$C$10&lt;=Dados_Clientes!$A14,"",VLOOKUP(Retorno!$Q8,'Dados dos fundos'!$A$194:$G$219,3,FALSE))</f>
        <v/>
      </c>
      <c r="T8" s="23" t="str">
        <f>IF(Dados_Clientes!$C$10&lt;=Dados_Clientes!$A14,"",VLOOKUP(Retorno!$Q8,'Dados dos fundos'!$A$194:$G$219,4,FALSE))</f>
        <v/>
      </c>
      <c r="U8" s="23" t="str">
        <f>IF(Dados_Clientes!$C$10&lt;=Dados_Clientes!$A14,"",VLOOKUP(Retorno!$Q8,'Dados dos fundos'!$A$194:$G$219,5,FALSE))</f>
        <v/>
      </c>
      <c r="V8" s="23" t="str">
        <f>IF(Dados_Clientes!$C$10&lt;=Dados_Clientes!$A14,"",VLOOKUP(Retorno!$Q8,'Dados dos fundos'!$A$194:$G$219,6,FALSE))</f>
        <v/>
      </c>
      <c r="W8" s="23" t="str">
        <f>IF(Dados_Clientes!$C$10&lt;=Dados_Clientes!$A14,"",VLOOKUP(Retorno!$Q8,'Dados dos fundos'!$A$194:$G$219,7,FALSE))</f>
        <v/>
      </c>
    </row>
    <row r="9" spans="1:23" x14ac:dyDescent="0.3">
      <c r="A9" s="25" t="str">
        <f>Carteira!O5</f>
        <v>Renda Fixa</v>
      </c>
      <c r="B9" s="29" t="str">
        <f>Carteira!C5</f>
        <v>BB IX TP</v>
      </c>
      <c r="C9" s="30">
        <f>Entrada!F12</f>
        <v>531483.21</v>
      </c>
      <c r="D9" s="30">
        <f>Entrada!G12</f>
        <v>0</v>
      </c>
      <c r="E9" s="30">
        <f>Entrada!H12</f>
        <v>0</v>
      </c>
      <c r="F9" s="30">
        <f>Entrada!I12</f>
        <v>0</v>
      </c>
      <c r="G9" s="30">
        <f>Entrada!J12</f>
        <v>535928.17000000004</v>
      </c>
      <c r="H9" s="30">
        <f t="shared" ref="H9:H46" si="2">G9+E9-D9-C9+F9</f>
        <v>4444.9600000000792</v>
      </c>
      <c r="I9" s="23">
        <f t="shared" si="0"/>
        <v>8.3633121731165865E-3</v>
      </c>
      <c r="K9" s="23">
        <f t="shared" ref="K9:K46" si="3">G9/$G$4</f>
        <v>6.561526387973747E-2</v>
      </c>
      <c r="M9" s="24">
        <v>42461</v>
      </c>
      <c r="N9" s="23" t="str">
        <f t="shared" si="1"/>
        <v/>
      </c>
      <c r="O9" s="23" t="str">
        <f>HLOOKUP($O$5,$R$2:$W$14,5,FALSE)</f>
        <v/>
      </c>
      <c r="Q9" s="24">
        <v>42552</v>
      </c>
      <c r="R9" s="23" t="str">
        <f>IF(Dados_Clientes!$C$10&lt;=Dados_Clientes!$A15,"",VLOOKUP(Retorno!$Q9,'Dados dos fundos'!$A$194:$G$219,2,FALSE))</f>
        <v/>
      </c>
      <c r="S9" s="23" t="str">
        <f>IF(Dados_Clientes!$C$10&lt;=Dados_Clientes!$A15,"",VLOOKUP(Retorno!$Q9,'Dados dos fundos'!$A$194:$G$219,3,FALSE))</f>
        <v/>
      </c>
      <c r="T9" s="23" t="str">
        <f>IF(Dados_Clientes!$C$10&lt;=Dados_Clientes!$A15,"",VLOOKUP(Retorno!$Q9,'Dados dos fundos'!$A$194:$G$219,4,FALSE))</f>
        <v/>
      </c>
      <c r="U9" s="23" t="str">
        <f>IF(Dados_Clientes!$C$10&lt;=Dados_Clientes!$A15,"",VLOOKUP(Retorno!$Q9,'Dados dos fundos'!$A$194:$G$219,5,FALSE))</f>
        <v/>
      </c>
      <c r="V9" s="23" t="str">
        <f>IF(Dados_Clientes!$C$10&lt;=Dados_Clientes!$A15,"",VLOOKUP(Retorno!$Q9,'Dados dos fundos'!$A$194:$G$219,6,FALSE))</f>
        <v/>
      </c>
      <c r="W9" s="23" t="str">
        <f>IF(Dados_Clientes!$C$10&lt;=Dados_Clientes!$A15,"",VLOOKUP(Retorno!$Q9,'Dados dos fundos'!$A$194:$G$219,7,FALSE))</f>
        <v/>
      </c>
    </row>
    <row r="10" spans="1:23" x14ac:dyDescent="0.3">
      <c r="A10" s="25" t="str">
        <f>Carteira!O6</f>
        <v>Renda Fixa</v>
      </c>
      <c r="B10" s="29" t="str">
        <f>Carteira!C6</f>
        <v>BB IRF-M1</v>
      </c>
      <c r="C10" s="30">
        <f>Entrada!F13</f>
        <v>0</v>
      </c>
      <c r="D10" s="30">
        <f>Entrada!G13</f>
        <v>3378168.77</v>
      </c>
      <c r="E10" s="30">
        <f>Entrada!H13</f>
        <v>0</v>
      </c>
      <c r="F10" s="30">
        <f>Entrada!I13</f>
        <v>0</v>
      </c>
      <c r="G10" s="30">
        <f>Entrada!J13</f>
        <v>3391984.3</v>
      </c>
      <c r="H10" s="30">
        <f t="shared" si="2"/>
        <v>13815.529999999795</v>
      </c>
      <c r="I10" s="23">
        <f t="shared" si="0"/>
        <v>4.0896506186100922E-3</v>
      </c>
      <c r="K10" s="23">
        <f t="shared" si="3"/>
        <v>0.41529062545905465</v>
      </c>
      <c r="M10" s="24">
        <v>42491</v>
      </c>
      <c r="N10" s="23" t="str">
        <f t="shared" si="1"/>
        <v/>
      </c>
      <c r="O10" s="23" t="str">
        <f>HLOOKUP($O$5,$R$2:$W$14,6,FALSE)</f>
        <v/>
      </c>
      <c r="Q10" s="24">
        <v>42583</v>
      </c>
      <c r="R10" s="23" t="str">
        <f>IF(Dados_Clientes!$C$10&lt;=Dados_Clientes!$A16,"",VLOOKUP(Retorno!$Q10,'Dados dos fundos'!$A$194:$G$219,2,FALSE))</f>
        <v/>
      </c>
      <c r="S10" s="23" t="str">
        <f>IF(Dados_Clientes!$C$10&lt;=Dados_Clientes!$A16,"",VLOOKUP(Retorno!$Q10,'Dados dos fundos'!$A$194:$G$219,3,FALSE))</f>
        <v/>
      </c>
      <c r="T10" s="23" t="str">
        <f>IF(Dados_Clientes!$C$10&lt;=Dados_Clientes!$A16,"",VLOOKUP(Retorno!$Q10,'Dados dos fundos'!$A$194:$G$219,4,FALSE))</f>
        <v/>
      </c>
      <c r="U10" s="23" t="str">
        <f>IF(Dados_Clientes!$C$10&lt;=Dados_Clientes!$A16,"",VLOOKUP(Retorno!$Q10,'Dados dos fundos'!$A$194:$G$219,5,FALSE))</f>
        <v/>
      </c>
      <c r="V10" s="23" t="str">
        <f>IF(Dados_Clientes!$C$10&lt;=Dados_Clientes!$A16,"",VLOOKUP(Retorno!$Q10,'Dados dos fundos'!$A$194:$G$219,6,FALSE))</f>
        <v/>
      </c>
      <c r="W10" s="23" t="str">
        <f>IF(Dados_Clientes!$C$10&lt;=Dados_Clientes!$A16,"",VLOOKUP(Retorno!$Q10,'Dados dos fundos'!$A$194:$G$219,7,FALSE))</f>
        <v/>
      </c>
    </row>
    <row r="11" spans="1:23" x14ac:dyDescent="0.3">
      <c r="A11" s="25" t="str">
        <f>Carteira!O7</f>
        <v>Renda Fixa</v>
      </c>
      <c r="B11" s="29" t="str">
        <f>Carteira!C7</f>
        <v>Caixa 2016 I TP RF</v>
      </c>
      <c r="C11" s="30">
        <f>Entrada!F14</f>
        <v>1076412</v>
      </c>
      <c r="D11" s="30">
        <f>Entrada!G14</f>
        <v>0</v>
      </c>
      <c r="E11" s="30">
        <f>Entrada!H14</f>
        <v>0</v>
      </c>
      <c r="F11" s="30">
        <f>Entrada!I14</f>
        <v>0</v>
      </c>
      <c r="G11" s="30">
        <f>Entrada!J14</f>
        <v>1086173</v>
      </c>
      <c r="H11" s="30">
        <f t="shared" si="2"/>
        <v>9761</v>
      </c>
      <c r="I11" s="23">
        <f t="shared" si="0"/>
        <v>9.068089170317685E-3</v>
      </c>
      <c r="K11" s="23">
        <f t="shared" si="3"/>
        <v>0.13298335859831009</v>
      </c>
      <c r="M11" s="24">
        <v>42522</v>
      </c>
      <c r="N11" s="23" t="str">
        <f t="shared" si="1"/>
        <v/>
      </c>
      <c r="O11" s="23" t="str">
        <f>HLOOKUP($O$5,$R$2:$W$14,7,FALSE)</f>
        <v/>
      </c>
      <c r="Q11" s="24">
        <v>42614</v>
      </c>
      <c r="R11" s="23" t="str">
        <f>IF(Dados_Clientes!$C$10&lt;=Dados_Clientes!$A17,"",VLOOKUP(Retorno!$Q11,'Dados dos fundos'!$A$194:$G$219,2,FALSE))</f>
        <v/>
      </c>
      <c r="S11" s="23" t="str">
        <f>IF(Dados_Clientes!$C$10&lt;=Dados_Clientes!$A17,"",VLOOKUP(Retorno!$Q11,'Dados dos fundos'!$A$194:$G$219,3,FALSE))</f>
        <v/>
      </c>
      <c r="T11" s="23" t="str">
        <f>IF(Dados_Clientes!$C$10&lt;=Dados_Clientes!$A17,"",VLOOKUP(Retorno!$Q11,'Dados dos fundos'!$A$194:$G$219,4,FALSE))</f>
        <v/>
      </c>
      <c r="U11" s="23" t="str">
        <f>IF(Dados_Clientes!$C$10&lt;=Dados_Clientes!$A17,"",VLOOKUP(Retorno!$Q11,'Dados dos fundos'!$A$194:$G$219,5,FALSE))</f>
        <v/>
      </c>
      <c r="V11" s="23" t="str">
        <f>IF(Dados_Clientes!$C$10&lt;=Dados_Clientes!$A17,"",VLOOKUP(Retorno!$Q11,'Dados dos fundos'!$A$194:$G$219,6,FALSE))</f>
        <v/>
      </c>
      <c r="W11" s="23" t="str">
        <f>IF(Dados_Clientes!$C$10&lt;=Dados_Clientes!$A17,"",VLOOKUP(Retorno!$Q11,'Dados dos fundos'!$A$194:$G$219,7,FALSE))</f>
        <v/>
      </c>
    </row>
    <row r="12" spans="1:23" x14ac:dyDescent="0.3">
      <c r="A12" s="25" t="str">
        <f>Carteira!O8</f>
        <v>Renda Fixa</v>
      </c>
      <c r="B12" s="29" t="str">
        <f>Carteira!C8</f>
        <v>Caixa Ref. DI LP</v>
      </c>
      <c r="C12" s="30">
        <f>Entrada!F15</f>
        <v>628197.5</v>
      </c>
      <c r="D12" s="30">
        <f>Entrada!G15</f>
        <v>0</v>
      </c>
      <c r="E12" s="30">
        <f>Entrada!H15</f>
        <v>0</v>
      </c>
      <c r="F12" s="30">
        <f>Entrada!I15</f>
        <v>0</v>
      </c>
      <c r="G12" s="30">
        <f>Entrada!J15</f>
        <v>635599.06999999995</v>
      </c>
      <c r="H12" s="30">
        <f t="shared" si="2"/>
        <v>7401.5699999999488</v>
      </c>
      <c r="I12" s="23">
        <f t="shared" si="0"/>
        <v>1.1782234090393464E-2</v>
      </c>
      <c r="K12" s="23">
        <f t="shared" si="3"/>
        <v>7.781826564512502E-2</v>
      </c>
      <c r="M12" s="24">
        <v>42552</v>
      </c>
      <c r="N12" s="23" t="str">
        <f t="shared" si="1"/>
        <v/>
      </c>
      <c r="O12" s="23" t="str">
        <f>HLOOKUP($O$5,$R$2:$W$14,8,FALSE)</f>
        <v/>
      </c>
      <c r="Q12" s="24">
        <v>42644</v>
      </c>
      <c r="R12" s="23" t="str">
        <f>IF(Dados_Clientes!$C$10&lt;=Dados_Clientes!$A18,"",VLOOKUP(Retorno!$Q12,'Dados dos fundos'!$A$194:$G$219,2,FALSE))</f>
        <v/>
      </c>
      <c r="S12" s="23" t="str">
        <f>IF(Dados_Clientes!$C$10&lt;=Dados_Clientes!$A18,"",VLOOKUP(Retorno!$Q12,'Dados dos fundos'!$A$194:$G$219,3,FALSE))</f>
        <v/>
      </c>
      <c r="T12" s="23" t="str">
        <f>IF(Dados_Clientes!$C$10&lt;=Dados_Clientes!$A18,"",VLOOKUP(Retorno!$Q12,'Dados dos fundos'!$A$194:$G$219,4,FALSE))</f>
        <v/>
      </c>
      <c r="U12" s="23" t="str">
        <f>IF(Dados_Clientes!$C$10&lt;=Dados_Clientes!$A18,"",VLOOKUP(Retorno!$Q12,'Dados dos fundos'!$A$194:$G$219,5,FALSE))</f>
        <v/>
      </c>
      <c r="V12" s="23" t="str">
        <f>IF(Dados_Clientes!$C$10&lt;=Dados_Clientes!$A18,"",VLOOKUP(Retorno!$Q12,'Dados dos fundos'!$A$194:$G$219,6,FALSE))</f>
        <v/>
      </c>
      <c r="W12" s="23" t="str">
        <f>IF(Dados_Clientes!$C$10&lt;=Dados_Clientes!$A18,"",VLOOKUP(Retorno!$Q12,'Dados dos fundos'!$A$194:$G$219,7,FALSE))</f>
        <v/>
      </c>
    </row>
    <row r="13" spans="1:23" x14ac:dyDescent="0.3">
      <c r="A13" s="25" t="str">
        <f>Carteira!O9</f>
        <v>Renda Fixa</v>
      </c>
      <c r="B13" s="29" t="str">
        <f>Carteira!C9</f>
        <v>Caixa IRF-M1</v>
      </c>
      <c r="C13" s="30">
        <f>Entrada!F16</f>
        <v>0</v>
      </c>
      <c r="D13" s="30">
        <f>Entrada!G16</f>
        <v>2141111.31</v>
      </c>
      <c r="E13" s="30">
        <f>Entrada!H16</f>
        <v>0</v>
      </c>
      <c r="F13" s="30">
        <f>Entrada!I16</f>
        <v>0</v>
      </c>
      <c r="G13" s="30">
        <f>Entrada!J16</f>
        <v>2150018.08</v>
      </c>
      <c r="H13" s="30">
        <f t="shared" si="2"/>
        <v>8906.7700000000186</v>
      </c>
      <c r="I13" s="23">
        <f t="shared" si="0"/>
        <v>4.1598818138978578E-3</v>
      </c>
      <c r="K13" s="23">
        <f t="shared" si="3"/>
        <v>0.26323304420703714</v>
      </c>
      <c r="M13" s="24">
        <v>42583</v>
      </c>
      <c r="N13" s="23" t="str">
        <f t="shared" si="1"/>
        <v/>
      </c>
      <c r="O13" s="23" t="str">
        <f>HLOOKUP($O$5,$R$2:$W$14,9,FALSE)</f>
        <v/>
      </c>
      <c r="Q13" s="24">
        <v>42675</v>
      </c>
      <c r="R13" s="23" t="str">
        <f>IF(Dados_Clientes!$C$10&lt;=Dados_Clientes!$A19,"",VLOOKUP(Retorno!$Q13,'Dados dos fundos'!$A$194:$G$219,2,FALSE))</f>
        <v/>
      </c>
      <c r="S13" s="23" t="str">
        <f>IF(Dados_Clientes!$C$10&lt;=Dados_Clientes!$A19,"",VLOOKUP(Retorno!$Q13,'Dados dos fundos'!$A$194:$G$219,3,FALSE))</f>
        <v/>
      </c>
      <c r="T13" s="23" t="str">
        <f>IF(Dados_Clientes!$C$10&lt;=Dados_Clientes!$A19,"",VLOOKUP(Retorno!$Q13,'Dados dos fundos'!$A$194:$G$219,4,FALSE))</f>
        <v/>
      </c>
      <c r="U13" s="23" t="str">
        <f>IF(Dados_Clientes!$C$10&lt;=Dados_Clientes!$A19,"",VLOOKUP(Retorno!$Q13,'Dados dos fundos'!$A$194:$G$219,5,FALSE))</f>
        <v/>
      </c>
      <c r="V13" s="23" t="str">
        <f>IF(Dados_Clientes!$C$10&lt;=Dados_Clientes!$A19,"",VLOOKUP(Retorno!$Q13,'Dados dos fundos'!$A$194:$G$219,6,FALSE))</f>
        <v/>
      </c>
      <c r="W13" s="23" t="str">
        <f>IF(Dados_Clientes!$C$10&lt;=Dados_Clientes!$A19,"",VLOOKUP(Retorno!$Q13,'Dados dos fundos'!$A$194:$G$219,7,FALSE))</f>
        <v/>
      </c>
    </row>
    <row r="14" spans="1:23" x14ac:dyDescent="0.3">
      <c r="A14" s="25" t="str">
        <f>Carteira!O10</f>
        <v>Renda Fixa</v>
      </c>
      <c r="B14" s="29" t="str">
        <f>Carteira!C10</f>
        <v>Caixa IRF-M1+</v>
      </c>
      <c r="C14" s="30">
        <f>Entrada!F17</f>
        <v>2072427.17</v>
      </c>
      <c r="D14" s="30">
        <f>Entrada!G17</f>
        <v>0</v>
      </c>
      <c r="E14" s="30">
        <f>Entrada!H17</f>
        <v>2141111.31</v>
      </c>
      <c r="F14" s="30">
        <f>Entrada!I17</f>
        <v>0</v>
      </c>
      <c r="G14" s="30">
        <f>Entrada!J17</f>
        <v>0</v>
      </c>
      <c r="H14" s="30">
        <f t="shared" si="2"/>
        <v>68684.14000000013</v>
      </c>
      <c r="I14" s="23">
        <f t="shared" si="0"/>
        <v>3.3141883581848684E-2</v>
      </c>
      <c r="K14" s="23">
        <f t="shared" si="3"/>
        <v>0</v>
      </c>
      <c r="M14" s="24">
        <v>42614</v>
      </c>
      <c r="N14" s="23" t="str">
        <f t="shared" si="1"/>
        <v/>
      </c>
      <c r="O14" s="23" t="str">
        <f>HLOOKUP($O$5,$R$2:$W$14,10,FALSE)</f>
        <v/>
      </c>
      <c r="Q14" s="24">
        <v>42705</v>
      </c>
      <c r="R14" s="23" t="str">
        <f>IF(Dados_Clientes!$C$10&lt;=Dados_Clientes!$A20,"",VLOOKUP(Retorno!$Q14,'Dados dos fundos'!$A$194:$G$219,2,FALSE))</f>
        <v/>
      </c>
      <c r="S14" s="23" t="str">
        <f>IF(Dados_Clientes!$C$10&lt;=Dados_Clientes!$A20,"",VLOOKUP(Retorno!$Q14,'Dados dos fundos'!$A$194:$G$219,3,FALSE))</f>
        <v/>
      </c>
      <c r="T14" s="23" t="str">
        <f>IF(Dados_Clientes!$C$10&lt;=Dados_Clientes!$A20,"",VLOOKUP(Retorno!$Q14,'Dados dos fundos'!$A$194:$G$219,4,FALSE))</f>
        <v/>
      </c>
      <c r="U14" s="23" t="str">
        <f>IF(Dados_Clientes!$C$10&lt;=Dados_Clientes!$A20,"",VLOOKUP(Retorno!$Q14,'Dados dos fundos'!$A$194:$G$219,5,FALSE))</f>
        <v/>
      </c>
      <c r="V14" s="23" t="str">
        <f>IF(Dados_Clientes!$C$10&lt;=Dados_Clientes!$A20,"",VLOOKUP(Retorno!$Q14,'Dados dos fundos'!$A$194:$G$219,6,FALSE))</f>
        <v/>
      </c>
      <c r="W14" s="23" t="str">
        <f>IF(Dados_Clientes!$C$10&lt;=Dados_Clientes!$A20,"",VLOOKUP(Retorno!$Q14,'Dados dos fundos'!$A$194:$G$219,7,FALSE))</f>
        <v/>
      </c>
    </row>
    <row r="15" spans="1:23" x14ac:dyDescent="0.3">
      <c r="A15" s="25" t="str">
        <f>Carteira!O11</f>
        <v/>
      </c>
      <c r="B15" s="29" t="str">
        <f>Carteira!C11</f>
        <v/>
      </c>
      <c r="C15" s="30">
        <f>Entrada!F18</f>
        <v>0</v>
      </c>
      <c r="D15" s="30">
        <f>Entrada!G18</f>
        <v>0</v>
      </c>
      <c r="E15" s="30">
        <f>Entrada!H18</f>
        <v>0</v>
      </c>
      <c r="F15" s="30">
        <f>Entrada!I18</f>
        <v>0</v>
      </c>
      <c r="G15" s="30">
        <f>Entrada!J18</f>
        <v>0</v>
      </c>
      <c r="H15" s="30">
        <f t="shared" si="2"/>
        <v>0</v>
      </c>
      <c r="I15" s="23" t="e">
        <f t="shared" si="0"/>
        <v>#DIV/0!</v>
      </c>
      <c r="K15" s="23">
        <f t="shared" si="3"/>
        <v>0</v>
      </c>
      <c r="M15" s="24">
        <v>42644</v>
      </c>
      <c r="N15" s="23" t="str">
        <f t="shared" si="1"/>
        <v/>
      </c>
      <c r="O15" s="23" t="str">
        <f>HLOOKUP($O$5,$R$2:$W$14,11,FALSE)</f>
        <v/>
      </c>
    </row>
    <row r="16" spans="1:23" x14ac:dyDescent="0.3">
      <c r="A16" s="25" t="str">
        <f>Carteira!O12</f>
        <v/>
      </c>
      <c r="B16" s="29" t="str">
        <f>Carteira!C12</f>
        <v/>
      </c>
      <c r="C16" s="30">
        <f>Entrada!F19</f>
        <v>0</v>
      </c>
      <c r="D16" s="30">
        <f>Entrada!G19</f>
        <v>0</v>
      </c>
      <c r="E16" s="30">
        <f>Entrada!H19</f>
        <v>0</v>
      </c>
      <c r="F16" s="30">
        <f>Entrada!I19</f>
        <v>0</v>
      </c>
      <c r="G16" s="30">
        <f>Entrada!J19</f>
        <v>0</v>
      </c>
      <c r="H16" s="30">
        <f t="shared" si="2"/>
        <v>0</v>
      </c>
      <c r="I16" s="23" t="e">
        <f t="shared" si="0"/>
        <v>#DIV/0!</v>
      </c>
      <c r="K16" s="23">
        <f t="shared" si="3"/>
        <v>0</v>
      </c>
      <c r="M16" s="24">
        <v>42675</v>
      </c>
      <c r="N16" s="23" t="str">
        <f t="shared" si="1"/>
        <v/>
      </c>
      <c r="O16" s="23" t="str">
        <f>HLOOKUP($O$5,$R$2:$W$14,12,FALSE)</f>
        <v/>
      </c>
    </row>
    <row r="17" spans="1:15" x14ac:dyDescent="0.3">
      <c r="A17" s="25" t="str">
        <f>Carteira!O13</f>
        <v/>
      </c>
      <c r="B17" s="29" t="str">
        <f>Carteira!C13</f>
        <v/>
      </c>
      <c r="C17" s="30">
        <f>Entrada!F20</f>
        <v>0</v>
      </c>
      <c r="D17" s="30">
        <f>Entrada!G20</f>
        <v>0</v>
      </c>
      <c r="E17" s="30">
        <f>Entrada!H20</f>
        <v>0</v>
      </c>
      <c r="F17" s="30">
        <f>Entrada!I20</f>
        <v>0</v>
      </c>
      <c r="G17" s="30">
        <f>Entrada!J20</f>
        <v>0</v>
      </c>
      <c r="H17" s="30">
        <f t="shared" si="2"/>
        <v>0</v>
      </c>
      <c r="I17" s="23" t="e">
        <f t="shared" si="0"/>
        <v>#DIV/0!</v>
      </c>
      <c r="K17" s="23">
        <f t="shared" si="3"/>
        <v>0</v>
      </c>
      <c r="M17" s="24">
        <v>42705</v>
      </c>
      <c r="N17" s="23" t="str">
        <f t="shared" si="1"/>
        <v/>
      </c>
      <c r="O17" s="23" t="str">
        <f>HLOOKUP($O$5,$R$2:$W$14,13,FALSE)</f>
        <v/>
      </c>
    </row>
    <row r="18" spans="1:15" x14ac:dyDescent="0.3">
      <c r="A18" s="25" t="str">
        <f>Carteira!O14</f>
        <v/>
      </c>
      <c r="B18" s="29" t="str">
        <f>Carteira!C14</f>
        <v/>
      </c>
      <c r="C18" s="30">
        <f>Entrada!F21</f>
        <v>0</v>
      </c>
      <c r="D18" s="30">
        <f>Entrada!G21</f>
        <v>0</v>
      </c>
      <c r="E18" s="30">
        <f>Entrada!H21</f>
        <v>0</v>
      </c>
      <c r="F18" s="30">
        <f>Entrada!I21</f>
        <v>0</v>
      </c>
      <c r="G18" s="30">
        <f>Entrada!J21</f>
        <v>0</v>
      </c>
      <c r="H18" s="30">
        <f t="shared" si="2"/>
        <v>0</v>
      </c>
      <c r="I18" s="23" t="e">
        <f t="shared" si="0"/>
        <v>#DIV/0!</v>
      </c>
      <c r="K18" s="23">
        <f t="shared" si="3"/>
        <v>0</v>
      </c>
    </row>
    <row r="19" spans="1:15" x14ac:dyDescent="0.3">
      <c r="A19" s="25" t="str">
        <f>Carteira!O15</f>
        <v/>
      </c>
      <c r="B19" s="29" t="str">
        <f>Carteira!C15</f>
        <v/>
      </c>
      <c r="C19" s="30">
        <f>Entrada!F22</f>
        <v>0</v>
      </c>
      <c r="D19" s="30">
        <f>Entrada!G22</f>
        <v>0</v>
      </c>
      <c r="E19" s="30">
        <f>Entrada!H22</f>
        <v>0</v>
      </c>
      <c r="F19" s="30">
        <f>Entrada!I22</f>
        <v>0</v>
      </c>
      <c r="G19" s="30">
        <f>Entrada!J22</f>
        <v>0</v>
      </c>
      <c r="H19" s="30">
        <f t="shared" si="2"/>
        <v>0</v>
      </c>
      <c r="I19" s="23" t="e">
        <f t="shared" si="0"/>
        <v>#DIV/0!</v>
      </c>
      <c r="K19" s="23">
        <f t="shared" si="3"/>
        <v>0</v>
      </c>
    </row>
    <row r="20" spans="1:15" x14ac:dyDescent="0.3">
      <c r="A20" s="25" t="str">
        <f>Carteira!O16</f>
        <v/>
      </c>
      <c r="B20" s="29" t="str">
        <f>Carteira!C16</f>
        <v/>
      </c>
      <c r="C20" s="30">
        <f>Entrada!F23</f>
        <v>0</v>
      </c>
      <c r="D20" s="30">
        <f>Entrada!G23</f>
        <v>0</v>
      </c>
      <c r="E20" s="30">
        <f>Entrada!H23</f>
        <v>0</v>
      </c>
      <c r="F20" s="30">
        <f>Entrada!I23</f>
        <v>0</v>
      </c>
      <c r="G20" s="30">
        <f>Entrada!J23</f>
        <v>0</v>
      </c>
      <c r="H20" s="30">
        <f t="shared" si="2"/>
        <v>0</v>
      </c>
      <c r="I20" s="23" t="e">
        <f t="shared" si="0"/>
        <v>#DIV/0!</v>
      </c>
      <c r="K20" s="23">
        <f t="shared" si="3"/>
        <v>0</v>
      </c>
      <c r="M20" s="104" t="s">
        <v>514</v>
      </c>
      <c r="N20" s="104" t="s">
        <v>535</v>
      </c>
      <c r="O20" s="104" t="s">
        <v>701</v>
      </c>
    </row>
    <row r="21" spans="1:15" x14ac:dyDescent="0.3">
      <c r="A21" s="25" t="str">
        <f>Carteira!O17</f>
        <v/>
      </c>
      <c r="B21" s="29" t="str">
        <f>Carteira!C17</f>
        <v/>
      </c>
      <c r="C21" s="30">
        <f>Entrada!F24</f>
        <v>0</v>
      </c>
      <c r="D21" s="30">
        <f>Entrada!G24</f>
        <v>0</v>
      </c>
      <c r="E21" s="30">
        <f>Entrada!H24</f>
        <v>0</v>
      </c>
      <c r="F21" s="30">
        <f>Entrada!I24</f>
        <v>0</v>
      </c>
      <c r="G21" s="30">
        <f>Entrada!J24</f>
        <v>0</v>
      </c>
      <c r="H21" s="30">
        <f t="shared" si="2"/>
        <v>0</v>
      </c>
      <c r="I21" s="23" t="e">
        <f t="shared" si="0"/>
        <v>#DIV/0!</v>
      </c>
      <c r="K21" s="23">
        <f t="shared" si="3"/>
        <v>0</v>
      </c>
      <c r="M21" s="104" t="s">
        <v>515</v>
      </c>
      <c r="N21" s="104">
        <f>SUMIF($A$7:$A$46,M21,$G$7:$G$46)</f>
        <v>8167736.2599999998</v>
      </c>
      <c r="O21" s="104">
        <f>N21/$G$4</f>
        <v>1</v>
      </c>
    </row>
    <row r="22" spans="1:15" x14ac:dyDescent="0.3">
      <c r="A22" s="25" t="str">
        <f>Carteira!O18</f>
        <v/>
      </c>
      <c r="B22" s="29" t="str">
        <f>Carteira!C18</f>
        <v/>
      </c>
      <c r="C22" s="30">
        <f>Entrada!F25</f>
        <v>0</v>
      </c>
      <c r="D22" s="30">
        <f>Entrada!G25</f>
        <v>0</v>
      </c>
      <c r="E22" s="30">
        <f>Entrada!H25</f>
        <v>0</v>
      </c>
      <c r="F22" s="30">
        <f>Entrada!I25</f>
        <v>0</v>
      </c>
      <c r="G22" s="30">
        <f>Entrada!J25</f>
        <v>0</v>
      </c>
      <c r="H22" s="30">
        <f t="shared" si="2"/>
        <v>0</v>
      </c>
      <c r="I22" s="23" t="e">
        <f t="shared" si="0"/>
        <v>#DIV/0!</v>
      </c>
      <c r="K22" s="23">
        <f t="shared" si="3"/>
        <v>0</v>
      </c>
      <c r="M22" s="104" t="s">
        <v>516</v>
      </c>
      <c r="N22" s="104">
        <f>SUMIF($A$7:$A$46,M22,$G$7:$G$46)</f>
        <v>0</v>
      </c>
      <c r="O22" s="104">
        <f>N22/$G$4</f>
        <v>0</v>
      </c>
    </row>
    <row r="23" spans="1:15" x14ac:dyDescent="0.3">
      <c r="A23" s="25" t="str">
        <f>Carteira!O19</f>
        <v/>
      </c>
      <c r="B23" s="29" t="str">
        <f>Carteira!C19</f>
        <v/>
      </c>
      <c r="C23" s="30">
        <f>Entrada!F26</f>
        <v>0</v>
      </c>
      <c r="D23" s="30">
        <f>Entrada!G26</f>
        <v>0</v>
      </c>
      <c r="E23" s="30">
        <f>Entrada!H26</f>
        <v>0</v>
      </c>
      <c r="F23" s="30">
        <f>Entrada!I26</f>
        <v>0</v>
      </c>
      <c r="G23" s="30">
        <f>Entrada!J26</f>
        <v>0</v>
      </c>
      <c r="H23" s="30">
        <f t="shared" si="2"/>
        <v>0</v>
      </c>
      <c r="I23" s="23" t="e">
        <f t="shared" si="0"/>
        <v>#DIV/0!</v>
      </c>
      <c r="K23" s="23">
        <f t="shared" si="3"/>
        <v>0</v>
      </c>
    </row>
    <row r="24" spans="1:15" x14ac:dyDescent="0.3">
      <c r="A24" s="25" t="str">
        <f>Carteira!O20</f>
        <v/>
      </c>
      <c r="B24" s="29" t="str">
        <f>Carteira!C20</f>
        <v/>
      </c>
      <c r="C24" s="30">
        <f>Entrada!F27</f>
        <v>0</v>
      </c>
      <c r="D24" s="30">
        <f>Entrada!G27</f>
        <v>0</v>
      </c>
      <c r="E24" s="30">
        <f>Entrada!H27</f>
        <v>0</v>
      </c>
      <c r="F24" s="30">
        <f>Entrada!I27</f>
        <v>0</v>
      </c>
      <c r="G24" s="30">
        <f>Entrada!J27</f>
        <v>0</v>
      </c>
      <c r="H24" s="30">
        <f t="shared" si="2"/>
        <v>0</v>
      </c>
      <c r="I24" s="23" t="e">
        <f t="shared" si="0"/>
        <v>#DIV/0!</v>
      </c>
      <c r="K24" s="23">
        <f t="shared" si="3"/>
        <v>0</v>
      </c>
    </row>
    <row r="25" spans="1:15" x14ac:dyDescent="0.3">
      <c r="A25" s="25" t="str">
        <f>Carteira!O21</f>
        <v/>
      </c>
      <c r="B25" s="29" t="str">
        <f>Carteira!C21</f>
        <v/>
      </c>
      <c r="C25" s="30">
        <f>Entrada!F28</f>
        <v>0</v>
      </c>
      <c r="D25" s="30">
        <f>Entrada!G28</f>
        <v>0</v>
      </c>
      <c r="E25" s="30">
        <f>Entrada!H28</f>
        <v>0</v>
      </c>
      <c r="F25" s="30">
        <f>Entrada!I28</f>
        <v>0</v>
      </c>
      <c r="G25" s="30">
        <f>Entrada!J28</f>
        <v>0</v>
      </c>
      <c r="H25" s="30">
        <f t="shared" si="2"/>
        <v>0</v>
      </c>
      <c r="I25" s="23" t="e">
        <f t="shared" si="0"/>
        <v>#DIV/0!</v>
      </c>
      <c r="K25" s="23">
        <f t="shared" si="3"/>
        <v>0</v>
      </c>
    </row>
    <row r="26" spans="1:15" x14ac:dyDescent="0.3">
      <c r="A26" s="25" t="str">
        <f>Carteira!O22</f>
        <v/>
      </c>
      <c r="B26" s="29" t="str">
        <f>Carteira!C22</f>
        <v/>
      </c>
      <c r="C26" s="30">
        <f>Entrada!F29</f>
        <v>0</v>
      </c>
      <c r="D26" s="30">
        <f>Entrada!G29</f>
        <v>0</v>
      </c>
      <c r="E26" s="30">
        <f>Entrada!H29</f>
        <v>0</v>
      </c>
      <c r="F26" s="30">
        <f>Entrada!I29</f>
        <v>0</v>
      </c>
      <c r="G26" s="30">
        <f>Entrada!J29</f>
        <v>0</v>
      </c>
      <c r="H26" s="30">
        <f t="shared" si="2"/>
        <v>0</v>
      </c>
      <c r="I26" s="23" t="e">
        <f t="shared" si="0"/>
        <v>#DIV/0!</v>
      </c>
      <c r="K26" s="23">
        <f t="shared" si="3"/>
        <v>0</v>
      </c>
    </row>
    <row r="27" spans="1:15" x14ac:dyDescent="0.3">
      <c r="A27" s="25" t="str">
        <f>Carteira!O23</f>
        <v/>
      </c>
      <c r="B27" s="29" t="str">
        <f>Carteira!C23</f>
        <v/>
      </c>
      <c r="C27" s="30">
        <f>Entrada!F30</f>
        <v>0</v>
      </c>
      <c r="D27" s="30">
        <f>Entrada!G30</f>
        <v>0</v>
      </c>
      <c r="E27" s="30">
        <f>Entrada!H30</f>
        <v>0</v>
      </c>
      <c r="F27" s="30">
        <f>Entrada!I30</f>
        <v>0</v>
      </c>
      <c r="G27" s="30">
        <f>Entrada!J30</f>
        <v>0</v>
      </c>
      <c r="H27" s="30">
        <f t="shared" si="2"/>
        <v>0</v>
      </c>
      <c r="I27" s="23" t="e">
        <f t="shared" si="0"/>
        <v>#DIV/0!</v>
      </c>
      <c r="K27" s="23">
        <f t="shared" si="3"/>
        <v>0</v>
      </c>
    </row>
    <row r="28" spans="1:15" x14ac:dyDescent="0.3">
      <c r="A28" s="25" t="str">
        <f>Carteira!O24</f>
        <v/>
      </c>
      <c r="B28" s="29" t="str">
        <f>Carteira!C24</f>
        <v/>
      </c>
      <c r="C28" s="30">
        <f>Entrada!F31</f>
        <v>0</v>
      </c>
      <c r="D28" s="30">
        <f>Entrada!G31</f>
        <v>0</v>
      </c>
      <c r="E28" s="30">
        <f>Entrada!H31</f>
        <v>0</v>
      </c>
      <c r="F28" s="30">
        <f>Entrada!I31</f>
        <v>0</v>
      </c>
      <c r="G28" s="30">
        <f>Entrada!J31</f>
        <v>0</v>
      </c>
      <c r="H28" s="30">
        <f t="shared" si="2"/>
        <v>0</v>
      </c>
      <c r="I28" s="23" t="e">
        <f t="shared" si="0"/>
        <v>#DIV/0!</v>
      </c>
      <c r="K28" s="23">
        <f t="shared" si="3"/>
        <v>0</v>
      </c>
    </row>
    <row r="29" spans="1:15" x14ac:dyDescent="0.3">
      <c r="A29" s="25" t="str">
        <f>Carteira!O25</f>
        <v/>
      </c>
      <c r="B29" s="29" t="str">
        <f>Carteira!C25</f>
        <v/>
      </c>
      <c r="C29" s="30">
        <f>Entrada!F32</f>
        <v>0</v>
      </c>
      <c r="D29" s="30">
        <f>Entrada!G32</f>
        <v>0</v>
      </c>
      <c r="E29" s="30">
        <f>Entrada!H32</f>
        <v>0</v>
      </c>
      <c r="F29" s="30">
        <f>Entrada!I32</f>
        <v>0</v>
      </c>
      <c r="G29" s="30">
        <f>Entrada!J32</f>
        <v>0</v>
      </c>
      <c r="H29" s="30">
        <f t="shared" si="2"/>
        <v>0</v>
      </c>
      <c r="I29" s="23" t="e">
        <f t="shared" si="0"/>
        <v>#DIV/0!</v>
      </c>
      <c r="K29" s="23">
        <f t="shared" si="3"/>
        <v>0</v>
      </c>
    </row>
    <row r="30" spans="1:15" x14ac:dyDescent="0.3">
      <c r="A30" s="25" t="str">
        <f>Carteira!O26</f>
        <v/>
      </c>
      <c r="B30" s="29" t="str">
        <f>Carteira!C26</f>
        <v/>
      </c>
      <c r="C30" s="30">
        <f>Entrada!F33</f>
        <v>0</v>
      </c>
      <c r="D30" s="30">
        <f>Entrada!G33</f>
        <v>0</v>
      </c>
      <c r="E30" s="30">
        <f>Entrada!H33</f>
        <v>0</v>
      </c>
      <c r="F30" s="30">
        <f>Entrada!I33</f>
        <v>0</v>
      </c>
      <c r="G30" s="30">
        <f>Entrada!J33</f>
        <v>0</v>
      </c>
      <c r="H30" s="30">
        <f t="shared" si="2"/>
        <v>0</v>
      </c>
      <c r="I30" s="23" t="e">
        <f t="shared" si="0"/>
        <v>#DIV/0!</v>
      </c>
      <c r="K30" s="23">
        <f t="shared" si="3"/>
        <v>0</v>
      </c>
    </row>
    <row r="31" spans="1:15" x14ac:dyDescent="0.3">
      <c r="A31" s="25" t="str">
        <f>Carteira!O27</f>
        <v/>
      </c>
      <c r="B31" s="29" t="str">
        <f>Carteira!C27</f>
        <v/>
      </c>
      <c r="C31" s="30">
        <f>Entrada!F34</f>
        <v>0</v>
      </c>
      <c r="D31" s="30">
        <f>Entrada!G34</f>
        <v>0</v>
      </c>
      <c r="E31" s="30">
        <f>Entrada!H34</f>
        <v>0</v>
      </c>
      <c r="F31" s="30">
        <f>Entrada!I34</f>
        <v>0</v>
      </c>
      <c r="G31" s="30">
        <f>Entrada!J34</f>
        <v>0</v>
      </c>
      <c r="H31" s="30">
        <f t="shared" si="2"/>
        <v>0</v>
      </c>
      <c r="I31" s="23" t="e">
        <f t="shared" si="0"/>
        <v>#DIV/0!</v>
      </c>
      <c r="K31" s="23">
        <f t="shared" si="3"/>
        <v>0</v>
      </c>
    </row>
    <row r="32" spans="1:15" x14ac:dyDescent="0.3">
      <c r="A32" s="25" t="str">
        <f>Carteira!O28</f>
        <v/>
      </c>
      <c r="B32" s="29" t="str">
        <f>Carteira!C28</f>
        <v/>
      </c>
      <c r="C32" s="30">
        <f>Entrada!F35</f>
        <v>0</v>
      </c>
      <c r="D32" s="30">
        <f>Entrada!G35</f>
        <v>0</v>
      </c>
      <c r="E32" s="30">
        <f>Entrada!H35</f>
        <v>0</v>
      </c>
      <c r="F32" s="30">
        <f>Entrada!I35</f>
        <v>0</v>
      </c>
      <c r="G32" s="30">
        <f>Entrada!J35</f>
        <v>0</v>
      </c>
      <c r="H32" s="30">
        <f t="shared" si="2"/>
        <v>0</v>
      </c>
      <c r="I32" s="23" t="e">
        <f t="shared" si="0"/>
        <v>#DIV/0!</v>
      </c>
      <c r="K32" s="23">
        <f t="shared" si="3"/>
        <v>0</v>
      </c>
    </row>
    <row r="33" spans="1:11" x14ac:dyDescent="0.3">
      <c r="A33" s="25" t="str">
        <f>Carteira!O29</f>
        <v/>
      </c>
      <c r="B33" s="29" t="str">
        <f>Carteira!C29</f>
        <v/>
      </c>
      <c r="C33" s="30">
        <f>Entrada!F36</f>
        <v>0</v>
      </c>
      <c r="D33" s="30">
        <f>Entrada!G36</f>
        <v>0</v>
      </c>
      <c r="E33" s="30">
        <f>Entrada!H36</f>
        <v>0</v>
      </c>
      <c r="F33" s="30">
        <f>Entrada!I36</f>
        <v>0</v>
      </c>
      <c r="G33" s="30">
        <f>Entrada!J36</f>
        <v>0</v>
      </c>
      <c r="H33" s="30">
        <f t="shared" si="2"/>
        <v>0</v>
      </c>
      <c r="I33" s="23" t="e">
        <f t="shared" si="0"/>
        <v>#DIV/0!</v>
      </c>
      <c r="K33" s="23">
        <f t="shared" si="3"/>
        <v>0</v>
      </c>
    </row>
    <row r="34" spans="1:11" x14ac:dyDescent="0.3">
      <c r="A34" s="25" t="str">
        <f>Carteira!O30</f>
        <v/>
      </c>
      <c r="B34" s="29" t="str">
        <f>Carteira!C30</f>
        <v/>
      </c>
      <c r="C34" s="30">
        <f>Entrada!F37</f>
        <v>0</v>
      </c>
      <c r="D34" s="30">
        <f>Entrada!G37</f>
        <v>0</v>
      </c>
      <c r="E34" s="30">
        <f>Entrada!H37</f>
        <v>0</v>
      </c>
      <c r="F34" s="30">
        <f>Entrada!I37</f>
        <v>0</v>
      </c>
      <c r="G34" s="30">
        <f>Entrada!J37</f>
        <v>0</v>
      </c>
      <c r="H34" s="30">
        <f t="shared" si="2"/>
        <v>0</v>
      </c>
      <c r="I34" s="23" t="e">
        <f t="shared" si="0"/>
        <v>#DIV/0!</v>
      </c>
      <c r="K34" s="23">
        <f t="shared" si="3"/>
        <v>0</v>
      </c>
    </row>
    <row r="35" spans="1:11" x14ac:dyDescent="0.3">
      <c r="A35" s="25" t="str">
        <f>Carteira!O31</f>
        <v/>
      </c>
      <c r="B35" s="29" t="str">
        <f>Carteira!C31</f>
        <v/>
      </c>
      <c r="C35" s="30">
        <f>Entrada!F38</f>
        <v>0</v>
      </c>
      <c r="D35" s="30">
        <f>Entrada!G38</f>
        <v>0</v>
      </c>
      <c r="E35" s="30">
        <f>Entrada!H38</f>
        <v>0</v>
      </c>
      <c r="F35" s="30">
        <f>Entrada!I38</f>
        <v>0</v>
      </c>
      <c r="G35" s="30">
        <f>Entrada!J38</f>
        <v>0</v>
      </c>
      <c r="H35" s="30">
        <f t="shared" si="2"/>
        <v>0</v>
      </c>
      <c r="I35" s="23" t="e">
        <f t="shared" si="0"/>
        <v>#DIV/0!</v>
      </c>
      <c r="K35" s="23">
        <f t="shared" si="3"/>
        <v>0</v>
      </c>
    </row>
    <row r="36" spans="1:11" x14ac:dyDescent="0.3">
      <c r="A36" s="25" t="str">
        <f>Carteira!O32</f>
        <v/>
      </c>
      <c r="B36" s="29" t="str">
        <f>Carteira!C32</f>
        <v/>
      </c>
      <c r="C36" s="30">
        <f>Entrada!F39</f>
        <v>0</v>
      </c>
      <c r="D36" s="30">
        <f>Entrada!G39</f>
        <v>0</v>
      </c>
      <c r="E36" s="30">
        <f>Entrada!H39</f>
        <v>0</v>
      </c>
      <c r="F36" s="30">
        <f>Entrada!I39</f>
        <v>0</v>
      </c>
      <c r="G36" s="30">
        <f>Entrada!J39</f>
        <v>0</v>
      </c>
      <c r="H36" s="30">
        <f t="shared" si="2"/>
        <v>0</v>
      </c>
      <c r="I36" s="23" t="e">
        <f t="shared" si="0"/>
        <v>#DIV/0!</v>
      </c>
      <c r="K36" s="23">
        <f t="shared" si="3"/>
        <v>0</v>
      </c>
    </row>
    <row r="37" spans="1:11" x14ac:dyDescent="0.3">
      <c r="A37" s="25" t="str">
        <f>Carteira!O33</f>
        <v/>
      </c>
      <c r="B37" s="29" t="str">
        <f>Carteira!C33</f>
        <v/>
      </c>
      <c r="C37" s="30">
        <f>Entrada!F40</f>
        <v>0</v>
      </c>
      <c r="D37" s="30">
        <f>Entrada!G40</f>
        <v>0</v>
      </c>
      <c r="E37" s="30">
        <f>Entrada!H40</f>
        <v>0</v>
      </c>
      <c r="F37" s="30">
        <f>Entrada!I40</f>
        <v>0</v>
      </c>
      <c r="G37" s="30">
        <f>Entrada!J40</f>
        <v>0</v>
      </c>
      <c r="H37" s="30">
        <f t="shared" si="2"/>
        <v>0</v>
      </c>
      <c r="I37" s="23" t="e">
        <f t="shared" si="0"/>
        <v>#DIV/0!</v>
      </c>
      <c r="K37" s="23">
        <f t="shared" si="3"/>
        <v>0</v>
      </c>
    </row>
    <row r="38" spans="1:11" x14ac:dyDescent="0.3">
      <c r="A38" s="25" t="str">
        <f>Carteira!O34</f>
        <v/>
      </c>
      <c r="B38" s="29" t="str">
        <f>Carteira!C34</f>
        <v/>
      </c>
      <c r="C38" s="30">
        <f>Entrada!F41</f>
        <v>0</v>
      </c>
      <c r="D38" s="30">
        <f>Entrada!G41</f>
        <v>0</v>
      </c>
      <c r="E38" s="30">
        <f>Entrada!H41</f>
        <v>0</v>
      </c>
      <c r="F38" s="30">
        <f>Entrada!I41</f>
        <v>0</v>
      </c>
      <c r="G38" s="30">
        <f>Entrada!J41</f>
        <v>0</v>
      </c>
      <c r="H38" s="30">
        <f t="shared" si="2"/>
        <v>0</v>
      </c>
      <c r="I38" s="23" t="e">
        <f t="shared" si="0"/>
        <v>#DIV/0!</v>
      </c>
      <c r="K38" s="23">
        <f t="shared" si="3"/>
        <v>0</v>
      </c>
    </row>
    <row r="39" spans="1:11" x14ac:dyDescent="0.3">
      <c r="A39" s="25" t="str">
        <f>Carteira!O35</f>
        <v/>
      </c>
      <c r="B39" s="29" t="str">
        <f>Carteira!C35</f>
        <v/>
      </c>
      <c r="C39" s="30">
        <f>Entrada!F42</f>
        <v>0</v>
      </c>
      <c r="D39" s="30">
        <f>Entrada!G42</f>
        <v>0</v>
      </c>
      <c r="E39" s="30">
        <f>Entrada!H42</f>
        <v>0</v>
      </c>
      <c r="F39" s="30">
        <f>Entrada!I42</f>
        <v>0</v>
      </c>
      <c r="G39" s="30">
        <f>Entrada!J42</f>
        <v>0</v>
      </c>
      <c r="H39" s="30">
        <f t="shared" si="2"/>
        <v>0</v>
      </c>
      <c r="I39" s="23" t="e">
        <f t="shared" si="0"/>
        <v>#DIV/0!</v>
      </c>
      <c r="K39" s="23">
        <f t="shared" si="3"/>
        <v>0</v>
      </c>
    </row>
    <row r="40" spans="1:11" x14ac:dyDescent="0.3">
      <c r="A40" s="25" t="str">
        <f>Carteira!O36</f>
        <v/>
      </c>
      <c r="B40" s="29" t="str">
        <f>Carteira!C36</f>
        <v/>
      </c>
      <c r="C40" s="30">
        <f>Entrada!F43</f>
        <v>0</v>
      </c>
      <c r="D40" s="30">
        <f>Entrada!G43</f>
        <v>0</v>
      </c>
      <c r="E40" s="30">
        <f>Entrada!H43</f>
        <v>0</v>
      </c>
      <c r="F40" s="30">
        <f>Entrada!I43</f>
        <v>0</v>
      </c>
      <c r="G40" s="30">
        <f>Entrada!J43</f>
        <v>0</v>
      </c>
      <c r="H40" s="30">
        <f t="shared" si="2"/>
        <v>0</v>
      </c>
      <c r="I40" s="23" t="e">
        <f t="shared" si="0"/>
        <v>#DIV/0!</v>
      </c>
      <c r="K40" s="23">
        <f t="shared" si="3"/>
        <v>0</v>
      </c>
    </row>
    <row r="41" spans="1:11" x14ac:dyDescent="0.3">
      <c r="A41" s="25" t="str">
        <f>Carteira!O37</f>
        <v/>
      </c>
      <c r="B41" s="29" t="str">
        <f>Carteira!C37</f>
        <v/>
      </c>
      <c r="C41" s="30">
        <f>Entrada!F44</f>
        <v>0</v>
      </c>
      <c r="D41" s="30">
        <f>Entrada!G44</f>
        <v>0</v>
      </c>
      <c r="E41" s="30">
        <f>Entrada!H44</f>
        <v>0</v>
      </c>
      <c r="F41" s="30">
        <f>Entrada!I44</f>
        <v>0</v>
      </c>
      <c r="G41" s="30">
        <f>Entrada!J44</f>
        <v>0</v>
      </c>
      <c r="H41" s="30">
        <f t="shared" si="2"/>
        <v>0</v>
      </c>
      <c r="I41" s="23" t="e">
        <f t="shared" si="0"/>
        <v>#DIV/0!</v>
      </c>
      <c r="K41" s="23">
        <f t="shared" si="3"/>
        <v>0</v>
      </c>
    </row>
    <row r="42" spans="1:11" x14ac:dyDescent="0.3">
      <c r="A42" s="25" t="str">
        <f>Carteira!O38</f>
        <v/>
      </c>
      <c r="B42" s="29" t="str">
        <f>Carteira!C38</f>
        <v/>
      </c>
      <c r="C42" s="30">
        <f>Entrada!F45</f>
        <v>0</v>
      </c>
      <c r="D42" s="30">
        <f>Entrada!G45</f>
        <v>0</v>
      </c>
      <c r="E42" s="30">
        <f>Entrada!H45</f>
        <v>0</v>
      </c>
      <c r="F42" s="30">
        <f>Entrada!I45</f>
        <v>0</v>
      </c>
      <c r="G42" s="30">
        <f>Entrada!J45</f>
        <v>0</v>
      </c>
      <c r="H42" s="30">
        <f t="shared" si="2"/>
        <v>0</v>
      </c>
      <c r="I42" s="23" t="e">
        <f t="shared" si="0"/>
        <v>#DIV/0!</v>
      </c>
      <c r="K42" s="23">
        <f t="shared" si="3"/>
        <v>0</v>
      </c>
    </row>
    <row r="43" spans="1:11" x14ac:dyDescent="0.3">
      <c r="A43" s="25" t="str">
        <f>Carteira!O39</f>
        <v/>
      </c>
      <c r="B43" s="29" t="str">
        <f>Carteira!C39</f>
        <v/>
      </c>
      <c r="C43" s="30">
        <f>Entrada!F46</f>
        <v>0</v>
      </c>
      <c r="D43" s="30">
        <f>Entrada!G46</f>
        <v>0</v>
      </c>
      <c r="E43" s="30">
        <f>Entrada!H46</f>
        <v>0</v>
      </c>
      <c r="F43" s="30">
        <f>Entrada!I46</f>
        <v>0</v>
      </c>
      <c r="G43" s="30">
        <f>Entrada!J46</f>
        <v>0</v>
      </c>
      <c r="H43" s="30">
        <f t="shared" si="2"/>
        <v>0</v>
      </c>
      <c r="I43" s="23" t="e">
        <f t="shared" si="0"/>
        <v>#DIV/0!</v>
      </c>
      <c r="K43" s="23">
        <f t="shared" si="3"/>
        <v>0</v>
      </c>
    </row>
    <row r="44" spans="1:11" x14ac:dyDescent="0.3">
      <c r="A44" s="25" t="str">
        <f>Carteira!O40</f>
        <v/>
      </c>
      <c r="B44" s="29" t="str">
        <f>Carteira!C40</f>
        <v/>
      </c>
      <c r="C44" s="30">
        <f>Entrada!F47</f>
        <v>0</v>
      </c>
      <c r="D44" s="30">
        <f>Entrada!G47</f>
        <v>0</v>
      </c>
      <c r="E44" s="30">
        <f>Entrada!H47</f>
        <v>0</v>
      </c>
      <c r="F44" s="30">
        <f>Entrada!I47</f>
        <v>0</v>
      </c>
      <c r="G44" s="30">
        <f>Entrada!J47</f>
        <v>0</v>
      </c>
      <c r="H44" s="30">
        <f t="shared" si="2"/>
        <v>0</v>
      </c>
      <c r="I44" s="23" t="e">
        <f t="shared" si="0"/>
        <v>#DIV/0!</v>
      </c>
      <c r="K44" s="23">
        <f t="shared" si="3"/>
        <v>0</v>
      </c>
    </row>
    <row r="45" spans="1:11" x14ac:dyDescent="0.3">
      <c r="A45" s="25" t="str">
        <f>Carteira!O41</f>
        <v/>
      </c>
      <c r="B45" s="29" t="str">
        <f>Carteira!C41</f>
        <v/>
      </c>
      <c r="C45" s="30">
        <f>Entrada!F48</f>
        <v>0</v>
      </c>
      <c r="D45" s="30">
        <f>Entrada!G48</f>
        <v>0</v>
      </c>
      <c r="E45" s="30">
        <f>Entrada!H48</f>
        <v>0</v>
      </c>
      <c r="F45" s="30">
        <f>Entrada!I48</f>
        <v>0</v>
      </c>
      <c r="G45" s="30">
        <f>Entrada!J48</f>
        <v>0</v>
      </c>
      <c r="H45" s="30">
        <f t="shared" si="2"/>
        <v>0</v>
      </c>
      <c r="I45" s="23" t="e">
        <f t="shared" si="0"/>
        <v>#DIV/0!</v>
      </c>
      <c r="K45" s="23">
        <f t="shared" si="3"/>
        <v>0</v>
      </c>
    </row>
    <row r="46" spans="1:11" x14ac:dyDescent="0.3">
      <c r="A46" s="25" t="str">
        <f>Carteira!O42</f>
        <v/>
      </c>
      <c r="B46" s="29" t="str">
        <f>Carteira!C42</f>
        <v/>
      </c>
      <c r="C46" s="30">
        <f>Entrada!F49</f>
        <v>0</v>
      </c>
      <c r="D46" s="30">
        <f>Entrada!G49</f>
        <v>0</v>
      </c>
      <c r="E46" s="30">
        <f>Entrada!H49</f>
        <v>0</v>
      </c>
      <c r="F46" s="30">
        <f>Entrada!I49</f>
        <v>0</v>
      </c>
      <c r="G46" s="30">
        <f>Entrada!J49</f>
        <v>0</v>
      </c>
      <c r="H46" s="30">
        <f t="shared" si="2"/>
        <v>0</v>
      </c>
      <c r="I46" s="23" t="e">
        <f t="shared" si="0"/>
        <v>#DIV/0!</v>
      </c>
      <c r="K46" s="23">
        <f t="shared" si="3"/>
        <v>0</v>
      </c>
    </row>
  </sheetData>
  <mergeCells count="1">
    <mergeCell ref="C2:I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J43"/>
  <sheetViews>
    <sheetView showGridLines="0" workbookViewId="0">
      <selection activeCell="J5" sqref="J5"/>
    </sheetView>
  </sheetViews>
  <sheetFormatPr defaultRowHeight="15" x14ac:dyDescent="0.3"/>
  <cols>
    <col min="1" max="1" width="12" bestFit="1" customWidth="1"/>
    <col min="2" max="2" width="20" bestFit="1" customWidth="1"/>
    <col min="3" max="3" width="18.28515625" bestFit="1" customWidth="1"/>
    <col min="5" max="5" width="10.28515625" bestFit="1" customWidth="1"/>
    <col min="8" max="8" width="11" bestFit="1" customWidth="1"/>
    <col min="10" max="10" width="16" bestFit="1" customWidth="1"/>
  </cols>
  <sheetData>
    <row r="1" spans="1:10" x14ac:dyDescent="0.3">
      <c r="B1" s="67" t="s">
        <v>613</v>
      </c>
      <c r="C1" s="68">
        <f>Retorno!G4</f>
        <v>8167736.2599999998</v>
      </c>
      <c r="J1" s="25"/>
    </row>
    <row r="2" spans="1:10" s="25" customFormat="1" x14ac:dyDescent="0.3">
      <c r="G2" s="25">
        <f>SUM(G4:G42)</f>
        <v>5</v>
      </c>
    </row>
    <row r="3" spans="1:10" s="1" customFormat="1" x14ac:dyDescent="0.3">
      <c r="B3" s="66" t="s">
        <v>73</v>
      </c>
      <c r="C3" s="66" t="s">
        <v>1</v>
      </c>
      <c r="E3" s="64" t="s">
        <v>514</v>
      </c>
      <c r="F3" s="64" t="s">
        <v>622</v>
      </c>
      <c r="H3" s="62" t="s">
        <v>623</v>
      </c>
    </row>
    <row r="4" spans="1:10" x14ac:dyDescent="0.3">
      <c r="A4" s="33"/>
      <c r="B4" s="67" t="str">
        <f>Carteira!C3</f>
        <v>BB IRF-M</v>
      </c>
      <c r="C4" s="67" t="str">
        <f>Carteira!E3</f>
        <v>07.111.384/0001-69</v>
      </c>
      <c r="E4" s="65" t="str">
        <f>Carteira!O3</f>
        <v>Renda Fixa</v>
      </c>
      <c r="F4" s="65">
        <f>IF(E4="","",IF(C4=0,0,IF(E4="Renda Fixa",VLOOKUP(Calculo_Indice_Sharpe!C4,'Dados dos fundos'!$C$224:$F$400,4,FALSE),VLOOKUP(Calculo_Indice_Sharpe!C4,'Dados dos fundos'!$C$224:$D$361,5,FALSE))))</f>
        <v>5.6099999999999997E-2</v>
      </c>
      <c r="G4" s="1">
        <f>IF(F4="","",IF(F4&lt;0,0,1))</f>
        <v>1</v>
      </c>
      <c r="H4" s="63">
        <f>IF(C4="","",IF(C4=0,0,VLOOKUP(C4,'Dados dos fundos'!$C$224:$D$400,2,FALSE)))</f>
        <v>1550396235.23</v>
      </c>
    </row>
    <row r="5" spans="1:10" x14ac:dyDescent="0.3">
      <c r="A5" s="33"/>
      <c r="B5" s="67" t="str">
        <f>Carteira!C4</f>
        <v>BB Perfil</v>
      </c>
      <c r="C5" s="67" t="str">
        <f>Carteira!E4</f>
        <v>13.077.418/0001-49</v>
      </c>
      <c r="E5" s="65" t="str">
        <f>Carteira!O4</f>
        <v>Renda Fixa</v>
      </c>
      <c r="F5" s="65">
        <f>IF(E5="","",IF(C5=0,0,IF(E5="Renda Fixa",VLOOKUP(Calculo_Indice_Sharpe!C5,'Dados dos fundos'!$C$224:$F$400,4,FALSE),VLOOKUP(Calculo_Indice_Sharpe!C5,'Dados dos fundos'!$C$224:$D$361,5,FALSE))))</f>
        <v>-0.1729</v>
      </c>
      <c r="G5" s="1">
        <f t="shared" ref="G5:G43" si="0">IF(F5="","",IF(F5&lt;0,0,1))</f>
        <v>0</v>
      </c>
      <c r="H5" s="63">
        <f>IF(C5="","",IF(C5=0,0,VLOOKUP(C5,'Dados dos fundos'!$C$224:$D$400,2,FALSE)))</f>
        <v>6495245017.6300001</v>
      </c>
    </row>
    <row r="6" spans="1:10" x14ac:dyDescent="0.3">
      <c r="A6" s="33"/>
      <c r="B6" s="67" t="str">
        <f>Carteira!C5</f>
        <v>BB IX TP</v>
      </c>
      <c r="C6" s="67" t="str">
        <f>Carteira!E5</f>
        <v>20.734.937/0001-06</v>
      </c>
      <c r="E6" s="65" t="str">
        <f>Carteira!O5</f>
        <v>Renda Fixa</v>
      </c>
      <c r="F6" s="65">
        <f>IF(E6="","",IF(C6=0,0,IF(E6="Renda Fixa",VLOOKUP(Calculo_Indice_Sharpe!C6,'Dados dos fundos'!$C$224:$F$400,4,FALSE),VLOOKUP(Calculo_Indice_Sharpe!C6,'Dados dos fundos'!$C$224:$D$361,5,FALSE))))</f>
        <v>-3.1600000000000003E-2</v>
      </c>
      <c r="G6" s="1">
        <f t="shared" si="0"/>
        <v>0</v>
      </c>
      <c r="H6" s="63">
        <f>IF(C6="","",IF(C6=0,0,VLOOKUP(C6,'Dados dos fundos'!$C$224:$D$400,2,FALSE)))</f>
        <v>2254122552.9899998</v>
      </c>
    </row>
    <row r="7" spans="1:10" x14ac:dyDescent="0.3">
      <c r="A7" s="33"/>
      <c r="B7" s="67" t="str">
        <f>Carteira!C6</f>
        <v>BB IRF-M1</v>
      </c>
      <c r="C7" s="67" t="str">
        <f>Carteira!E6</f>
        <v>11.328.882/0001-35</v>
      </c>
      <c r="E7" s="65" t="str">
        <f>Carteira!O6</f>
        <v>Renda Fixa</v>
      </c>
      <c r="F7" s="65">
        <f>IF(E7="","",IF(C7=0,0,IF(E7="Renda Fixa",VLOOKUP(Calculo_Indice_Sharpe!C7,'Dados dos fundos'!$C$224:$F$400,4,FALSE),VLOOKUP(Calculo_Indice_Sharpe!C7,'Dados dos fundos'!$C$224:$D$361,5,FALSE))))</f>
        <v>1.7000000000000001E-2</v>
      </c>
      <c r="G7" s="1">
        <f t="shared" si="0"/>
        <v>1</v>
      </c>
      <c r="H7" s="63">
        <f>IF(C7="","",IF(C7=0,0,VLOOKUP(C7,'Dados dos fundos'!$C$224:$D$400,2,FALSE)))</f>
        <v>7780026492.54</v>
      </c>
    </row>
    <row r="8" spans="1:10" x14ac:dyDescent="0.3">
      <c r="A8" s="33"/>
      <c r="B8" s="67" t="str">
        <f>Carteira!C7</f>
        <v>Caixa 2016 I TP RF</v>
      </c>
      <c r="C8" s="67" t="str">
        <f>Carteira!E7</f>
        <v>20.139.299/0001-77</v>
      </c>
      <c r="E8" s="65" t="str">
        <f>Carteira!O7</f>
        <v>Renda Fixa</v>
      </c>
      <c r="F8" s="65">
        <f>IF(E8="","",IF(C8=0,0,IF(E8="Renda Fixa",VLOOKUP(Calculo_Indice_Sharpe!C8,'Dados dos fundos'!$C$224:$F$400,4,FALSE),VLOOKUP(Calculo_Indice_Sharpe!C8,'Dados dos fundos'!$C$224:$D$361,5,FALSE))))</f>
        <v>-4.1399999999999999E-2</v>
      </c>
      <c r="G8" s="1">
        <f t="shared" si="0"/>
        <v>0</v>
      </c>
      <c r="H8" s="63">
        <f>IF(C8="","",IF(C8=0,0,VLOOKUP(C8,'Dados dos fundos'!$C$224:$D$400,2,FALSE)))</f>
        <v>1466638401.1300001</v>
      </c>
      <c r="J8" s="31"/>
    </row>
    <row r="9" spans="1:10" x14ac:dyDescent="0.3">
      <c r="A9" s="33"/>
      <c r="B9" s="67" t="str">
        <f>Carteira!C8</f>
        <v>Caixa Ref. DI LP</v>
      </c>
      <c r="C9" s="67" t="str">
        <f>Carteira!E8</f>
        <v>03.737.206/0001-97</v>
      </c>
      <c r="E9" s="65" t="str">
        <f>Carteira!O8</f>
        <v>Renda Fixa</v>
      </c>
      <c r="F9" s="65">
        <f>IF(E9="","",IF(C9=0,0,IF(E9="Renda Fixa",VLOOKUP(Calculo_Indice_Sharpe!C9,'Dados dos fundos'!$C$224:$F$400,4,FALSE),VLOOKUP(Calculo_Indice_Sharpe!C9,'Dados dos fundos'!$C$224:$D$361,5,FALSE))))</f>
        <v>2.7400000000000001E-2</v>
      </c>
      <c r="G9" s="1">
        <f t="shared" si="0"/>
        <v>1</v>
      </c>
      <c r="H9" s="63">
        <f>IF(C9="","",IF(C9=0,0,VLOOKUP(C9,'Dados dos fundos'!$C$224:$D$400,2,FALSE)))</f>
        <v>4367781353.9099998</v>
      </c>
    </row>
    <row r="10" spans="1:10" x14ac:dyDescent="0.3">
      <c r="A10" s="33"/>
      <c r="B10" s="67" t="str">
        <f>Carteira!C9</f>
        <v>Caixa IRF-M1</v>
      </c>
      <c r="C10" s="67" t="str">
        <f>Carteira!E9</f>
        <v>10.740.670/0001-06</v>
      </c>
      <c r="E10" s="65" t="str">
        <f>Carteira!O9</f>
        <v>Renda Fixa</v>
      </c>
      <c r="F10" s="65">
        <f>IF(E10="","",IF(C10=0,0,IF(E10="Renda Fixa",VLOOKUP(Calculo_Indice_Sharpe!C10,'Dados dos fundos'!$C$224:$F$400,4,FALSE),VLOOKUP(Calculo_Indice_Sharpe!C10,'Dados dos fundos'!$C$224:$D$361,5,FALSE))))</f>
        <v>2.1299999999999999E-2</v>
      </c>
      <c r="G10" s="1">
        <f>IF(F10="","",IF(F10&lt;0,0,1))</f>
        <v>1</v>
      </c>
      <c r="H10" s="63">
        <f>IF(C10="","",IF(C10=0,0,VLOOKUP(C10,'Dados dos fundos'!$C$224:$D$400,2,FALSE)))</f>
        <v>9316344330.1599998</v>
      </c>
    </row>
    <row r="11" spans="1:10" x14ac:dyDescent="0.3">
      <c r="A11" s="33"/>
      <c r="B11" s="67" t="str">
        <f>Carteira!C10</f>
        <v>Caixa IRF-M1+</v>
      </c>
      <c r="C11" s="67" t="str">
        <f>Carteira!E10</f>
        <v>10.577.519/0001-90</v>
      </c>
      <c r="E11" s="65" t="str">
        <f>Carteira!O10</f>
        <v>Renda Fixa</v>
      </c>
      <c r="F11" s="65">
        <f>IF(E11="","",IF(C11=0,0,IF(E11="Renda Fixa",VLOOKUP(Calculo_Indice_Sharpe!C11,'Dados dos fundos'!$C$224:$F$400,4,FALSE),VLOOKUP(Calculo_Indice_Sharpe!C11,'Dados dos fundos'!$C$224:$D$361,5,FALSE))))</f>
        <v>6.4799999999999996E-2</v>
      </c>
      <c r="G11" s="1">
        <f t="shared" si="0"/>
        <v>1</v>
      </c>
      <c r="H11" s="63">
        <f>IF(C11="","",IF(C11=0,0,VLOOKUP(C11,'Dados dos fundos'!$C$224:$D$400,2,FALSE)))</f>
        <v>164234564.71000001</v>
      </c>
    </row>
    <row r="12" spans="1:10" x14ac:dyDescent="0.3">
      <c r="A12" s="33"/>
      <c r="B12" s="67" t="str">
        <f>Carteira!C11</f>
        <v/>
      </c>
      <c r="C12" s="67" t="str">
        <f>Carteira!E11</f>
        <v/>
      </c>
      <c r="E12" s="65" t="str">
        <f>Carteira!O11</f>
        <v/>
      </c>
      <c r="F12" s="65" t="str">
        <f>IF(E12="","",IF(C12=0,0,IF(E12="Renda Fixa",VLOOKUP(Calculo_Indice_Sharpe!C12,'Dados dos fundos'!$C$224:$F$400,4,FALSE),VLOOKUP(Calculo_Indice_Sharpe!C12,'Dados dos fundos'!$C$224:$D$361,5,FALSE))))</f>
        <v/>
      </c>
      <c r="G12" s="1" t="str">
        <f t="shared" si="0"/>
        <v/>
      </c>
      <c r="H12" s="63" t="str">
        <f>IF(C12="","",IF(C12=0,0,VLOOKUP(C12,'Dados dos fundos'!$C$224:$D$400,2,FALSE)))</f>
        <v/>
      </c>
    </row>
    <row r="13" spans="1:10" x14ac:dyDescent="0.3">
      <c r="A13" s="33"/>
      <c r="B13" s="67" t="str">
        <f>Carteira!C12</f>
        <v/>
      </c>
      <c r="C13" s="67" t="str">
        <f>Carteira!E12</f>
        <v/>
      </c>
      <c r="E13" s="65" t="str">
        <f>Carteira!O12</f>
        <v/>
      </c>
      <c r="F13" s="65" t="str">
        <f>IF(E13="","",IF(C13=0,0,IF(E13="Renda Fixa",VLOOKUP(Calculo_Indice_Sharpe!C13,'Dados dos fundos'!$C$224:$F$400,4,FALSE),VLOOKUP(Calculo_Indice_Sharpe!C13,'Dados dos fundos'!$C$224:$D$361,5,FALSE))))</f>
        <v/>
      </c>
      <c r="G13" s="1" t="str">
        <f t="shared" si="0"/>
        <v/>
      </c>
      <c r="H13" s="63" t="str">
        <f>IF(C13="","",IF(C13=0,0,VLOOKUP(C13,'Dados dos fundos'!$C$224:$D$400,2,FALSE)))</f>
        <v/>
      </c>
    </row>
    <row r="14" spans="1:10" x14ac:dyDescent="0.3">
      <c r="A14" s="33"/>
      <c r="B14" s="67" t="str">
        <f>Carteira!C13</f>
        <v/>
      </c>
      <c r="C14" s="67" t="str">
        <f>Carteira!E13</f>
        <v/>
      </c>
      <c r="E14" s="65" t="str">
        <f>Carteira!O13</f>
        <v/>
      </c>
      <c r="F14" s="65" t="str">
        <f>IF(E14="","",IF(C14=0,0,IF(E14="Renda Fixa",VLOOKUP(Calculo_Indice_Sharpe!C14,'Dados dos fundos'!$C$224:$F$400,4,FALSE),VLOOKUP(Calculo_Indice_Sharpe!C14,'Dados dos fundos'!$C$224:$D$361,5,FALSE))))</f>
        <v/>
      </c>
      <c r="G14" s="1" t="str">
        <f t="shared" si="0"/>
        <v/>
      </c>
      <c r="H14" s="63" t="str">
        <f>IF(C14="","",IF(C14=0,0,VLOOKUP(C14,'Dados dos fundos'!$C$224:$D$400,2,FALSE)))</f>
        <v/>
      </c>
    </row>
    <row r="15" spans="1:10" x14ac:dyDescent="0.3">
      <c r="A15" s="33"/>
      <c r="B15" s="67" t="str">
        <f>Carteira!C14</f>
        <v/>
      </c>
      <c r="C15" s="67" t="str">
        <f>Carteira!E14</f>
        <v/>
      </c>
      <c r="E15" s="65" t="str">
        <f>Carteira!O14</f>
        <v/>
      </c>
      <c r="F15" s="65" t="str">
        <f>IF(E15="","",IF(C15=0,0,IF(E15="Renda Fixa",VLOOKUP(Calculo_Indice_Sharpe!C15,'Dados dos fundos'!$C$224:$F$400,4,FALSE),VLOOKUP(Calculo_Indice_Sharpe!C15,'Dados dos fundos'!$C$224:$D$361,5,FALSE))))</f>
        <v/>
      </c>
      <c r="G15" s="1" t="str">
        <f t="shared" si="0"/>
        <v/>
      </c>
      <c r="H15" s="63" t="str">
        <f>IF(C15="","",IF(C15=0,0,VLOOKUP(C15,'Dados dos fundos'!$C$224:$D$400,2,FALSE)))</f>
        <v/>
      </c>
    </row>
    <row r="16" spans="1:10" x14ac:dyDescent="0.3">
      <c r="A16" s="33"/>
      <c r="B16" s="67" t="str">
        <f>Carteira!C15</f>
        <v/>
      </c>
      <c r="C16" s="67" t="str">
        <f>Carteira!E15</f>
        <v/>
      </c>
      <c r="E16" s="65" t="str">
        <f>Carteira!O15</f>
        <v/>
      </c>
      <c r="F16" s="65" t="str">
        <f>IF(E16="","",IF(C16=0,0,IF(E16="Renda Fixa",VLOOKUP(Calculo_Indice_Sharpe!C16,'Dados dos fundos'!$C$224:$F$400,4,FALSE),VLOOKUP(Calculo_Indice_Sharpe!C16,'Dados dos fundos'!$C$224:$D$361,5,FALSE))))</f>
        <v/>
      </c>
      <c r="G16" s="1" t="str">
        <f t="shared" si="0"/>
        <v/>
      </c>
      <c r="H16" s="63" t="str">
        <f>IF(C16="","",IF(C16=0,0,VLOOKUP(C16,'Dados dos fundos'!$C$224:$D$400,2,FALSE)))</f>
        <v/>
      </c>
    </row>
    <row r="17" spans="1:8" x14ac:dyDescent="0.3">
      <c r="A17" s="33"/>
      <c r="B17" s="67" t="str">
        <f>Carteira!C16</f>
        <v/>
      </c>
      <c r="C17" s="67" t="str">
        <f>Carteira!E16</f>
        <v/>
      </c>
      <c r="E17" s="65" t="str">
        <f>Carteira!O16</f>
        <v/>
      </c>
      <c r="F17" s="65" t="str">
        <f>IF(E17="","",IF(C17=0,0,IF(E17="Renda Fixa",VLOOKUP(Calculo_Indice_Sharpe!C17,'Dados dos fundos'!$C$224:$F$400,4,FALSE),VLOOKUP(Calculo_Indice_Sharpe!C17,'Dados dos fundos'!$C$224:$D$361,5,FALSE))))</f>
        <v/>
      </c>
      <c r="G17" s="1" t="str">
        <f t="shared" si="0"/>
        <v/>
      </c>
      <c r="H17" s="63" t="str">
        <f>IF(C17="","",IF(C17=0,0,VLOOKUP(C17,'Dados dos fundos'!$C$224:$D$400,2,FALSE)))</f>
        <v/>
      </c>
    </row>
    <row r="18" spans="1:8" x14ac:dyDescent="0.3">
      <c r="A18" s="33"/>
      <c r="B18" s="67" t="str">
        <f>Carteira!C17</f>
        <v/>
      </c>
      <c r="C18" s="67" t="str">
        <f>Carteira!E17</f>
        <v/>
      </c>
      <c r="E18" s="65" t="str">
        <f>Carteira!O17</f>
        <v/>
      </c>
      <c r="F18" s="65" t="str">
        <f>IF(E18="","",IF(C18=0,0,IF(E18="Renda Fixa",VLOOKUP(Calculo_Indice_Sharpe!C18,'Dados dos fundos'!$C$224:$F$400,4,FALSE),VLOOKUP(Calculo_Indice_Sharpe!C18,'Dados dos fundos'!$C$224:$D$361,5,FALSE))))</f>
        <v/>
      </c>
      <c r="G18" s="1" t="str">
        <f t="shared" si="0"/>
        <v/>
      </c>
      <c r="H18" s="63" t="str">
        <f>IF(C18="","",IF(C18=0,0,VLOOKUP(C18,'Dados dos fundos'!$C$224:$D$400,2,FALSE)))</f>
        <v/>
      </c>
    </row>
    <row r="19" spans="1:8" x14ac:dyDescent="0.3">
      <c r="A19" s="33"/>
      <c r="B19" s="67" t="str">
        <f>Carteira!C18</f>
        <v/>
      </c>
      <c r="C19" s="67" t="str">
        <f>Carteira!E18</f>
        <v/>
      </c>
      <c r="E19" s="65" t="str">
        <f>Carteira!O18</f>
        <v/>
      </c>
      <c r="F19" s="65" t="str">
        <f>IF(E19="","",IF(C19=0,0,IF(E19="Renda Fixa",VLOOKUP(Calculo_Indice_Sharpe!C19,'Dados dos fundos'!$C$224:$F$400,4,FALSE),VLOOKUP(Calculo_Indice_Sharpe!C19,'Dados dos fundos'!$C$224:$D$361,5,FALSE))))</f>
        <v/>
      </c>
      <c r="G19" s="1" t="str">
        <f t="shared" si="0"/>
        <v/>
      </c>
      <c r="H19" s="63" t="str">
        <f>IF(C19="","",IF(C19=0,0,VLOOKUP(C19,'Dados dos fundos'!$C$224:$D$400,2,FALSE)))</f>
        <v/>
      </c>
    </row>
    <row r="20" spans="1:8" x14ac:dyDescent="0.3">
      <c r="A20" s="33"/>
      <c r="B20" s="67" t="str">
        <f>Carteira!C19</f>
        <v/>
      </c>
      <c r="C20" s="67" t="str">
        <f>Carteira!E19</f>
        <v/>
      </c>
      <c r="E20" s="65" t="str">
        <f>Carteira!O19</f>
        <v/>
      </c>
      <c r="F20" s="65" t="str">
        <f>IF(E20="","",IF(C20=0,0,IF(E20="Renda Fixa",VLOOKUP(Calculo_Indice_Sharpe!C20,'Dados dos fundos'!$C$224:$F$400,4,FALSE),VLOOKUP(Calculo_Indice_Sharpe!C20,'Dados dos fundos'!$C$224:$D$361,5,FALSE))))</f>
        <v/>
      </c>
      <c r="G20" s="1" t="str">
        <f t="shared" si="0"/>
        <v/>
      </c>
      <c r="H20" s="63" t="str">
        <f>IF(C20="","",IF(C20=0,0,VLOOKUP(C20,'Dados dos fundos'!$C$224:$D$400,2,FALSE)))</f>
        <v/>
      </c>
    </row>
    <row r="21" spans="1:8" x14ac:dyDescent="0.3">
      <c r="A21" s="33"/>
      <c r="B21" s="67" t="str">
        <f>Carteira!C20</f>
        <v/>
      </c>
      <c r="C21" s="67" t="str">
        <f>Carteira!E20</f>
        <v/>
      </c>
      <c r="E21" s="65" t="str">
        <f>Carteira!O20</f>
        <v/>
      </c>
      <c r="F21" s="65" t="str">
        <f>IF(E21="","",IF(C21=0,0,IF(E21="Renda Fixa",VLOOKUP(Calculo_Indice_Sharpe!C21,'Dados dos fundos'!$C$224:$F$400,4,FALSE),VLOOKUP(Calculo_Indice_Sharpe!C21,'Dados dos fundos'!$C$224:$D$361,5,FALSE))))</f>
        <v/>
      </c>
      <c r="G21" s="1" t="str">
        <f t="shared" si="0"/>
        <v/>
      </c>
      <c r="H21" s="63" t="str">
        <f>IF(C21="","",IF(C21=0,0,VLOOKUP(C21,'Dados dos fundos'!$C$224:$D$400,2,FALSE)))</f>
        <v/>
      </c>
    </row>
    <row r="22" spans="1:8" x14ac:dyDescent="0.3">
      <c r="A22" s="33"/>
      <c r="B22" s="67" t="str">
        <f>Carteira!C21</f>
        <v/>
      </c>
      <c r="C22" s="67" t="str">
        <f>Carteira!E21</f>
        <v/>
      </c>
      <c r="E22" s="65" t="str">
        <f>Carteira!O21</f>
        <v/>
      </c>
      <c r="F22" s="65" t="str">
        <f>IF(E22="","",IF(C22=0,0,IF(E22="Renda Fixa",VLOOKUP(Calculo_Indice_Sharpe!C22,'Dados dos fundos'!$C$224:$F$400,4,FALSE),VLOOKUP(Calculo_Indice_Sharpe!C22,'Dados dos fundos'!$C$224:$D$361,5,FALSE))))</f>
        <v/>
      </c>
      <c r="G22" s="1" t="str">
        <f t="shared" si="0"/>
        <v/>
      </c>
      <c r="H22" s="63" t="str">
        <f>IF(C22="","",IF(C22=0,0,VLOOKUP(C22,'Dados dos fundos'!$C$224:$D$400,2,FALSE)))</f>
        <v/>
      </c>
    </row>
    <row r="23" spans="1:8" x14ac:dyDescent="0.3">
      <c r="A23" s="33"/>
      <c r="B23" s="67" t="str">
        <f>Carteira!C22</f>
        <v/>
      </c>
      <c r="C23" s="67" t="str">
        <f>Carteira!E22</f>
        <v/>
      </c>
      <c r="E23" s="65" t="str">
        <f>Carteira!O22</f>
        <v/>
      </c>
      <c r="F23" s="65" t="str">
        <f>IF(E23="","",IF(C23=0,0,IF(E23="Renda Fixa",VLOOKUP(Calculo_Indice_Sharpe!C23,'Dados dos fundos'!$C$224:$F$400,4,FALSE),VLOOKUP(Calculo_Indice_Sharpe!C23,'Dados dos fundos'!$C$224:$D$361,5,FALSE))))</f>
        <v/>
      </c>
      <c r="G23" s="1" t="str">
        <f t="shared" si="0"/>
        <v/>
      </c>
      <c r="H23" s="63" t="str">
        <f>IF(C23="","",IF(C23=0,0,VLOOKUP(C23,'Dados dos fundos'!$C$224:$D$400,2,FALSE)))</f>
        <v/>
      </c>
    </row>
    <row r="24" spans="1:8" x14ac:dyDescent="0.3">
      <c r="A24" s="33"/>
      <c r="B24" s="67" t="str">
        <f>Carteira!C23</f>
        <v/>
      </c>
      <c r="C24" s="67" t="str">
        <f>Carteira!E23</f>
        <v/>
      </c>
      <c r="E24" s="65" t="str">
        <f>Carteira!O23</f>
        <v/>
      </c>
      <c r="F24" s="65" t="str">
        <f>IF(E24="","",IF(C24=0,0,IF(E24="Renda Fixa",VLOOKUP(Calculo_Indice_Sharpe!C24,'Dados dos fundos'!$C$224:$F$400,4,FALSE),VLOOKUP(Calculo_Indice_Sharpe!C24,'Dados dos fundos'!$C$224:$D$361,5,FALSE))))</f>
        <v/>
      </c>
      <c r="G24" s="1" t="str">
        <f t="shared" si="0"/>
        <v/>
      </c>
      <c r="H24" s="63" t="str">
        <f>IF(C24="","",IF(C24=0,0,VLOOKUP(C24,'Dados dos fundos'!$C$224:$D$400,2,FALSE)))</f>
        <v/>
      </c>
    </row>
    <row r="25" spans="1:8" x14ac:dyDescent="0.3">
      <c r="A25" s="33"/>
      <c r="B25" s="67" t="str">
        <f>Carteira!C24</f>
        <v/>
      </c>
      <c r="C25" s="67" t="str">
        <f>Carteira!E24</f>
        <v/>
      </c>
      <c r="E25" s="65" t="str">
        <f>Carteira!O24</f>
        <v/>
      </c>
      <c r="F25" s="65" t="str">
        <f>IF(E25="","",IF(C25=0,0,IF(E25="Renda Fixa",VLOOKUP(Calculo_Indice_Sharpe!C25,'Dados dos fundos'!$C$224:$F$400,4,FALSE),VLOOKUP(Calculo_Indice_Sharpe!C25,'Dados dos fundos'!$C$224:$D$361,5,FALSE))))</f>
        <v/>
      </c>
      <c r="G25" s="1" t="str">
        <f t="shared" si="0"/>
        <v/>
      </c>
      <c r="H25" s="63" t="str">
        <f>IF(C25="","",IF(C25=0,0,VLOOKUP(C25,'Dados dos fundos'!$C$224:$D$400,2,FALSE)))</f>
        <v/>
      </c>
    </row>
    <row r="26" spans="1:8" x14ac:dyDescent="0.3">
      <c r="A26" s="33"/>
      <c r="B26" s="67" t="str">
        <f>Carteira!C25</f>
        <v/>
      </c>
      <c r="C26" s="67" t="str">
        <f>Carteira!E25</f>
        <v/>
      </c>
      <c r="E26" s="65" t="str">
        <f>Carteira!O25</f>
        <v/>
      </c>
      <c r="F26" s="65" t="str">
        <f>IF(E26="","",IF(C26=0,0,IF(E26="Renda Fixa",VLOOKUP(Calculo_Indice_Sharpe!C26,'Dados dos fundos'!$C$224:$F$400,4,FALSE),VLOOKUP(Calculo_Indice_Sharpe!C26,'Dados dos fundos'!$C$224:$D$361,5,FALSE))))</f>
        <v/>
      </c>
      <c r="G26" s="1" t="str">
        <f t="shared" si="0"/>
        <v/>
      </c>
      <c r="H26" s="63" t="str">
        <f>IF(C26="","",IF(C26=0,0,VLOOKUP(C26,'Dados dos fundos'!$C$224:$D$400,2,FALSE)))</f>
        <v/>
      </c>
    </row>
    <row r="27" spans="1:8" x14ac:dyDescent="0.3">
      <c r="A27" s="33"/>
      <c r="B27" s="67" t="str">
        <f>Carteira!C26</f>
        <v/>
      </c>
      <c r="C27" s="67" t="str">
        <f>Carteira!E26</f>
        <v/>
      </c>
      <c r="E27" s="65" t="str">
        <f>Carteira!O26</f>
        <v/>
      </c>
      <c r="F27" s="65" t="str">
        <f>IF(E27="","",IF(C27=0,0,IF(E27="Renda Fixa",VLOOKUP(Calculo_Indice_Sharpe!C27,'Dados dos fundos'!$C$224:$F$400,4,FALSE),VLOOKUP(Calculo_Indice_Sharpe!C27,'Dados dos fundos'!$C$224:$D$361,5,FALSE))))</f>
        <v/>
      </c>
      <c r="G27" s="1" t="str">
        <f t="shared" si="0"/>
        <v/>
      </c>
      <c r="H27" s="63" t="str">
        <f>IF(C27="","",IF(C27=0,0,VLOOKUP(C27,'Dados dos fundos'!$C$224:$D$400,2,FALSE)))</f>
        <v/>
      </c>
    </row>
    <row r="28" spans="1:8" x14ac:dyDescent="0.3">
      <c r="A28" s="33"/>
      <c r="B28" s="67" t="str">
        <f>Carteira!C27</f>
        <v/>
      </c>
      <c r="C28" s="67" t="str">
        <f>Carteira!E27</f>
        <v/>
      </c>
      <c r="E28" s="65" t="str">
        <f>Carteira!O27</f>
        <v/>
      </c>
      <c r="F28" s="65" t="str">
        <f>IF(E28="","",IF(C28=0,0,IF(E28="Renda Fixa",VLOOKUP(Calculo_Indice_Sharpe!C28,'Dados dos fundos'!$C$224:$F$400,4,FALSE),VLOOKUP(Calculo_Indice_Sharpe!C28,'Dados dos fundos'!$C$224:$D$361,5,FALSE))))</f>
        <v/>
      </c>
      <c r="G28" s="1" t="str">
        <f t="shared" si="0"/>
        <v/>
      </c>
      <c r="H28" s="63" t="str">
        <f>IF(C28="","",IF(C28=0,0,VLOOKUP(C28,'Dados dos fundos'!$C$224:$D$400,2,FALSE)))</f>
        <v/>
      </c>
    </row>
    <row r="29" spans="1:8" x14ac:dyDescent="0.3">
      <c r="A29" s="33"/>
      <c r="B29" s="67" t="str">
        <f>Carteira!C28</f>
        <v/>
      </c>
      <c r="C29" s="67" t="str">
        <f>Carteira!E28</f>
        <v/>
      </c>
      <c r="E29" s="65" t="str">
        <f>Carteira!O28</f>
        <v/>
      </c>
      <c r="F29" s="65" t="str">
        <f>IF(E29="","",IF(C29=0,0,IF(E29="Renda Fixa",VLOOKUP(Calculo_Indice_Sharpe!C29,'Dados dos fundos'!$C$224:$F$400,4,FALSE),VLOOKUP(Calculo_Indice_Sharpe!C29,'Dados dos fundos'!$C$224:$D$361,5,FALSE))))</f>
        <v/>
      </c>
      <c r="G29" s="1" t="str">
        <f t="shared" si="0"/>
        <v/>
      </c>
      <c r="H29" s="63" t="str">
        <f>IF(C29="","",IF(C29=0,0,VLOOKUP(C29,'Dados dos fundos'!$C$224:$D$400,2,FALSE)))</f>
        <v/>
      </c>
    </row>
    <row r="30" spans="1:8" x14ac:dyDescent="0.3">
      <c r="A30" s="33"/>
      <c r="B30" s="67" t="str">
        <f>Carteira!C29</f>
        <v/>
      </c>
      <c r="C30" s="67" t="str">
        <f>Carteira!E29</f>
        <v/>
      </c>
      <c r="E30" s="65" t="str">
        <f>Carteira!O29</f>
        <v/>
      </c>
      <c r="F30" s="65" t="str">
        <f>IF(E30="","",IF(C30=0,0,IF(E30="Renda Fixa",VLOOKUP(Calculo_Indice_Sharpe!C30,'Dados dos fundos'!$C$224:$F$400,4,FALSE),VLOOKUP(Calculo_Indice_Sharpe!C30,'Dados dos fundos'!$C$224:$D$361,5,FALSE))))</f>
        <v/>
      </c>
      <c r="G30" s="1" t="str">
        <f t="shared" si="0"/>
        <v/>
      </c>
      <c r="H30" s="63" t="str">
        <f>IF(C30="","",IF(C30=0,0,VLOOKUP(C30,'Dados dos fundos'!$C$224:$D$400,2,FALSE)))</f>
        <v/>
      </c>
    </row>
    <row r="31" spans="1:8" x14ac:dyDescent="0.3">
      <c r="A31" s="33"/>
      <c r="B31" s="67" t="str">
        <f>Carteira!C30</f>
        <v/>
      </c>
      <c r="C31" s="67" t="str">
        <f>Carteira!E30</f>
        <v/>
      </c>
      <c r="E31" s="65" t="str">
        <f>Carteira!O30</f>
        <v/>
      </c>
      <c r="F31" s="65" t="str">
        <f>IF(E31="","",IF(C31=0,0,IF(E31="Renda Fixa",VLOOKUP(Calculo_Indice_Sharpe!C31,'Dados dos fundos'!$C$224:$F$400,4,FALSE),VLOOKUP(Calculo_Indice_Sharpe!C31,'Dados dos fundos'!$C$224:$D$361,5,FALSE))))</f>
        <v/>
      </c>
      <c r="G31" s="1" t="str">
        <f t="shared" si="0"/>
        <v/>
      </c>
      <c r="H31" s="63" t="str">
        <f>IF(C31="","",IF(C31=0,0,VLOOKUP(C31,'Dados dos fundos'!$C$224:$D$400,2,FALSE)))</f>
        <v/>
      </c>
    </row>
    <row r="32" spans="1:8" x14ac:dyDescent="0.3">
      <c r="A32" s="33" t="str">
        <f>IF(C32="","",VLOOKUP(C32,#REF!,3,FALSE))</f>
        <v/>
      </c>
      <c r="B32" s="67" t="str">
        <f>Carteira!C31</f>
        <v/>
      </c>
      <c r="C32" s="67" t="str">
        <f>Carteira!E31</f>
        <v/>
      </c>
      <c r="E32" s="65" t="str">
        <f>Carteira!O31</f>
        <v/>
      </c>
      <c r="F32" s="65" t="str">
        <f>IF(E32="","",IF(C32=0,0,IF(E32="Renda Fixa",VLOOKUP(Calculo_Indice_Sharpe!C32,'Dados dos fundos'!$C$224:$F$400,4,FALSE),VLOOKUP(Calculo_Indice_Sharpe!C32,'Dados dos fundos'!$C$224:$D$361,5,FALSE))))</f>
        <v/>
      </c>
      <c r="G32" s="1" t="str">
        <f t="shared" si="0"/>
        <v/>
      </c>
      <c r="H32" s="63" t="str">
        <f>IF(C32="","",IF(C32=0,0,VLOOKUP(C32,'Dados dos fundos'!$C$224:$D$400,2,FALSE)))</f>
        <v/>
      </c>
    </row>
    <row r="33" spans="1:8" x14ac:dyDescent="0.3">
      <c r="A33" s="33" t="str">
        <f>IF(C33="","",VLOOKUP(C33,#REF!,3,FALSE))</f>
        <v/>
      </c>
      <c r="B33" s="67" t="str">
        <f>Carteira!C32</f>
        <v/>
      </c>
      <c r="C33" s="67" t="str">
        <f>Carteira!E32</f>
        <v/>
      </c>
      <c r="E33" s="65" t="str">
        <f>Carteira!O32</f>
        <v/>
      </c>
      <c r="F33" s="65" t="str">
        <f>IF(E33="","",IF(C33=0,0,IF(E33="Renda Fixa",VLOOKUP(Calculo_Indice_Sharpe!C33,'Dados dos fundos'!$C$224:$F$400,4,FALSE),VLOOKUP(Calculo_Indice_Sharpe!C33,'Dados dos fundos'!$C$224:$D$361,5,FALSE))))</f>
        <v/>
      </c>
      <c r="G33" s="1" t="str">
        <f t="shared" si="0"/>
        <v/>
      </c>
      <c r="H33" s="63" t="str">
        <f>IF(C33="","",IF(C33=0,0,VLOOKUP(C33,'Dados dos fundos'!$C$224:$D$400,2,FALSE)))</f>
        <v/>
      </c>
    </row>
    <row r="34" spans="1:8" x14ac:dyDescent="0.3">
      <c r="A34" s="33" t="str">
        <f>IF(C34="","",VLOOKUP(C34,#REF!,3,FALSE))</f>
        <v/>
      </c>
      <c r="B34" s="67" t="str">
        <f>Carteira!C33</f>
        <v/>
      </c>
      <c r="C34" s="67" t="str">
        <f>Carteira!E33</f>
        <v/>
      </c>
      <c r="E34" s="65" t="str">
        <f>Carteira!O33</f>
        <v/>
      </c>
      <c r="F34" s="65" t="str">
        <f>IF(E34="","",IF(C34=0,0,IF(E34="Renda Fixa",VLOOKUP(Calculo_Indice_Sharpe!C34,'Dados dos fundos'!$C$224:$F$400,4,FALSE),VLOOKUP(Calculo_Indice_Sharpe!C34,'Dados dos fundos'!$C$224:$D$361,5,FALSE))))</f>
        <v/>
      </c>
      <c r="G34" s="1" t="str">
        <f t="shared" si="0"/>
        <v/>
      </c>
      <c r="H34" s="63" t="str">
        <f>IF(C34="","",IF(C34=0,0,VLOOKUP(C34,'Dados dos fundos'!$C$224:$D$400,2,FALSE)))</f>
        <v/>
      </c>
    </row>
    <row r="35" spans="1:8" x14ac:dyDescent="0.3">
      <c r="A35" s="33" t="str">
        <f>IF(C35="","",VLOOKUP(C35,#REF!,3,FALSE))</f>
        <v/>
      </c>
      <c r="B35" s="67" t="str">
        <f>Carteira!C34</f>
        <v/>
      </c>
      <c r="C35" s="67" t="str">
        <f>Carteira!E34</f>
        <v/>
      </c>
      <c r="E35" s="65" t="str">
        <f>Carteira!O34</f>
        <v/>
      </c>
      <c r="F35" s="65" t="str">
        <f>IF(E35="","",IF(C35=0,0,IF(E35="Renda Fixa",VLOOKUP(Calculo_Indice_Sharpe!C35,'Dados dos fundos'!$C$224:$F$400,4,FALSE),VLOOKUP(Calculo_Indice_Sharpe!C35,'Dados dos fundos'!$C$224:$D$361,5,FALSE))))</f>
        <v/>
      </c>
      <c r="G35" s="1" t="str">
        <f t="shared" si="0"/>
        <v/>
      </c>
      <c r="H35" s="63" t="str">
        <f>IF(C35="","",IF(C35=0,0,VLOOKUP(C35,'Dados dos fundos'!$C$224:$D$400,2,FALSE)))</f>
        <v/>
      </c>
    </row>
    <row r="36" spans="1:8" x14ac:dyDescent="0.3">
      <c r="A36" s="33" t="str">
        <f>IF(C36="","",VLOOKUP(C36,#REF!,3,FALSE))</f>
        <v/>
      </c>
      <c r="B36" s="67" t="str">
        <f>Carteira!C35</f>
        <v/>
      </c>
      <c r="C36" s="67" t="str">
        <f>Carteira!E35</f>
        <v/>
      </c>
      <c r="E36" s="65" t="str">
        <f>Carteira!O35</f>
        <v/>
      </c>
      <c r="F36" s="65" t="str">
        <f>IF(E36="","",IF(C36=0,0,IF(E36="Renda Fixa",VLOOKUP(Calculo_Indice_Sharpe!C36,'Dados dos fundos'!$C$224:$F$400,4,FALSE),VLOOKUP(Calculo_Indice_Sharpe!C36,'Dados dos fundos'!$C$224:$D$361,5,FALSE))))</f>
        <v/>
      </c>
      <c r="G36" s="1" t="str">
        <f t="shared" si="0"/>
        <v/>
      </c>
      <c r="H36" s="63" t="str">
        <f>IF(C36="","",IF(C36=0,0,VLOOKUP(C36,'Dados dos fundos'!$C$224:$D$400,2,FALSE)))</f>
        <v/>
      </c>
    </row>
    <row r="37" spans="1:8" x14ac:dyDescent="0.3">
      <c r="A37" s="33" t="str">
        <f>IF(C37="","",VLOOKUP(C37,#REF!,3,FALSE))</f>
        <v/>
      </c>
      <c r="B37" s="67" t="str">
        <f>Carteira!C36</f>
        <v/>
      </c>
      <c r="C37" s="67" t="str">
        <f>Carteira!E36</f>
        <v/>
      </c>
      <c r="E37" s="65" t="str">
        <f>Carteira!O36</f>
        <v/>
      </c>
      <c r="F37" s="65" t="str">
        <f>IF(E37="","",IF(C37=0,0,IF(E37="Renda Fixa",VLOOKUP(Calculo_Indice_Sharpe!C37,'Dados dos fundos'!$C$224:$F$400,4,FALSE),VLOOKUP(Calculo_Indice_Sharpe!C37,'Dados dos fundos'!$C$224:$D$361,5,FALSE))))</f>
        <v/>
      </c>
      <c r="G37" s="1" t="str">
        <f t="shared" si="0"/>
        <v/>
      </c>
      <c r="H37" s="63" t="str">
        <f>IF(C37="","",IF(C37=0,0,VLOOKUP(C37,'Dados dos fundos'!$C$224:$D$400,2,FALSE)))</f>
        <v/>
      </c>
    </row>
    <row r="38" spans="1:8" x14ac:dyDescent="0.3">
      <c r="A38" s="33" t="str">
        <f>IF(C38="","",VLOOKUP(C38,#REF!,3,FALSE))</f>
        <v/>
      </c>
      <c r="B38" s="67" t="str">
        <f>Carteira!C37</f>
        <v/>
      </c>
      <c r="C38" s="67" t="str">
        <f>Carteira!E37</f>
        <v/>
      </c>
      <c r="E38" s="65" t="str">
        <f>Carteira!O37</f>
        <v/>
      </c>
      <c r="F38" s="65" t="str">
        <f>IF(E38="","",IF(C38=0,0,IF(E38="Renda Fixa",VLOOKUP(Calculo_Indice_Sharpe!C38,'Dados dos fundos'!$C$224:$F$400,4,FALSE),VLOOKUP(Calculo_Indice_Sharpe!C38,'Dados dos fundos'!$C$224:$D$361,5,FALSE))))</f>
        <v/>
      </c>
      <c r="G38" s="1" t="str">
        <f t="shared" si="0"/>
        <v/>
      </c>
      <c r="H38" s="63" t="str">
        <f>IF(C38="","",IF(C38=0,0,VLOOKUP(C38,'Dados dos fundos'!$C$224:$D$400,2,FALSE)))</f>
        <v/>
      </c>
    </row>
    <row r="39" spans="1:8" x14ac:dyDescent="0.3">
      <c r="A39" s="33" t="str">
        <f>IF(C39="","",VLOOKUP(C39,#REF!,3,FALSE))</f>
        <v/>
      </c>
      <c r="B39" s="67" t="str">
        <f>Carteira!C38</f>
        <v/>
      </c>
      <c r="C39" s="67" t="str">
        <f>Carteira!E38</f>
        <v/>
      </c>
      <c r="E39" s="65" t="str">
        <f>Carteira!O38</f>
        <v/>
      </c>
      <c r="F39" s="65" t="str">
        <f>IF(E39="","",IF(C39=0,0,IF(E39="Renda Fixa",VLOOKUP(Calculo_Indice_Sharpe!C39,'Dados dos fundos'!$C$224:$F$400,4,FALSE),VLOOKUP(Calculo_Indice_Sharpe!C39,'Dados dos fundos'!$C$224:$D$361,5,FALSE))))</f>
        <v/>
      </c>
      <c r="G39" s="1" t="str">
        <f t="shared" si="0"/>
        <v/>
      </c>
      <c r="H39" s="63" t="str">
        <f>IF(C39="","",IF(C39=0,0,VLOOKUP(C39,'Dados dos fundos'!$C$224:$D$400,2,FALSE)))</f>
        <v/>
      </c>
    </row>
    <row r="40" spans="1:8" x14ac:dyDescent="0.3">
      <c r="A40" s="33" t="str">
        <f>IF(C40="","",VLOOKUP(C40,#REF!,3,FALSE))</f>
        <v/>
      </c>
      <c r="B40" s="67" t="str">
        <f>Carteira!C39</f>
        <v/>
      </c>
      <c r="C40" s="67" t="str">
        <f>Carteira!E39</f>
        <v/>
      </c>
      <c r="E40" s="65" t="str">
        <f>Carteira!O39</f>
        <v/>
      </c>
      <c r="F40" s="65" t="str">
        <f>IF(E40="","",IF(C40=0,0,IF(E40="Renda Fixa",VLOOKUP(Calculo_Indice_Sharpe!C40,'Dados dos fundos'!$C$224:$F$400,4,FALSE),VLOOKUP(Calculo_Indice_Sharpe!C40,'Dados dos fundos'!$C$224:$D$361,5,FALSE))))</f>
        <v/>
      </c>
      <c r="G40" s="1" t="str">
        <f t="shared" si="0"/>
        <v/>
      </c>
      <c r="H40" s="63" t="str">
        <f>IF(C40="","",IF(C40=0,0,VLOOKUP(C40,'Dados dos fundos'!$C$224:$D$400,2,FALSE)))</f>
        <v/>
      </c>
    </row>
    <row r="41" spans="1:8" x14ac:dyDescent="0.3">
      <c r="A41" s="33" t="str">
        <f>IF(C41="","",VLOOKUP(C41,#REF!,3,FALSE))</f>
        <v/>
      </c>
      <c r="B41" s="67" t="str">
        <f>Carteira!C40</f>
        <v/>
      </c>
      <c r="C41" s="67" t="str">
        <f>Carteira!E40</f>
        <v/>
      </c>
      <c r="E41" s="65" t="str">
        <f>Carteira!O40</f>
        <v/>
      </c>
      <c r="F41" s="65" t="str">
        <f>IF(E41="","",IF(C41=0,0,IF(E41="Renda Fixa",VLOOKUP(Calculo_Indice_Sharpe!C41,'Dados dos fundos'!$C$224:$F$400,4,FALSE),VLOOKUP(Calculo_Indice_Sharpe!C41,'Dados dos fundos'!$C$224:$D$361,5,FALSE))))</f>
        <v/>
      </c>
      <c r="G41" s="1" t="str">
        <f t="shared" si="0"/>
        <v/>
      </c>
      <c r="H41" s="63" t="str">
        <f>IF(C41="","",IF(C41=0,0,VLOOKUP(C41,'Dados dos fundos'!$C$224:$D$400,2,FALSE)))</f>
        <v/>
      </c>
    </row>
    <row r="42" spans="1:8" x14ac:dyDescent="0.3">
      <c r="A42" s="33" t="str">
        <f>IF(C42="","",VLOOKUP(C42,#REF!,3,FALSE))</f>
        <v/>
      </c>
      <c r="B42" s="67" t="str">
        <f>Carteira!C41</f>
        <v/>
      </c>
      <c r="C42" s="67" t="str">
        <f>Carteira!E41</f>
        <v/>
      </c>
      <c r="E42" s="65" t="str">
        <f>Carteira!O41</f>
        <v/>
      </c>
      <c r="F42" s="65" t="str">
        <f>IF(E42="","",IF(C42=0,0,IF(E42="Renda Fixa",VLOOKUP(Calculo_Indice_Sharpe!C42,'Dados dos fundos'!$C$224:$F$400,4,FALSE),VLOOKUP(Calculo_Indice_Sharpe!C42,'Dados dos fundos'!$C$224:$D$361,5,FALSE))))</f>
        <v/>
      </c>
      <c r="G42" s="1" t="str">
        <f t="shared" si="0"/>
        <v/>
      </c>
      <c r="H42" s="63" t="str">
        <f>IF(C42="","",IF(C42=0,0,VLOOKUP(C42,'Dados dos fundos'!$C$224:$D$400,2,FALSE)))</f>
        <v/>
      </c>
    </row>
    <row r="43" spans="1:8" x14ac:dyDescent="0.3">
      <c r="A43" s="33" t="str">
        <f>IF(C43="","",VLOOKUP(C43,#REF!,3,FALSE))</f>
        <v/>
      </c>
      <c r="B43" s="67" t="str">
        <f>Carteira!C42</f>
        <v/>
      </c>
      <c r="C43" s="67" t="str">
        <f>Carteira!E42</f>
        <v/>
      </c>
      <c r="E43" s="65" t="str">
        <f>Carteira!O42</f>
        <v/>
      </c>
      <c r="F43" s="65" t="str">
        <f>IF(E43="","",IF(C43=0,0,IF(E43="Renda Fixa",VLOOKUP(Calculo_Indice_Sharpe!C43,'Dados dos fundos'!$C$224:$F$400,4,FALSE),VLOOKUP(Calculo_Indice_Sharpe!C43,'Dados dos fundos'!$C$224:$D$361,5,FALSE))))</f>
        <v/>
      </c>
      <c r="G43" s="1" t="str">
        <f t="shared" si="0"/>
        <v/>
      </c>
      <c r="H43" s="63" t="str">
        <f>IF(C43="","",IF(C43=0,0,VLOOKUP(C43,'Dados dos fundos'!$C$224:$D$400,2,FALSE)))</f>
        <v/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/>
  <dimension ref="A1:AD46"/>
  <sheetViews>
    <sheetView showGridLines="0" topLeftCell="S23" workbookViewId="0">
      <selection sqref="A1:AD43"/>
    </sheetView>
  </sheetViews>
  <sheetFormatPr defaultColWidth="9.140625" defaultRowHeight="15" x14ac:dyDescent="0.3"/>
  <cols>
    <col min="1" max="1" width="14.5703125" style="1" bestFit="1" customWidth="1"/>
    <col min="2" max="2" width="12.85546875" style="1" bestFit="1" customWidth="1"/>
    <col min="3" max="3" width="9.7109375" style="1" bestFit="1" customWidth="1"/>
    <col min="4" max="4" width="7.7109375" style="1" bestFit="1" customWidth="1"/>
    <col min="5" max="5" width="7.7109375" style="1" customWidth="1"/>
    <col min="6" max="7" width="10.28515625" style="1" bestFit="1" customWidth="1"/>
    <col min="8" max="8" width="9.28515625" style="1" bestFit="1" customWidth="1"/>
    <col min="9" max="9" width="5.85546875" style="1" bestFit="1" customWidth="1"/>
    <col min="10" max="10" width="7.85546875" style="1" bestFit="1" customWidth="1"/>
    <col min="11" max="11" width="9.140625" style="1"/>
    <col min="12" max="12" width="14.5703125" style="1" bestFit="1" customWidth="1"/>
    <col min="13" max="13" width="18.42578125" style="1" bestFit="1" customWidth="1"/>
    <col min="14" max="14" width="11.85546875" style="1" bestFit="1" customWidth="1"/>
    <col min="15" max="17" width="12" style="1" bestFit="1" customWidth="1"/>
    <col min="18" max="18" width="12.28515625" style="1" bestFit="1" customWidth="1"/>
    <col min="19" max="19" width="2" style="1" bestFit="1" customWidth="1"/>
    <col min="20" max="20" width="13.5703125" style="1" bestFit="1" customWidth="1"/>
    <col min="21" max="21" width="12.7109375" style="1" bestFit="1" customWidth="1"/>
    <col min="22" max="22" width="2" style="1" bestFit="1" customWidth="1"/>
    <col min="23" max="23" width="14.28515625" style="1" bestFit="1" customWidth="1"/>
    <col min="24" max="24" width="2" style="1" bestFit="1" customWidth="1"/>
    <col min="25" max="25" width="14.5703125" style="1" bestFit="1" customWidth="1"/>
    <col min="26" max="26" width="10" style="1" bestFit="1" customWidth="1"/>
    <col min="27" max="27" width="14.7109375" style="1" bestFit="1" customWidth="1"/>
    <col min="28" max="28" width="27.5703125" style="1" bestFit="1" customWidth="1"/>
    <col min="29" max="29" width="15.5703125" style="1" bestFit="1" customWidth="1"/>
    <col min="30" max="30" width="47.85546875" style="1" bestFit="1" customWidth="1"/>
    <col min="31" max="16384" width="9.140625" style="1"/>
  </cols>
  <sheetData>
    <row r="1" spans="1:30" x14ac:dyDescent="0.3">
      <c r="M1" s="1" t="s">
        <v>723</v>
      </c>
      <c r="N1" s="34">
        <f>F4</f>
        <v>8167736.2599999998</v>
      </c>
      <c r="Q1" s="60">
        <f>VaR_Calculo!F153</f>
        <v>3.4824751932046663E-3</v>
      </c>
      <c r="R1" s="34">
        <f>VaR_Calculo!G153</f>
        <v>28443.938910088258</v>
      </c>
    </row>
    <row r="2" spans="1:30" x14ac:dyDescent="0.3">
      <c r="C2" s="157"/>
      <c r="D2" s="157"/>
      <c r="E2" s="157"/>
      <c r="F2" s="157"/>
      <c r="G2" s="157"/>
      <c r="H2" s="157"/>
      <c r="I2" s="157"/>
      <c r="J2" s="157"/>
    </row>
    <row r="3" spans="1:30" x14ac:dyDescent="0.3">
      <c r="B3" s="158" t="s">
        <v>2</v>
      </c>
      <c r="C3" s="158" t="s">
        <v>3</v>
      </c>
      <c r="D3" s="158" t="s">
        <v>4</v>
      </c>
      <c r="E3" s="204" t="s">
        <v>806</v>
      </c>
      <c r="F3" s="158" t="s">
        <v>5</v>
      </c>
      <c r="G3" s="158" t="s">
        <v>544</v>
      </c>
      <c r="H3" s="158" t="s">
        <v>545</v>
      </c>
      <c r="I3" s="158" t="s">
        <v>569</v>
      </c>
      <c r="J3" s="158" t="s">
        <v>634</v>
      </c>
      <c r="L3" s="156" t="str">
        <f>Calculo_Indice_Sharpe!B3</f>
        <v>Nome do Fundo</v>
      </c>
      <c r="M3" s="156" t="str">
        <f>Calculo_Indice_Sharpe!C3</f>
        <v>CNPJ</v>
      </c>
      <c r="N3" s="156" t="s">
        <v>583</v>
      </c>
      <c r="O3" s="156" t="s">
        <v>973</v>
      </c>
      <c r="P3" s="156" t="s">
        <v>974</v>
      </c>
      <c r="Q3" s="156" t="s">
        <v>975</v>
      </c>
      <c r="R3" s="156" t="s">
        <v>976</v>
      </c>
      <c r="T3" s="156" t="str">
        <f>Calculo_Indice_Sharpe!E3</f>
        <v>Segmento</v>
      </c>
      <c r="U3" s="156" t="str">
        <f>Calculo_Indice_Sharpe!F3</f>
        <v>Sharpe</v>
      </c>
      <c r="W3" s="156" t="str">
        <f>Calculo_Indice_Sharpe!H3</f>
        <v>PL Fundo</v>
      </c>
      <c r="Y3" s="156" t="str">
        <f>enquadramento!B3</f>
        <v>Nome do Fundo</v>
      </c>
      <c r="Z3" s="156" t="str">
        <f>enquadramento!C3</f>
        <v>Valor Atual</v>
      </c>
      <c r="AA3" s="156" t="str">
        <f>enquadramento!D3</f>
        <v>% do PL do RPPS</v>
      </c>
      <c r="AB3" s="156" t="str">
        <f>enquadramento!E3</f>
        <v>Limite Resolução CVM 3922/10</v>
      </c>
      <c r="AC3" s="156" t="str">
        <f>enquadramento!F3</f>
        <v>% do PL do Fundo</v>
      </c>
      <c r="AD3" s="156" t="str">
        <f>enquadramento!G3</f>
        <v>Enquadramento</v>
      </c>
    </row>
    <row r="4" spans="1:30" x14ac:dyDescent="0.3">
      <c r="A4" s="158" t="s">
        <v>546</v>
      </c>
      <c r="B4" s="106">
        <f>Retorno!C4</f>
        <v>7955238.4399999995</v>
      </c>
      <c r="C4" s="106">
        <f>Retorno!D4</f>
        <v>5519280.0800000001</v>
      </c>
      <c r="D4" s="106">
        <f>Retorno!E4</f>
        <v>5519280.0800000001</v>
      </c>
      <c r="E4" s="106">
        <f>Retorno!F4</f>
        <v>0</v>
      </c>
      <c r="F4" s="106">
        <f>Retorno!G4</f>
        <v>8167736.2599999998</v>
      </c>
      <c r="G4" s="106">
        <f>Retorno!H4</f>
        <v>212497.8200000003</v>
      </c>
      <c r="H4" s="23">
        <f>Retorno!I4</f>
        <v>2.671168458402616E-2</v>
      </c>
      <c r="I4" s="23">
        <f>Retorno!J4</f>
        <v>9.2889677878305044E-3</v>
      </c>
      <c r="J4" s="23">
        <f>Retorno!K4</f>
        <v>2.8756353982647234</v>
      </c>
      <c r="L4" s="156" t="str">
        <f>Calculo_Indice_Sharpe!B4</f>
        <v>BB IRF-M</v>
      </c>
      <c r="M4" s="156" t="str">
        <f>Calculo_Indice_Sharpe!C4</f>
        <v>07.111.384/0001-69</v>
      </c>
      <c r="N4" s="106" t="str">
        <f>VaR_Calculo!C156</f>
        <v/>
      </c>
      <c r="O4" s="23">
        <f>VaR_Calculo!D156</f>
        <v>0</v>
      </c>
      <c r="P4" s="106">
        <f>VaR_Calculo!E156</f>
        <v>0</v>
      </c>
      <c r="Q4" s="23">
        <f>VaR_Calculo!F156</f>
        <v>0</v>
      </c>
      <c r="R4" s="106">
        <f>VaR_Calculo!G156</f>
        <v>0</v>
      </c>
      <c r="T4" s="156" t="str">
        <f>Calculo_Indice_Sharpe!E4</f>
        <v>Renda Fixa</v>
      </c>
      <c r="U4" s="156">
        <f>Calculo_Indice_Sharpe!F4</f>
        <v>5.6099999999999997E-2</v>
      </c>
      <c r="W4" s="106">
        <f>Calculo_Indice_Sharpe!H4</f>
        <v>1550396235.23</v>
      </c>
      <c r="Y4" s="156" t="str">
        <f>enquadramento!B4</f>
        <v>BB IRF-M</v>
      </c>
      <c r="Z4" s="106">
        <f>enquadramento!C4</f>
        <v>0</v>
      </c>
      <c r="AA4" s="23">
        <f>enquadramento!D4</f>
        <v>0</v>
      </c>
      <c r="AB4" s="32">
        <f>enquadramento!E4</f>
        <v>1</v>
      </c>
      <c r="AC4" s="23">
        <f>enquadramento!F4</f>
        <v>0</v>
      </c>
      <c r="AD4" s="156" t="str">
        <f>enquadramento!G4</f>
        <v>FI 100% títulos TN - Art. 7º, I, "b"</v>
      </c>
    </row>
    <row r="5" spans="1:30" x14ac:dyDescent="0.3">
      <c r="L5" s="156" t="str">
        <f>Calculo_Indice_Sharpe!B5</f>
        <v>BB Perfil</v>
      </c>
      <c r="M5" s="156" t="str">
        <f>Calculo_Indice_Sharpe!C5</f>
        <v>13.077.418/0001-49</v>
      </c>
      <c r="N5" s="106">
        <f>VaR_Calculo!C157</f>
        <v>368033.64</v>
      </c>
      <c r="O5" s="23">
        <f>VaR_Calculo!D157</f>
        <v>2.295148364817493E-6</v>
      </c>
      <c r="P5" s="106">
        <f>VaR_Calculo!E157</f>
        <v>18.746166521399545</v>
      </c>
      <c r="Q5" s="23">
        <f>VaR_Calculo!F157</f>
        <v>1.0517691112930283E-5</v>
      </c>
      <c r="R5" s="106">
        <f>VaR_Calculo!G157</f>
        <v>85.905727074560417</v>
      </c>
      <c r="T5" s="156" t="str">
        <f>Calculo_Indice_Sharpe!E5</f>
        <v>Renda Fixa</v>
      </c>
      <c r="U5" s="156">
        <f>Calculo_Indice_Sharpe!F5</f>
        <v>-0.1729</v>
      </c>
      <c r="W5" s="106">
        <f>Calculo_Indice_Sharpe!H5</f>
        <v>6495245017.6300001</v>
      </c>
      <c r="Y5" s="156" t="str">
        <f>enquadramento!B5</f>
        <v>BB Perfil</v>
      </c>
      <c r="Z5" s="106">
        <f>enquadramento!C5</f>
        <v>368033.64</v>
      </c>
      <c r="AA5" s="23">
        <f>enquadramento!D5</f>
        <v>4.5059442210735635E-2</v>
      </c>
      <c r="AB5" s="32">
        <f>enquadramento!E5</f>
        <v>0.2</v>
      </c>
      <c r="AC5" s="23">
        <f>enquadramento!F5</f>
        <v>5.6662010286147599E-5</v>
      </c>
      <c r="AD5" s="156" t="str">
        <f>enquadramento!G5</f>
        <v>FI de Renda Fixa - Art. 7º, IV</v>
      </c>
    </row>
    <row r="6" spans="1:30" x14ac:dyDescent="0.3">
      <c r="A6" s="159" t="s">
        <v>73</v>
      </c>
      <c r="B6" s="158" t="s">
        <v>2</v>
      </c>
      <c r="C6" s="158" t="s">
        <v>3</v>
      </c>
      <c r="D6" s="158" t="s">
        <v>4</v>
      </c>
      <c r="E6" s="204" t="s">
        <v>806</v>
      </c>
      <c r="F6" s="158" t="s">
        <v>5</v>
      </c>
      <c r="G6" s="158" t="s">
        <v>544</v>
      </c>
      <c r="H6" s="158" t="s">
        <v>545</v>
      </c>
      <c r="I6" s="158" t="s">
        <v>569</v>
      </c>
      <c r="J6" s="158" t="s">
        <v>634</v>
      </c>
      <c r="L6" s="156" t="str">
        <f>Calculo_Indice_Sharpe!B6</f>
        <v>BB IX TP</v>
      </c>
      <c r="M6" s="156" t="str">
        <f>Calculo_Indice_Sharpe!C6</f>
        <v>20.734.937/0001-06</v>
      </c>
      <c r="N6" s="106">
        <f>VaR_Calculo!C158</f>
        <v>535928.17000000004</v>
      </c>
      <c r="O6" s="23">
        <f>VaR_Calculo!D158</f>
        <v>8.3814416341363926E-5</v>
      </c>
      <c r="P6" s="106">
        <f>VaR_Calculo!E158</f>
        <v>684.57404746209465</v>
      </c>
      <c r="Q6" s="23">
        <f>VaR_Calculo!F158</f>
        <v>3.8408590721284385E-4</v>
      </c>
      <c r="R6" s="106">
        <f>VaR_Calculo!G158</f>
        <v>3137.1123912973403</v>
      </c>
      <c r="T6" s="156" t="str">
        <f>Calculo_Indice_Sharpe!E6</f>
        <v>Renda Fixa</v>
      </c>
      <c r="U6" s="156">
        <f>Calculo_Indice_Sharpe!F6</f>
        <v>-3.1600000000000003E-2</v>
      </c>
      <c r="W6" s="106">
        <f>Calculo_Indice_Sharpe!H6</f>
        <v>2254122552.9899998</v>
      </c>
      <c r="Y6" s="156" t="str">
        <f>enquadramento!B6</f>
        <v>BB IX TP</v>
      </c>
      <c r="Z6" s="106">
        <f>enquadramento!C6</f>
        <v>535928.17000000004</v>
      </c>
      <c r="AA6" s="23">
        <f>enquadramento!D6</f>
        <v>6.561526387973747E-2</v>
      </c>
      <c r="AB6" s="32">
        <f>enquadramento!E6</f>
        <v>1</v>
      </c>
      <c r="AC6" s="23">
        <f>enquadramento!F6</f>
        <v>2.3775467278348004E-4</v>
      </c>
      <c r="AD6" s="156" t="str">
        <f>enquadramento!G6</f>
        <v>FI 100% títulos TN - Art. 7º, I, "b"</v>
      </c>
    </row>
    <row r="7" spans="1:30" x14ac:dyDescent="0.3">
      <c r="A7" s="156" t="str">
        <f>IF(Retorno!$B7="","",Retorno!B7)</f>
        <v>BB IRF-M</v>
      </c>
      <c r="B7" s="106">
        <f>IF(Retorno!$B7="","",Retorno!C7)</f>
        <v>3282733.81</v>
      </c>
      <c r="C7" s="106">
        <f>IF(Retorno!$B7="","",Retorno!D7)</f>
        <v>0</v>
      </c>
      <c r="D7" s="106">
        <f>IF(Retorno!$B7="","",Retorno!E7)</f>
        <v>3378168.77</v>
      </c>
      <c r="E7" s="106">
        <f>IF(Retorno!$B7="","",Retorno!F7)</f>
        <v>0</v>
      </c>
      <c r="F7" s="106">
        <f>IF(Retorno!$B7="","",Retorno!G7)</f>
        <v>0</v>
      </c>
      <c r="G7" s="106">
        <f>IF(Retorno!$B7="","",Retorno!H7)</f>
        <v>95434.959999999963</v>
      </c>
      <c r="H7" s="23">
        <f>IF(Retorno!$B7="","",Retorno!I7)</f>
        <v>2.907179367065402E-2</v>
      </c>
      <c r="I7" s="23">
        <f>IF(A7="","",$I$4)</f>
        <v>9.2889677878305044E-3</v>
      </c>
      <c r="J7" s="23">
        <f>IF(A7="","",H7/I7)</f>
        <v>3.1297119695840734</v>
      </c>
      <c r="L7" s="156" t="str">
        <f>Calculo_Indice_Sharpe!B7</f>
        <v>BB IRF-M1</v>
      </c>
      <c r="M7" s="156" t="str">
        <f>Calculo_Indice_Sharpe!C7</f>
        <v>11.328.882/0001-35</v>
      </c>
      <c r="N7" s="106">
        <f>VaR_Calculo!C159</f>
        <v>3391984.3</v>
      </c>
      <c r="O7" s="23">
        <f>VaR_Calculo!D159</f>
        <v>1.9435894850779165E-4</v>
      </c>
      <c r="P7" s="106">
        <f>VaR_Calculo!E159</f>
        <v>1587.4726311825627</v>
      </c>
      <c r="Q7" s="23">
        <f>VaR_Calculo!F159</f>
        <v>8.9066459352897965E-4</v>
      </c>
      <c r="R7" s="106">
        <f>VaR_Calculo!G159</f>
        <v>7274.7134960648082</v>
      </c>
      <c r="T7" s="156" t="str">
        <f>Calculo_Indice_Sharpe!E7</f>
        <v>Renda Fixa</v>
      </c>
      <c r="U7" s="156">
        <f>Calculo_Indice_Sharpe!F7</f>
        <v>1.7000000000000001E-2</v>
      </c>
      <c r="W7" s="106">
        <f>Calculo_Indice_Sharpe!H7</f>
        <v>7780026492.54</v>
      </c>
      <c r="Y7" s="156" t="str">
        <f>enquadramento!B7</f>
        <v>BB IRF-M1</v>
      </c>
      <c r="Z7" s="106">
        <f>enquadramento!C7</f>
        <v>3391984.3</v>
      </c>
      <c r="AA7" s="23">
        <f>enquadramento!D7</f>
        <v>0.41529062545905465</v>
      </c>
      <c r="AB7" s="32">
        <f>enquadramento!E7</f>
        <v>1</v>
      </c>
      <c r="AC7" s="23">
        <f>enquadramento!F7</f>
        <v>4.3598621460382649E-4</v>
      </c>
      <c r="AD7" s="156" t="str">
        <f>enquadramento!G7</f>
        <v>FI 100% títulos TN - Art. 7º, I, "b"</v>
      </c>
    </row>
    <row r="8" spans="1:30" x14ac:dyDescent="0.3">
      <c r="A8" s="156" t="str">
        <f>IF(Retorno!$B8="","",Retorno!B8)</f>
        <v>BB Perfil</v>
      </c>
      <c r="B8" s="106">
        <f>IF(Retorno!$B8="","",Retorno!C8)</f>
        <v>363984.75</v>
      </c>
      <c r="C8" s="106">
        <f>IF(Retorno!$B8="","",Retorno!D8)</f>
        <v>0</v>
      </c>
      <c r="D8" s="106">
        <f>IF(Retorno!$B8="","",Retorno!E8)</f>
        <v>0</v>
      </c>
      <c r="E8" s="106">
        <f>IF(Retorno!$B8="","",Retorno!F8)</f>
        <v>0</v>
      </c>
      <c r="F8" s="106">
        <f>IF(Retorno!$B8="","",Retorno!G8)</f>
        <v>368033.64</v>
      </c>
      <c r="G8" s="106">
        <f>IF(Retorno!$B8="","",Retorno!H8)</f>
        <v>4048.890000000014</v>
      </c>
      <c r="H8" s="23">
        <f>IF(Retorno!$B8="","",Retorno!I8)</f>
        <v>1.1123790213738388E-2</v>
      </c>
      <c r="I8" s="23">
        <f t="shared" ref="I8:I46" si="0">IF(A8="","",$I$4)</f>
        <v>9.2889677878305044E-3</v>
      </c>
      <c r="J8" s="23">
        <f t="shared" ref="J8:J46" si="1">IF(A8="","",H8/I8)</f>
        <v>1.1975270522857973</v>
      </c>
      <c r="L8" s="156" t="str">
        <f>Calculo_Indice_Sharpe!B8</f>
        <v>Caixa 2016 I TP RF</v>
      </c>
      <c r="M8" s="156" t="str">
        <f>Calculo_Indice_Sharpe!C8</f>
        <v>20.139.299/0001-77</v>
      </c>
      <c r="N8" s="106">
        <f>VaR_Calculo!C160</f>
        <v>1086173</v>
      </c>
      <c r="O8" s="23">
        <f>VaR_Calculo!D160</f>
        <v>6.3327363691091632E-4</v>
      </c>
      <c r="P8" s="106">
        <f>VaR_Calculo!E160</f>
        <v>5172.4120466993654</v>
      </c>
      <c r="Q8" s="23">
        <f>VaR_Calculo!F160</f>
        <v>2.9020243767642548E-3</v>
      </c>
      <c r="R8" s="106">
        <f>VaR_Calculo!G160</f>
        <v>23702.969729501303</v>
      </c>
      <c r="T8" s="156" t="str">
        <f>Calculo_Indice_Sharpe!E8</f>
        <v>Renda Fixa</v>
      </c>
      <c r="U8" s="156">
        <f>Calculo_Indice_Sharpe!F8</f>
        <v>-4.1399999999999999E-2</v>
      </c>
      <c r="W8" s="106">
        <f>Calculo_Indice_Sharpe!H8</f>
        <v>1466638401.1300001</v>
      </c>
      <c r="Y8" s="156" t="str">
        <f>enquadramento!B8</f>
        <v>Caixa 2016 I TP RF</v>
      </c>
      <c r="Z8" s="106">
        <f>enquadramento!C8</f>
        <v>1086173</v>
      </c>
      <c r="AA8" s="23">
        <f>enquadramento!D8</f>
        <v>0.13298335859831009</v>
      </c>
      <c r="AB8" s="32">
        <f>enquadramento!E8</f>
        <v>1</v>
      </c>
      <c r="AC8" s="23">
        <f>enquadramento!F8</f>
        <v>7.4058677255630073E-4</v>
      </c>
      <c r="AD8" s="156" t="str">
        <f>enquadramento!G8</f>
        <v>FI 100% títulos TN - Art. 7º, I, "b"</v>
      </c>
    </row>
    <row r="9" spans="1:30" x14ac:dyDescent="0.3">
      <c r="A9" s="156" t="str">
        <f>IF(Retorno!$B9="","",Retorno!B9)</f>
        <v>BB IX TP</v>
      </c>
      <c r="B9" s="106">
        <f>IF(Retorno!$B9="","",Retorno!C9)</f>
        <v>531483.21</v>
      </c>
      <c r="C9" s="106">
        <f>IF(Retorno!$B9="","",Retorno!D9)</f>
        <v>0</v>
      </c>
      <c r="D9" s="106">
        <f>IF(Retorno!$B9="","",Retorno!E9)</f>
        <v>0</v>
      </c>
      <c r="E9" s="106">
        <f>IF(Retorno!$B9="","",Retorno!F9)</f>
        <v>0</v>
      </c>
      <c r="F9" s="106">
        <f>IF(Retorno!$B9="","",Retorno!G9)</f>
        <v>535928.17000000004</v>
      </c>
      <c r="G9" s="106">
        <f>IF(Retorno!$B9="","",Retorno!H9)</f>
        <v>4444.9600000000792</v>
      </c>
      <c r="H9" s="23">
        <f>IF(Retorno!$B9="","",Retorno!I9)</f>
        <v>8.3633121731165865E-3</v>
      </c>
      <c r="I9" s="23">
        <f t="shared" si="0"/>
        <v>9.2889677878305044E-3</v>
      </c>
      <c r="J9" s="23">
        <f t="shared" si="1"/>
        <v>0.90034892618245255</v>
      </c>
      <c r="L9" s="156" t="str">
        <f>Calculo_Indice_Sharpe!B9</f>
        <v>Caixa Ref. DI LP</v>
      </c>
      <c r="M9" s="156" t="str">
        <f>Calculo_Indice_Sharpe!C9</f>
        <v>03.737.206/0001-97</v>
      </c>
      <c r="N9" s="106">
        <f>VaR_Calculo!C161</f>
        <v>635599.06999999995</v>
      </c>
      <c r="O9" s="23">
        <f>VaR_Calculo!D161</f>
        <v>4.1906504528015386E-6</v>
      </c>
      <c r="P9" s="106">
        <f>VaR_Calculo!E161</f>
        <v>34.228127656332546</v>
      </c>
      <c r="Q9" s="23">
        <f>VaR_Calculo!F161</f>
        <v>1.9203972911064018E-5</v>
      </c>
      <c r="R9" s="106">
        <f>VaR_Calculo!G161</f>
        <v>156.85298588175533</v>
      </c>
      <c r="T9" s="156" t="str">
        <f>Calculo_Indice_Sharpe!E9</f>
        <v>Renda Fixa</v>
      </c>
      <c r="U9" s="156">
        <f>Calculo_Indice_Sharpe!F9</f>
        <v>2.7400000000000001E-2</v>
      </c>
      <c r="W9" s="106">
        <f>Calculo_Indice_Sharpe!H9</f>
        <v>4367781353.9099998</v>
      </c>
      <c r="Y9" s="156" t="str">
        <f>enquadramento!B9</f>
        <v>Caixa Ref. DI LP</v>
      </c>
      <c r="Z9" s="106">
        <f>enquadramento!C9</f>
        <v>635599.06999999995</v>
      </c>
      <c r="AA9" s="23">
        <f>enquadramento!D9</f>
        <v>7.781826564512502E-2</v>
      </c>
      <c r="AB9" s="32">
        <f>enquadramento!E9</f>
        <v>0.2</v>
      </c>
      <c r="AC9" s="23">
        <f>enquadramento!F9</f>
        <v>1.4551989179380903E-4</v>
      </c>
      <c r="AD9" s="156" t="str">
        <f>enquadramento!G9</f>
        <v>FI de Renda Fixa - Art. 7º, IV</v>
      </c>
    </row>
    <row r="10" spans="1:30" x14ac:dyDescent="0.3">
      <c r="A10" s="156" t="str">
        <f>IF(Retorno!$B10="","",Retorno!B10)</f>
        <v>BB IRF-M1</v>
      </c>
      <c r="B10" s="106">
        <f>IF(Retorno!$B10="","",Retorno!C10)</f>
        <v>0</v>
      </c>
      <c r="C10" s="106">
        <f>IF(Retorno!$B10="","",Retorno!D10)</f>
        <v>3378168.77</v>
      </c>
      <c r="D10" s="106">
        <f>IF(Retorno!$B10="","",Retorno!E10)</f>
        <v>0</v>
      </c>
      <c r="E10" s="106">
        <f>IF(Retorno!$B10="","",Retorno!F10)</f>
        <v>0</v>
      </c>
      <c r="F10" s="106">
        <f>IF(Retorno!$B10="","",Retorno!G10)</f>
        <v>3391984.3</v>
      </c>
      <c r="G10" s="106">
        <f>IF(Retorno!$B10="","",Retorno!H10)</f>
        <v>13815.529999999795</v>
      </c>
      <c r="H10" s="23">
        <f>IF(Retorno!$B10="","",Retorno!I10)</f>
        <v>4.0896506186100922E-3</v>
      </c>
      <c r="I10" s="23">
        <f t="shared" si="0"/>
        <v>9.2889677878305044E-3</v>
      </c>
      <c r="J10" s="23">
        <f t="shared" si="1"/>
        <v>0.44026965234694343</v>
      </c>
      <c r="L10" s="156" t="str">
        <f>Calculo_Indice_Sharpe!B10</f>
        <v>Caixa IRF-M1</v>
      </c>
      <c r="M10" s="156" t="str">
        <f>Calculo_Indice_Sharpe!C10</f>
        <v>10.740.670/0001-06</v>
      </c>
      <c r="N10" s="106">
        <f>VaR_Calculo!C162</f>
        <v>2150018.08</v>
      </c>
      <c r="O10" s="23">
        <f>VaR_Calculo!D162</f>
        <v>1.2437107238860576E-4</v>
      </c>
      <c r="P10" s="106">
        <f>VaR_Calculo!E162</f>
        <v>1015.8301176435001</v>
      </c>
      <c r="Q10" s="23">
        <f>VaR_Calculo!F162</f>
        <v>5.6993985348361819E-4</v>
      </c>
      <c r="R10" s="106">
        <f>VaR_Calculo!G162</f>
        <v>4655.1184073172353</v>
      </c>
      <c r="T10" s="156" t="str">
        <f>Calculo_Indice_Sharpe!E10</f>
        <v>Renda Fixa</v>
      </c>
      <c r="U10" s="156">
        <f>Calculo_Indice_Sharpe!F10</f>
        <v>2.1299999999999999E-2</v>
      </c>
      <c r="W10" s="106">
        <f>Calculo_Indice_Sharpe!H10</f>
        <v>9316344330.1599998</v>
      </c>
      <c r="Y10" s="156" t="str">
        <f>enquadramento!B10</f>
        <v>Caixa IRF-M1</v>
      </c>
      <c r="Z10" s="106">
        <f>enquadramento!C10</f>
        <v>2150018.08</v>
      </c>
      <c r="AA10" s="23">
        <f>enquadramento!D10</f>
        <v>0.26323304420703714</v>
      </c>
      <c r="AB10" s="32">
        <f>enquadramento!E10</f>
        <v>1</v>
      </c>
      <c r="AC10" s="23">
        <f>enquadramento!F10</f>
        <v>2.3077915583687701E-4</v>
      </c>
      <c r="AD10" s="156" t="str">
        <f>enquadramento!G10</f>
        <v>FI 100% títulos TN - Art. 7º, I, "b"</v>
      </c>
    </row>
    <row r="11" spans="1:30" x14ac:dyDescent="0.3">
      <c r="A11" s="156" t="str">
        <f>IF(Retorno!$B11="","",Retorno!B11)</f>
        <v>Caixa 2016 I TP RF</v>
      </c>
      <c r="B11" s="106">
        <f>IF(Retorno!$B11="","",Retorno!C11)</f>
        <v>1076412</v>
      </c>
      <c r="C11" s="106">
        <f>IF(Retorno!$B11="","",Retorno!D11)</f>
        <v>0</v>
      </c>
      <c r="D11" s="106">
        <f>IF(Retorno!$B11="","",Retorno!E11)</f>
        <v>0</v>
      </c>
      <c r="E11" s="106">
        <f>IF(Retorno!$B11="","",Retorno!F11)</f>
        <v>0</v>
      </c>
      <c r="F11" s="106">
        <f>IF(Retorno!$B11="","",Retorno!G11)</f>
        <v>1086173</v>
      </c>
      <c r="G11" s="106">
        <f>IF(Retorno!$B11="","",Retorno!H11)</f>
        <v>9761</v>
      </c>
      <c r="H11" s="23">
        <f>IF(Retorno!$B11="","",Retorno!I11)</f>
        <v>9.068089170317685E-3</v>
      </c>
      <c r="I11" s="23">
        <f t="shared" si="0"/>
        <v>9.2889677878305044E-3</v>
      </c>
      <c r="J11" s="23">
        <f t="shared" si="1"/>
        <v>0.97622140343707586</v>
      </c>
      <c r="L11" s="156" t="str">
        <f>Calculo_Indice_Sharpe!B11</f>
        <v>Caixa IRF-M1+</v>
      </c>
      <c r="M11" s="156" t="str">
        <f>Calculo_Indice_Sharpe!C11</f>
        <v>10.577.519/0001-90</v>
      </c>
      <c r="N11" s="106" t="str">
        <f>VaR_Calculo!C163</f>
        <v/>
      </c>
      <c r="O11" s="23">
        <f>VaR_Calculo!D163</f>
        <v>0</v>
      </c>
      <c r="P11" s="106">
        <f>VaR_Calculo!E163</f>
        <v>0</v>
      </c>
      <c r="Q11" s="23">
        <f>VaR_Calculo!F163</f>
        <v>0</v>
      </c>
      <c r="R11" s="106">
        <f>VaR_Calculo!G163</f>
        <v>0</v>
      </c>
      <c r="T11" s="156" t="str">
        <f>Calculo_Indice_Sharpe!E11</f>
        <v>Renda Fixa</v>
      </c>
      <c r="U11" s="156">
        <f>Calculo_Indice_Sharpe!F11</f>
        <v>6.4799999999999996E-2</v>
      </c>
      <c r="W11" s="106">
        <f>Calculo_Indice_Sharpe!H11</f>
        <v>164234564.71000001</v>
      </c>
      <c r="Y11" s="156" t="str">
        <f>enquadramento!B11</f>
        <v>Caixa IRF-M1+</v>
      </c>
      <c r="Z11" s="106">
        <f>enquadramento!C11</f>
        <v>0</v>
      </c>
      <c r="AA11" s="23">
        <f>enquadramento!D11</f>
        <v>0</v>
      </c>
      <c r="AB11" s="32">
        <f>enquadramento!E11</f>
        <v>1</v>
      </c>
      <c r="AC11" s="23">
        <f>enquadramento!F11</f>
        <v>0</v>
      </c>
      <c r="AD11" s="156" t="str">
        <f>enquadramento!G11</f>
        <v>FI 100% títulos TN - Art. 7º, I, "b"</v>
      </c>
    </row>
    <row r="12" spans="1:30" x14ac:dyDescent="0.3">
      <c r="A12" s="156" t="str">
        <f>IF(Retorno!$B12="","",Retorno!B12)</f>
        <v>Caixa Ref. DI LP</v>
      </c>
      <c r="B12" s="106">
        <f>IF(Retorno!$B12="","",Retorno!C12)</f>
        <v>628197.5</v>
      </c>
      <c r="C12" s="106">
        <f>IF(Retorno!$B12="","",Retorno!D12)</f>
        <v>0</v>
      </c>
      <c r="D12" s="106">
        <f>IF(Retorno!$B12="","",Retorno!E12)</f>
        <v>0</v>
      </c>
      <c r="E12" s="106">
        <f>IF(Retorno!$B12="","",Retorno!F12)</f>
        <v>0</v>
      </c>
      <c r="F12" s="106">
        <f>IF(Retorno!$B12="","",Retorno!G12)</f>
        <v>635599.06999999995</v>
      </c>
      <c r="G12" s="106">
        <f>IF(Retorno!$B12="","",Retorno!H12)</f>
        <v>7401.5699999999488</v>
      </c>
      <c r="H12" s="23">
        <f>IF(Retorno!$B12="","",Retorno!I12)</f>
        <v>1.1782234090393464E-2</v>
      </c>
      <c r="I12" s="23">
        <f t="shared" si="0"/>
        <v>9.2889677878305044E-3</v>
      </c>
      <c r="J12" s="23">
        <f t="shared" si="1"/>
        <v>1.2684115565380034</v>
      </c>
      <c r="L12" s="156" t="str">
        <f>Calculo_Indice_Sharpe!B12</f>
        <v/>
      </c>
      <c r="M12" s="156" t="str">
        <f>Calculo_Indice_Sharpe!C12</f>
        <v/>
      </c>
      <c r="N12" s="106" t="str">
        <f>VaR_Calculo!C164</f>
        <v/>
      </c>
      <c r="O12" s="23">
        <f>VaR_Calculo!D164</f>
        <v>0</v>
      </c>
      <c r="P12" s="106">
        <f>VaR_Calculo!E164</f>
        <v>0</v>
      </c>
      <c r="Q12" s="23">
        <f>VaR_Calculo!F164</f>
        <v>0</v>
      </c>
      <c r="R12" s="106">
        <f>VaR_Calculo!G164</f>
        <v>0</v>
      </c>
      <c r="T12" s="156" t="str">
        <f>Calculo_Indice_Sharpe!E12</f>
        <v/>
      </c>
      <c r="U12" s="156" t="str">
        <f>Calculo_Indice_Sharpe!F12</f>
        <v/>
      </c>
      <c r="W12" s="106" t="str">
        <f>Calculo_Indice_Sharpe!H12</f>
        <v/>
      </c>
      <c r="Y12" s="156" t="str">
        <f>enquadramento!B12</f>
        <v/>
      </c>
      <c r="Z12" s="106" t="str">
        <f>enquadramento!C12</f>
        <v/>
      </c>
      <c r="AA12" s="23" t="str">
        <f>enquadramento!D12</f>
        <v/>
      </c>
      <c r="AB12" s="32" t="str">
        <f>enquadramento!E12</f>
        <v/>
      </c>
      <c r="AC12" s="23" t="str">
        <f>enquadramento!F12</f>
        <v/>
      </c>
      <c r="AD12" s="156" t="str">
        <f>enquadramento!G12</f>
        <v/>
      </c>
    </row>
    <row r="13" spans="1:30" x14ac:dyDescent="0.3">
      <c r="A13" s="156" t="str">
        <f>IF(Retorno!$B13="","",Retorno!B13)</f>
        <v>Caixa IRF-M1</v>
      </c>
      <c r="B13" s="106">
        <f>IF(Retorno!$B13="","",Retorno!C13)</f>
        <v>0</v>
      </c>
      <c r="C13" s="106">
        <f>IF(Retorno!$B13="","",Retorno!D13)</f>
        <v>2141111.31</v>
      </c>
      <c r="D13" s="106">
        <f>IF(Retorno!$B13="","",Retorno!E13)</f>
        <v>0</v>
      </c>
      <c r="E13" s="106">
        <f>IF(Retorno!$B13="","",Retorno!F13)</f>
        <v>0</v>
      </c>
      <c r="F13" s="106">
        <f>IF(Retorno!$B13="","",Retorno!G13)</f>
        <v>2150018.08</v>
      </c>
      <c r="G13" s="106">
        <f>IF(Retorno!$B13="","",Retorno!H13)</f>
        <v>8906.7700000000186</v>
      </c>
      <c r="H13" s="23">
        <f>IF(Retorno!$B13="","",Retorno!I13)</f>
        <v>4.1598818138978578E-3</v>
      </c>
      <c r="I13" s="23">
        <f t="shared" si="0"/>
        <v>9.2889677878305044E-3</v>
      </c>
      <c r="J13" s="23">
        <f t="shared" si="1"/>
        <v>0.44783036273930538</v>
      </c>
      <c r="L13" s="156" t="str">
        <f>Calculo_Indice_Sharpe!B13</f>
        <v/>
      </c>
      <c r="M13" s="156" t="str">
        <f>Calculo_Indice_Sharpe!C13</f>
        <v/>
      </c>
      <c r="N13" s="106" t="str">
        <f>VaR_Calculo!C165</f>
        <v/>
      </c>
      <c r="O13" s="23">
        <f>VaR_Calculo!D165</f>
        <v>0</v>
      </c>
      <c r="P13" s="106">
        <f>VaR_Calculo!E165</f>
        <v>0</v>
      </c>
      <c r="Q13" s="23">
        <f>VaR_Calculo!F165</f>
        <v>0</v>
      </c>
      <c r="R13" s="106">
        <f>VaR_Calculo!G165</f>
        <v>0</v>
      </c>
      <c r="T13" s="156" t="str">
        <f>Calculo_Indice_Sharpe!E13</f>
        <v/>
      </c>
      <c r="U13" s="156" t="str">
        <f>Calculo_Indice_Sharpe!F13</f>
        <v/>
      </c>
      <c r="W13" s="106" t="str">
        <f>Calculo_Indice_Sharpe!H13</f>
        <v/>
      </c>
      <c r="Y13" s="156" t="str">
        <f>enquadramento!B13</f>
        <v/>
      </c>
      <c r="Z13" s="106" t="str">
        <f>enquadramento!C13</f>
        <v/>
      </c>
      <c r="AA13" s="23" t="str">
        <f>enquadramento!D13</f>
        <v/>
      </c>
      <c r="AB13" s="32" t="str">
        <f>enquadramento!E13</f>
        <v/>
      </c>
      <c r="AC13" s="23" t="str">
        <f>enquadramento!F13</f>
        <v/>
      </c>
      <c r="AD13" s="156" t="str">
        <f>enquadramento!G13</f>
        <v/>
      </c>
    </row>
    <row r="14" spans="1:30" x14ac:dyDescent="0.3">
      <c r="A14" s="156" t="str">
        <f>IF(Retorno!$B14="","",Retorno!B14)</f>
        <v>Caixa IRF-M1+</v>
      </c>
      <c r="B14" s="106">
        <f>IF(Retorno!$B14="","",Retorno!C14)</f>
        <v>2072427.17</v>
      </c>
      <c r="C14" s="106">
        <f>IF(Retorno!$B14="","",Retorno!D14)</f>
        <v>0</v>
      </c>
      <c r="D14" s="106">
        <f>IF(Retorno!$B14="","",Retorno!E14)</f>
        <v>2141111.31</v>
      </c>
      <c r="E14" s="106">
        <f>IF(Retorno!$B14="","",Retorno!F14)</f>
        <v>0</v>
      </c>
      <c r="F14" s="106">
        <f>IF(Retorno!$B14="","",Retorno!G14)</f>
        <v>0</v>
      </c>
      <c r="G14" s="106">
        <f>IF(Retorno!$B14="","",Retorno!H14)</f>
        <v>68684.14000000013</v>
      </c>
      <c r="H14" s="23">
        <f>IF(Retorno!$B14="","",Retorno!I14)</f>
        <v>3.3141883581848684E-2</v>
      </c>
      <c r="I14" s="23">
        <f t="shared" si="0"/>
        <v>9.2889677878305044E-3</v>
      </c>
      <c r="J14" s="23">
        <f t="shared" si="1"/>
        <v>3.5678758220335238</v>
      </c>
      <c r="L14" s="156" t="str">
        <f>Calculo_Indice_Sharpe!B14</f>
        <v/>
      </c>
      <c r="M14" s="156" t="str">
        <f>Calculo_Indice_Sharpe!C14</f>
        <v/>
      </c>
      <c r="N14" s="106" t="str">
        <f>VaR_Calculo!C166</f>
        <v/>
      </c>
      <c r="O14" s="23">
        <f>VaR_Calculo!D166</f>
        <v>0</v>
      </c>
      <c r="P14" s="106">
        <f>VaR_Calculo!E166</f>
        <v>0</v>
      </c>
      <c r="Q14" s="23">
        <f>VaR_Calculo!F166</f>
        <v>0</v>
      </c>
      <c r="R14" s="106">
        <f>VaR_Calculo!G166</f>
        <v>0</v>
      </c>
      <c r="T14" s="156" t="str">
        <f>Calculo_Indice_Sharpe!E14</f>
        <v/>
      </c>
      <c r="U14" s="156" t="str">
        <f>Calculo_Indice_Sharpe!F14</f>
        <v/>
      </c>
      <c r="W14" s="106" t="str">
        <f>Calculo_Indice_Sharpe!H14</f>
        <v/>
      </c>
      <c r="Y14" s="156" t="str">
        <f>enquadramento!B14</f>
        <v/>
      </c>
      <c r="Z14" s="106" t="str">
        <f>enquadramento!C14</f>
        <v/>
      </c>
      <c r="AA14" s="23" t="str">
        <f>enquadramento!D14</f>
        <v/>
      </c>
      <c r="AB14" s="32" t="str">
        <f>enquadramento!E14</f>
        <v/>
      </c>
      <c r="AC14" s="23" t="str">
        <f>enquadramento!F14</f>
        <v/>
      </c>
      <c r="AD14" s="156" t="str">
        <f>enquadramento!G14</f>
        <v/>
      </c>
    </row>
    <row r="15" spans="1:30" x14ac:dyDescent="0.3">
      <c r="A15" s="156" t="str">
        <f>IF(Retorno!$B15="","",Retorno!B15)</f>
        <v/>
      </c>
      <c r="B15" s="106" t="str">
        <f>IF(Retorno!$B15="","",Retorno!C15)</f>
        <v/>
      </c>
      <c r="C15" s="106" t="str">
        <f>IF(Retorno!$B15="","",Retorno!D15)</f>
        <v/>
      </c>
      <c r="D15" s="106" t="str">
        <f>IF(Retorno!$B15="","",Retorno!E15)</f>
        <v/>
      </c>
      <c r="E15" s="106" t="str">
        <f>IF(Retorno!$B15="","",Retorno!F15)</f>
        <v/>
      </c>
      <c r="F15" s="106" t="str">
        <f>IF(Retorno!$B15="","",Retorno!G15)</f>
        <v/>
      </c>
      <c r="G15" s="106" t="str">
        <f>IF(Retorno!$B15="","",Retorno!H15)</f>
        <v/>
      </c>
      <c r="H15" s="23" t="str">
        <f>IF(Retorno!$B15="","",Retorno!I15)</f>
        <v/>
      </c>
      <c r="I15" s="23" t="str">
        <f t="shared" si="0"/>
        <v/>
      </c>
      <c r="J15" s="23" t="str">
        <f t="shared" si="1"/>
        <v/>
      </c>
      <c r="L15" s="156" t="str">
        <f>Calculo_Indice_Sharpe!B15</f>
        <v/>
      </c>
      <c r="M15" s="156" t="str">
        <f>Calculo_Indice_Sharpe!C15</f>
        <v/>
      </c>
      <c r="N15" s="106" t="str">
        <f>VaR_Calculo!C167</f>
        <v/>
      </c>
      <c r="O15" s="23">
        <f>VaR_Calculo!D167</f>
        <v>0</v>
      </c>
      <c r="P15" s="106">
        <f>VaR_Calculo!E167</f>
        <v>0</v>
      </c>
      <c r="Q15" s="23">
        <f>VaR_Calculo!F167</f>
        <v>0</v>
      </c>
      <c r="R15" s="106">
        <f>VaR_Calculo!G167</f>
        <v>0</v>
      </c>
      <c r="T15" s="156" t="str">
        <f>Calculo_Indice_Sharpe!E15</f>
        <v/>
      </c>
      <c r="U15" s="156" t="str">
        <f>Calculo_Indice_Sharpe!F15</f>
        <v/>
      </c>
      <c r="W15" s="106" t="str">
        <f>Calculo_Indice_Sharpe!H15</f>
        <v/>
      </c>
      <c r="Y15" s="156" t="str">
        <f>enquadramento!B15</f>
        <v/>
      </c>
      <c r="Z15" s="106" t="str">
        <f>enquadramento!C15</f>
        <v/>
      </c>
      <c r="AA15" s="23" t="str">
        <f>enquadramento!D15</f>
        <v/>
      </c>
      <c r="AB15" s="32" t="str">
        <f>enquadramento!E15</f>
        <v/>
      </c>
      <c r="AC15" s="23" t="str">
        <f>enquadramento!F15</f>
        <v/>
      </c>
      <c r="AD15" s="156" t="str">
        <f>enquadramento!G15</f>
        <v/>
      </c>
    </row>
    <row r="16" spans="1:30" x14ac:dyDescent="0.3">
      <c r="A16" s="156" t="str">
        <f>IF(Retorno!$B16="","",Retorno!B16)</f>
        <v/>
      </c>
      <c r="B16" s="106" t="str">
        <f>IF(Retorno!$B16="","",Retorno!C16)</f>
        <v/>
      </c>
      <c r="C16" s="106" t="str">
        <f>IF(Retorno!$B16="","",Retorno!D16)</f>
        <v/>
      </c>
      <c r="D16" s="106" t="str">
        <f>IF(Retorno!$B16="","",Retorno!E16)</f>
        <v/>
      </c>
      <c r="E16" s="106" t="str">
        <f>IF(Retorno!$B16="","",Retorno!F16)</f>
        <v/>
      </c>
      <c r="F16" s="106" t="str">
        <f>IF(Retorno!$B16="","",Retorno!G16)</f>
        <v/>
      </c>
      <c r="G16" s="106" t="str">
        <f>IF(Retorno!$B16="","",Retorno!H16)</f>
        <v/>
      </c>
      <c r="H16" s="23" t="str">
        <f>IF(Retorno!$B16="","",Retorno!I16)</f>
        <v/>
      </c>
      <c r="I16" s="23" t="str">
        <f t="shared" si="0"/>
        <v/>
      </c>
      <c r="J16" s="23" t="str">
        <f t="shared" si="1"/>
        <v/>
      </c>
      <c r="L16" s="156" t="str">
        <f>Calculo_Indice_Sharpe!B16</f>
        <v/>
      </c>
      <c r="M16" s="156" t="str">
        <f>Calculo_Indice_Sharpe!C16</f>
        <v/>
      </c>
      <c r="N16" s="106" t="str">
        <f>VaR_Calculo!C168</f>
        <v/>
      </c>
      <c r="O16" s="23">
        <f>VaR_Calculo!D168</f>
        <v>0</v>
      </c>
      <c r="P16" s="106">
        <f>VaR_Calculo!E168</f>
        <v>0</v>
      </c>
      <c r="Q16" s="23">
        <f>VaR_Calculo!F168</f>
        <v>0</v>
      </c>
      <c r="R16" s="106">
        <f>VaR_Calculo!G168</f>
        <v>0</v>
      </c>
      <c r="T16" s="156" t="str">
        <f>Calculo_Indice_Sharpe!E16</f>
        <v/>
      </c>
      <c r="U16" s="156" t="str">
        <f>Calculo_Indice_Sharpe!F16</f>
        <v/>
      </c>
      <c r="W16" s="106" t="str">
        <f>Calculo_Indice_Sharpe!H16</f>
        <v/>
      </c>
      <c r="Y16" s="156" t="str">
        <f>enquadramento!B16</f>
        <v/>
      </c>
      <c r="Z16" s="106" t="str">
        <f>enquadramento!C16</f>
        <v/>
      </c>
      <c r="AA16" s="23" t="str">
        <f>enquadramento!D16</f>
        <v/>
      </c>
      <c r="AB16" s="32" t="str">
        <f>enquadramento!E16</f>
        <v/>
      </c>
      <c r="AC16" s="23" t="str">
        <f>enquadramento!F16</f>
        <v/>
      </c>
      <c r="AD16" s="156" t="str">
        <f>enquadramento!G16</f>
        <v/>
      </c>
    </row>
    <row r="17" spans="1:30" x14ac:dyDescent="0.3">
      <c r="A17" s="156" t="str">
        <f>IF(Retorno!$B17="","",Retorno!B17)</f>
        <v/>
      </c>
      <c r="B17" s="106" t="str">
        <f>IF(Retorno!$B17="","",Retorno!C17)</f>
        <v/>
      </c>
      <c r="C17" s="106" t="str">
        <f>IF(Retorno!$B17="","",Retorno!D17)</f>
        <v/>
      </c>
      <c r="D17" s="106" t="str">
        <f>IF(Retorno!$B17="","",Retorno!E17)</f>
        <v/>
      </c>
      <c r="E17" s="106" t="str">
        <f>IF(Retorno!$B17="","",Retorno!F17)</f>
        <v/>
      </c>
      <c r="F17" s="106" t="str">
        <f>IF(Retorno!$B17="","",Retorno!G17)</f>
        <v/>
      </c>
      <c r="G17" s="106" t="str">
        <f>IF(Retorno!$B17="","",Retorno!H17)</f>
        <v/>
      </c>
      <c r="H17" s="23" t="str">
        <f>IF(Retorno!$B17="","",Retorno!I17)</f>
        <v/>
      </c>
      <c r="I17" s="23" t="str">
        <f t="shared" si="0"/>
        <v/>
      </c>
      <c r="J17" s="23" t="str">
        <f t="shared" si="1"/>
        <v/>
      </c>
      <c r="L17" s="156" t="str">
        <f>Calculo_Indice_Sharpe!B17</f>
        <v/>
      </c>
      <c r="M17" s="156" t="str">
        <f>Calculo_Indice_Sharpe!C17</f>
        <v/>
      </c>
      <c r="N17" s="106" t="str">
        <f>VaR_Calculo!C169</f>
        <v/>
      </c>
      <c r="O17" s="23">
        <f>VaR_Calculo!D169</f>
        <v>0</v>
      </c>
      <c r="P17" s="106">
        <f>VaR_Calculo!E169</f>
        <v>0</v>
      </c>
      <c r="Q17" s="23">
        <f>VaR_Calculo!F169</f>
        <v>0</v>
      </c>
      <c r="R17" s="106">
        <f>VaR_Calculo!G169</f>
        <v>0</v>
      </c>
      <c r="T17" s="156" t="str">
        <f>Calculo_Indice_Sharpe!E17</f>
        <v/>
      </c>
      <c r="U17" s="156" t="str">
        <f>Calculo_Indice_Sharpe!F17</f>
        <v/>
      </c>
      <c r="W17" s="106" t="str">
        <f>Calculo_Indice_Sharpe!H17</f>
        <v/>
      </c>
      <c r="Y17" s="156" t="str">
        <f>enquadramento!B17</f>
        <v/>
      </c>
      <c r="Z17" s="106" t="str">
        <f>enquadramento!C17</f>
        <v/>
      </c>
      <c r="AA17" s="23" t="str">
        <f>enquadramento!D17</f>
        <v/>
      </c>
      <c r="AB17" s="32" t="str">
        <f>enquadramento!E17</f>
        <v/>
      </c>
      <c r="AC17" s="23" t="str">
        <f>enquadramento!F17</f>
        <v/>
      </c>
      <c r="AD17" s="156" t="str">
        <f>enquadramento!G17</f>
        <v/>
      </c>
    </row>
    <row r="18" spans="1:30" x14ac:dyDescent="0.3">
      <c r="A18" s="156" t="str">
        <f>IF(Retorno!$B18="","",Retorno!B18)</f>
        <v/>
      </c>
      <c r="B18" s="106" t="str">
        <f>IF(Retorno!$B18="","",Retorno!C18)</f>
        <v/>
      </c>
      <c r="C18" s="106" t="str">
        <f>IF(Retorno!$B18="","",Retorno!D18)</f>
        <v/>
      </c>
      <c r="D18" s="106" t="str">
        <f>IF(Retorno!$B18="","",Retorno!E18)</f>
        <v/>
      </c>
      <c r="E18" s="106" t="str">
        <f>IF(Retorno!$B18="","",Retorno!F18)</f>
        <v/>
      </c>
      <c r="F18" s="106" t="str">
        <f>IF(Retorno!$B18="","",Retorno!G18)</f>
        <v/>
      </c>
      <c r="G18" s="106" t="str">
        <f>IF(Retorno!$B18="","",Retorno!H18)</f>
        <v/>
      </c>
      <c r="H18" s="23" t="str">
        <f>IF(Retorno!$B18="","",Retorno!I18)</f>
        <v/>
      </c>
      <c r="I18" s="23" t="str">
        <f t="shared" si="0"/>
        <v/>
      </c>
      <c r="J18" s="23" t="str">
        <f t="shared" si="1"/>
        <v/>
      </c>
      <c r="L18" s="156" t="str">
        <f>Calculo_Indice_Sharpe!B18</f>
        <v/>
      </c>
      <c r="M18" s="156" t="str">
        <f>Calculo_Indice_Sharpe!C18</f>
        <v/>
      </c>
      <c r="N18" s="106" t="str">
        <f>VaR_Calculo!C170</f>
        <v/>
      </c>
      <c r="O18" s="23">
        <f>VaR_Calculo!D170</f>
        <v>0</v>
      </c>
      <c r="P18" s="106">
        <f>VaR_Calculo!E170</f>
        <v>0</v>
      </c>
      <c r="Q18" s="23">
        <f>VaR_Calculo!F170</f>
        <v>0</v>
      </c>
      <c r="R18" s="106">
        <f>VaR_Calculo!G170</f>
        <v>0</v>
      </c>
      <c r="T18" s="156" t="str">
        <f>Calculo_Indice_Sharpe!E18</f>
        <v/>
      </c>
      <c r="U18" s="156" t="str">
        <f>Calculo_Indice_Sharpe!F18</f>
        <v/>
      </c>
      <c r="W18" s="106" t="str">
        <f>Calculo_Indice_Sharpe!H18</f>
        <v/>
      </c>
      <c r="Y18" s="156" t="str">
        <f>enquadramento!B18</f>
        <v/>
      </c>
      <c r="Z18" s="106" t="str">
        <f>enquadramento!C18</f>
        <v/>
      </c>
      <c r="AA18" s="23" t="str">
        <f>enquadramento!D18</f>
        <v/>
      </c>
      <c r="AB18" s="32" t="str">
        <f>enquadramento!E18</f>
        <v/>
      </c>
      <c r="AC18" s="23" t="str">
        <f>enquadramento!F18</f>
        <v/>
      </c>
      <c r="AD18" s="156" t="str">
        <f>enquadramento!G18</f>
        <v/>
      </c>
    </row>
    <row r="19" spans="1:30" x14ac:dyDescent="0.3">
      <c r="A19" s="156" t="str">
        <f>IF(Retorno!$B19="","",Retorno!B19)</f>
        <v/>
      </c>
      <c r="B19" s="106" t="str">
        <f>IF(Retorno!$B19="","",Retorno!C19)</f>
        <v/>
      </c>
      <c r="C19" s="106" t="str">
        <f>IF(Retorno!$B19="","",Retorno!D19)</f>
        <v/>
      </c>
      <c r="D19" s="106" t="str">
        <f>IF(Retorno!$B19="","",Retorno!E19)</f>
        <v/>
      </c>
      <c r="E19" s="106" t="str">
        <f>IF(Retorno!$B19="","",Retorno!F19)</f>
        <v/>
      </c>
      <c r="F19" s="106" t="str">
        <f>IF(Retorno!$B19="","",Retorno!G19)</f>
        <v/>
      </c>
      <c r="G19" s="106" t="str">
        <f>IF(Retorno!$B19="","",Retorno!H19)</f>
        <v/>
      </c>
      <c r="H19" s="23" t="str">
        <f>IF(Retorno!$B19="","",Retorno!I19)</f>
        <v/>
      </c>
      <c r="I19" s="23" t="str">
        <f t="shared" si="0"/>
        <v/>
      </c>
      <c r="J19" s="23" t="str">
        <f t="shared" si="1"/>
        <v/>
      </c>
      <c r="L19" s="156" t="str">
        <f>Calculo_Indice_Sharpe!B19</f>
        <v/>
      </c>
      <c r="M19" s="156" t="str">
        <f>Calculo_Indice_Sharpe!C19</f>
        <v/>
      </c>
      <c r="N19" s="106" t="str">
        <f>VaR_Calculo!C171</f>
        <v/>
      </c>
      <c r="O19" s="23">
        <f>VaR_Calculo!D171</f>
        <v>0</v>
      </c>
      <c r="P19" s="106">
        <f>VaR_Calculo!E171</f>
        <v>0</v>
      </c>
      <c r="Q19" s="23">
        <f>VaR_Calculo!F171</f>
        <v>0</v>
      </c>
      <c r="R19" s="106">
        <f>VaR_Calculo!G171</f>
        <v>0</v>
      </c>
      <c r="T19" s="156" t="str">
        <f>Calculo_Indice_Sharpe!E19</f>
        <v/>
      </c>
      <c r="U19" s="156" t="str">
        <f>Calculo_Indice_Sharpe!F19</f>
        <v/>
      </c>
      <c r="W19" s="106" t="str">
        <f>Calculo_Indice_Sharpe!H19</f>
        <v/>
      </c>
      <c r="Y19" s="156" t="str">
        <f>enquadramento!B19</f>
        <v/>
      </c>
      <c r="Z19" s="106" t="str">
        <f>enquadramento!C19</f>
        <v/>
      </c>
      <c r="AA19" s="23" t="str">
        <f>enquadramento!D19</f>
        <v/>
      </c>
      <c r="AB19" s="32" t="str">
        <f>enquadramento!E19</f>
        <v/>
      </c>
      <c r="AC19" s="23" t="str">
        <f>enquadramento!F19</f>
        <v/>
      </c>
      <c r="AD19" s="156" t="str">
        <f>enquadramento!G19</f>
        <v/>
      </c>
    </row>
    <row r="20" spans="1:30" x14ac:dyDescent="0.3">
      <c r="A20" s="156" t="str">
        <f>IF(Retorno!$B20="","",Retorno!B20)</f>
        <v/>
      </c>
      <c r="B20" s="106" t="str">
        <f>IF(Retorno!$B20="","",Retorno!C20)</f>
        <v/>
      </c>
      <c r="C20" s="106" t="str">
        <f>IF(Retorno!$B20="","",Retorno!D20)</f>
        <v/>
      </c>
      <c r="D20" s="106" t="str">
        <f>IF(Retorno!$B20="","",Retorno!E20)</f>
        <v/>
      </c>
      <c r="E20" s="106" t="str">
        <f>IF(Retorno!$B20="","",Retorno!F20)</f>
        <v/>
      </c>
      <c r="F20" s="106" t="str">
        <f>IF(Retorno!$B20="","",Retorno!G20)</f>
        <v/>
      </c>
      <c r="G20" s="106" t="str">
        <f>IF(Retorno!$B20="","",Retorno!H20)</f>
        <v/>
      </c>
      <c r="H20" s="23" t="str">
        <f>IF(Retorno!$B20="","",Retorno!I20)</f>
        <v/>
      </c>
      <c r="I20" s="23" t="str">
        <f t="shared" si="0"/>
        <v/>
      </c>
      <c r="J20" s="23" t="str">
        <f t="shared" si="1"/>
        <v/>
      </c>
      <c r="L20" s="156" t="str">
        <f>Calculo_Indice_Sharpe!B20</f>
        <v/>
      </c>
      <c r="M20" s="156" t="str">
        <f>Calculo_Indice_Sharpe!C20</f>
        <v/>
      </c>
      <c r="N20" s="106" t="str">
        <f>VaR_Calculo!C172</f>
        <v/>
      </c>
      <c r="O20" s="23">
        <f>VaR_Calculo!D172</f>
        <v>0</v>
      </c>
      <c r="P20" s="106">
        <f>VaR_Calculo!E172</f>
        <v>0</v>
      </c>
      <c r="Q20" s="23">
        <f>VaR_Calculo!F172</f>
        <v>0</v>
      </c>
      <c r="R20" s="106">
        <f>VaR_Calculo!G172</f>
        <v>0</v>
      </c>
      <c r="T20" s="156" t="str">
        <f>Calculo_Indice_Sharpe!E20</f>
        <v/>
      </c>
      <c r="U20" s="156" t="str">
        <f>Calculo_Indice_Sharpe!F20</f>
        <v/>
      </c>
      <c r="W20" s="106" t="str">
        <f>Calculo_Indice_Sharpe!H20</f>
        <v/>
      </c>
      <c r="Y20" s="156" t="str">
        <f>enquadramento!B20</f>
        <v/>
      </c>
      <c r="Z20" s="106" t="str">
        <f>enquadramento!C20</f>
        <v/>
      </c>
      <c r="AA20" s="23" t="str">
        <f>enquadramento!D20</f>
        <v/>
      </c>
      <c r="AB20" s="32" t="str">
        <f>enquadramento!E20</f>
        <v/>
      </c>
      <c r="AC20" s="23" t="str">
        <f>enquadramento!F20</f>
        <v/>
      </c>
      <c r="AD20" s="156" t="str">
        <f>enquadramento!G20</f>
        <v/>
      </c>
    </row>
    <row r="21" spans="1:30" x14ac:dyDescent="0.3">
      <c r="A21" s="156" t="str">
        <f>IF(Retorno!$B21="","",Retorno!B21)</f>
        <v/>
      </c>
      <c r="B21" s="106" t="str">
        <f>IF(Retorno!$B21="","",Retorno!C21)</f>
        <v/>
      </c>
      <c r="C21" s="106" t="str">
        <f>IF(Retorno!$B21="","",Retorno!D21)</f>
        <v/>
      </c>
      <c r="D21" s="106" t="str">
        <f>IF(Retorno!$B21="","",Retorno!E21)</f>
        <v/>
      </c>
      <c r="E21" s="106" t="str">
        <f>IF(Retorno!$B21="","",Retorno!F21)</f>
        <v/>
      </c>
      <c r="F21" s="106" t="str">
        <f>IF(Retorno!$B21="","",Retorno!G21)</f>
        <v/>
      </c>
      <c r="G21" s="106" t="str">
        <f>IF(Retorno!$B21="","",Retorno!H21)</f>
        <v/>
      </c>
      <c r="H21" s="23" t="str">
        <f>IF(Retorno!$B21="","",Retorno!I21)</f>
        <v/>
      </c>
      <c r="I21" s="23" t="str">
        <f t="shared" si="0"/>
        <v/>
      </c>
      <c r="J21" s="23" t="str">
        <f t="shared" si="1"/>
        <v/>
      </c>
      <c r="L21" s="156" t="str">
        <f>Calculo_Indice_Sharpe!B21</f>
        <v/>
      </c>
      <c r="M21" s="156" t="str">
        <f>Calculo_Indice_Sharpe!C21</f>
        <v/>
      </c>
      <c r="N21" s="106" t="str">
        <f>VaR_Calculo!C173</f>
        <v/>
      </c>
      <c r="O21" s="23">
        <f>VaR_Calculo!D173</f>
        <v>0</v>
      </c>
      <c r="P21" s="106">
        <f>VaR_Calculo!E173</f>
        <v>0</v>
      </c>
      <c r="Q21" s="23">
        <f>VaR_Calculo!F173</f>
        <v>0</v>
      </c>
      <c r="R21" s="106">
        <f>VaR_Calculo!G173</f>
        <v>0</v>
      </c>
      <c r="T21" s="156" t="str">
        <f>Calculo_Indice_Sharpe!E21</f>
        <v/>
      </c>
      <c r="U21" s="156" t="str">
        <f>Calculo_Indice_Sharpe!F21</f>
        <v/>
      </c>
      <c r="W21" s="106" t="str">
        <f>Calculo_Indice_Sharpe!H21</f>
        <v/>
      </c>
      <c r="Y21" s="156" t="str">
        <f>enquadramento!B21</f>
        <v/>
      </c>
      <c r="Z21" s="106" t="str">
        <f>enquadramento!C21</f>
        <v/>
      </c>
      <c r="AA21" s="23" t="str">
        <f>enquadramento!D21</f>
        <v/>
      </c>
      <c r="AB21" s="32" t="str">
        <f>enquadramento!E21</f>
        <v/>
      </c>
      <c r="AC21" s="23" t="str">
        <f>enquadramento!F21</f>
        <v/>
      </c>
      <c r="AD21" s="156" t="str">
        <f>enquadramento!G21</f>
        <v/>
      </c>
    </row>
    <row r="22" spans="1:30" x14ac:dyDescent="0.3">
      <c r="A22" s="156" t="str">
        <f>IF(Retorno!$B22="","",Retorno!B22)</f>
        <v/>
      </c>
      <c r="B22" s="106" t="str">
        <f>IF(Retorno!$B22="","",Retorno!C22)</f>
        <v/>
      </c>
      <c r="C22" s="106" t="str">
        <f>IF(Retorno!$B22="","",Retorno!D22)</f>
        <v/>
      </c>
      <c r="D22" s="106" t="str">
        <f>IF(Retorno!$B22="","",Retorno!E22)</f>
        <v/>
      </c>
      <c r="E22" s="106" t="str">
        <f>IF(Retorno!$B22="","",Retorno!F22)</f>
        <v/>
      </c>
      <c r="F22" s="106" t="str">
        <f>IF(Retorno!$B22="","",Retorno!G22)</f>
        <v/>
      </c>
      <c r="G22" s="106" t="str">
        <f>IF(Retorno!$B22="","",Retorno!H22)</f>
        <v/>
      </c>
      <c r="H22" s="23" t="str">
        <f>IF(Retorno!$B22="","",Retorno!I22)</f>
        <v/>
      </c>
      <c r="I22" s="23" t="str">
        <f t="shared" si="0"/>
        <v/>
      </c>
      <c r="J22" s="23" t="str">
        <f t="shared" si="1"/>
        <v/>
      </c>
      <c r="L22" s="156" t="str">
        <f>Calculo_Indice_Sharpe!B22</f>
        <v/>
      </c>
      <c r="M22" s="156" t="str">
        <f>Calculo_Indice_Sharpe!C22</f>
        <v/>
      </c>
      <c r="N22" s="106" t="str">
        <f>VaR_Calculo!C174</f>
        <v/>
      </c>
      <c r="O22" s="23">
        <f>VaR_Calculo!D174</f>
        <v>0</v>
      </c>
      <c r="P22" s="106">
        <f>VaR_Calculo!E174</f>
        <v>0</v>
      </c>
      <c r="Q22" s="23">
        <f>VaR_Calculo!F174</f>
        <v>0</v>
      </c>
      <c r="R22" s="106">
        <f>VaR_Calculo!G174</f>
        <v>0</v>
      </c>
      <c r="T22" s="156" t="str">
        <f>Calculo_Indice_Sharpe!E22</f>
        <v/>
      </c>
      <c r="U22" s="156" t="str">
        <f>Calculo_Indice_Sharpe!F22</f>
        <v/>
      </c>
      <c r="W22" s="106" t="str">
        <f>Calculo_Indice_Sharpe!H22</f>
        <v/>
      </c>
      <c r="Y22" s="156" t="str">
        <f>enquadramento!B22</f>
        <v/>
      </c>
      <c r="Z22" s="106" t="str">
        <f>enquadramento!C22</f>
        <v/>
      </c>
      <c r="AA22" s="23" t="str">
        <f>enquadramento!D22</f>
        <v/>
      </c>
      <c r="AB22" s="32" t="str">
        <f>enquadramento!E22</f>
        <v/>
      </c>
      <c r="AC22" s="23" t="str">
        <f>enquadramento!F22</f>
        <v/>
      </c>
      <c r="AD22" s="156" t="str">
        <f>enquadramento!G22</f>
        <v/>
      </c>
    </row>
    <row r="23" spans="1:30" x14ac:dyDescent="0.3">
      <c r="A23" s="156" t="str">
        <f>IF(Retorno!$B23="","",Retorno!B23)</f>
        <v/>
      </c>
      <c r="B23" s="106" t="str">
        <f>IF(Retorno!$B23="","",Retorno!C23)</f>
        <v/>
      </c>
      <c r="C23" s="106" t="str">
        <f>IF(Retorno!$B23="","",Retorno!D23)</f>
        <v/>
      </c>
      <c r="D23" s="106" t="str">
        <f>IF(Retorno!$B23="","",Retorno!E23)</f>
        <v/>
      </c>
      <c r="E23" s="106" t="str">
        <f>IF(Retorno!$B23="","",Retorno!F23)</f>
        <v/>
      </c>
      <c r="F23" s="106" t="str">
        <f>IF(Retorno!$B23="","",Retorno!G23)</f>
        <v/>
      </c>
      <c r="G23" s="106" t="str">
        <f>IF(Retorno!$B23="","",Retorno!H23)</f>
        <v/>
      </c>
      <c r="H23" s="23" t="str">
        <f>IF(Retorno!$B23="","",Retorno!I23)</f>
        <v/>
      </c>
      <c r="I23" s="23" t="str">
        <f t="shared" si="0"/>
        <v/>
      </c>
      <c r="J23" s="23" t="str">
        <f t="shared" si="1"/>
        <v/>
      </c>
      <c r="L23" s="156" t="str">
        <f>Calculo_Indice_Sharpe!B23</f>
        <v/>
      </c>
      <c r="M23" s="156" t="str">
        <f>Calculo_Indice_Sharpe!C23</f>
        <v/>
      </c>
      <c r="N23" s="106" t="str">
        <f>VaR_Calculo!C175</f>
        <v/>
      </c>
      <c r="O23" s="23">
        <f>VaR_Calculo!D175</f>
        <v>0</v>
      </c>
      <c r="P23" s="106">
        <f>VaR_Calculo!E175</f>
        <v>0</v>
      </c>
      <c r="Q23" s="23">
        <f>VaR_Calculo!F175</f>
        <v>0</v>
      </c>
      <c r="R23" s="106">
        <f>VaR_Calculo!G175</f>
        <v>0</v>
      </c>
      <c r="T23" s="156" t="str">
        <f>Calculo_Indice_Sharpe!E23</f>
        <v/>
      </c>
      <c r="U23" s="156" t="str">
        <f>Calculo_Indice_Sharpe!F23</f>
        <v/>
      </c>
      <c r="W23" s="106" t="str">
        <f>Calculo_Indice_Sharpe!H23</f>
        <v/>
      </c>
      <c r="Y23" s="156" t="str">
        <f>enquadramento!B23</f>
        <v/>
      </c>
      <c r="Z23" s="106" t="str">
        <f>enquadramento!C23</f>
        <v/>
      </c>
      <c r="AA23" s="23" t="str">
        <f>enquadramento!D23</f>
        <v/>
      </c>
      <c r="AB23" s="32" t="str">
        <f>enquadramento!E23</f>
        <v/>
      </c>
      <c r="AC23" s="23" t="str">
        <f>enquadramento!F23</f>
        <v/>
      </c>
      <c r="AD23" s="156" t="str">
        <f>enquadramento!G23</f>
        <v/>
      </c>
    </row>
    <row r="24" spans="1:30" x14ac:dyDescent="0.3">
      <c r="A24" s="156" t="str">
        <f>IF(Retorno!$B24="","",Retorno!B24)</f>
        <v/>
      </c>
      <c r="B24" s="106" t="str">
        <f>IF(Retorno!$B24="","",Retorno!C24)</f>
        <v/>
      </c>
      <c r="C24" s="106" t="str">
        <f>IF(Retorno!$B24="","",Retorno!D24)</f>
        <v/>
      </c>
      <c r="D24" s="106" t="str">
        <f>IF(Retorno!$B24="","",Retorno!E24)</f>
        <v/>
      </c>
      <c r="E24" s="106" t="str">
        <f>IF(Retorno!$B24="","",Retorno!F24)</f>
        <v/>
      </c>
      <c r="F24" s="106" t="str">
        <f>IF(Retorno!$B24="","",Retorno!G24)</f>
        <v/>
      </c>
      <c r="G24" s="106" t="str">
        <f>IF(Retorno!$B24="","",Retorno!H24)</f>
        <v/>
      </c>
      <c r="H24" s="23" t="str">
        <f>IF(Retorno!$B24="","",Retorno!I24)</f>
        <v/>
      </c>
      <c r="I24" s="23" t="str">
        <f t="shared" si="0"/>
        <v/>
      </c>
      <c r="J24" s="23" t="str">
        <f t="shared" si="1"/>
        <v/>
      </c>
      <c r="L24" s="156" t="str">
        <f>Calculo_Indice_Sharpe!B24</f>
        <v/>
      </c>
      <c r="M24" s="156" t="str">
        <f>Calculo_Indice_Sharpe!C24</f>
        <v/>
      </c>
      <c r="N24" s="106" t="str">
        <f>VaR_Calculo!C176</f>
        <v/>
      </c>
      <c r="O24" s="23">
        <f>VaR_Calculo!D176</f>
        <v>0</v>
      </c>
      <c r="P24" s="106">
        <f>VaR_Calculo!E176</f>
        <v>0</v>
      </c>
      <c r="Q24" s="23">
        <f>VaR_Calculo!F176</f>
        <v>0</v>
      </c>
      <c r="R24" s="106">
        <f>VaR_Calculo!G176</f>
        <v>0</v>
      </c>
      <c r="T24" s="156" t="str">
        <f>Calculo_Indice_Sharpe!E24</f>
        <v/>
      </c>
      <c r="U24" s="156" t="str">
        <f>Calculo_Indice_Sharpe!F24</f>
        <v/>
      </c>
      <c r="W24" s="106" t="str">
        <f>Calculo_Indice_Sharpe!H24</f>
        <v/>
      </c>
      <c r="Y24" s="156" t="str">
        <f>enquadramento!B24</f>
        <v/>
      </c>
      <c r="Z24" s="106" t="str">
        <f>enquadramento!C24</f>
        <v/>
      </c>
      <c r="AA24" s="23" t="str">
        <f>enquadramento!D24</f>
        <v/>
      </c>
      <c r="AB24" s="32" t="str">
        <f>enquadramento!E24</f>
        <v/>
      </c>
      <c r="AC24" s="23" t="str">
        <f>enquadramento!F24</f>
        <v/>
      </c>
      <c r="AD24" s="156" t="str">
        <f>enquadramento!G24</f>
        <v/>
      </c>
    </row>
    <row r="25" spans="1:30" x14ac:dyDescent="0.3">
      <c r="A25" s="156" t="str">
        <f>IF(Retorno!$B25="","",Retorno!B25)</f>
        <v/>
      </c>
      <c r="B25" s="106" t="str">
        <f>IF(Retorno!$B25="","",Retorno!C25)</f>
        <v/>
      </c>
      <c r="C25" s="106" t="str">
        <f>IF(Retorno!$B25="","",Retorno!D25)</f>
        <v/>
      </c>
      <c r="D25" s="106" t="str">
        <f>IF(Retorno!$B25="","",Retorno!E25)</f>
        <v/>
      </c>
      <c r="E25" s="106" t="str">
        <f>IF(Retorno!$B25="","",Retorno!F25)</f>
        <v/>
      </c>
      <c r="F25" s="106" t="str">
        <f>IF(Retorno!$B25="","",Retorno!G25)</f>
        <v/>
      </c>
      <c r="G25" s="106" t="str">
        <f>IF(Retorno!$B25="","",Retorno!H25)</f>
        <v/>
      </c>
      <c r="H25" s="23" t="str">
        <f>IF(Retorno!$B25="","",Retorno!I25)</f>
        <v/>
      </c>
      <c r="I25" s="23" t="str">
        <f t="shared" si="0"/>
        <v/>
      </c>
      <c r="J25" s="23" t="str">
        <f t="shared" si="1"/>
        <v/>
      </c>
      <c r="L25" s="156" t="str">
        <f>Calculo_Indice_Sharpe!B25</f>
        <v/>
      </c>
      <c r="M25" s="156" t="str">
        <f>Calculo_Indice_Sharpe!C25</f>
        <v/>
      </c>
      <c r="N25" s="106" t="str">
        <f>VaR_Calculo!C177</f>
        <v/>
      </c>
      <c r="O25" s="23">
        <f>VaR_Calculo!D177</f>
        <v>0</v>
      </c>
      <c r="P25" s="106">
        <f>VaR_Calculo!E177</f>
        <v>0</v>
      </c>
      <c r="Q25" s="23">
        <f>VaR_Calculo!F177</f>
        <v>0</v>
      </c>
      <c r="R25" s="106">
        <f>VaR_Calculo!G177</f>
        <v>0</v>
      </c>
      <c r="T25" s="156" t="str">
        <f>Calculo_Indice_Sharpe!E25</f>
        <v/>
      </c>
      <c r="U25" s="156" t="str">
        <f>Calculo_Indice_Sharpe!F25</f>
        <v/>
      </c>
      <c r="W25" s="106" t="str">
        <f>Calculo_Indice_Sharpe!H25</f>
        <v/>
      </c>
      <c r="Y25" s="156" t="str">
        <f>enquadramento!B25</f>
        <v/>
      </c>
      <c r="Z25" s="106" t="str">
        <f>enquadramento!C25</f>
        <v/>
      </c>
      <c r="AA25" s="23" t="str">
        <f>enquadramento!D25</f>
        <v/>
      </c>
      <c r="AB25" s="32" t="str">
        <f>enquadramento!E25</f>
        <v/>
      </c>
      <c r="AC25" s="23" t="str">
        <f>enquadramento!F25</f>
        <v/>
      </c>
      <c r="AD25" s="156" t="str">
        <f>enquadramento!G25</f>
        <v/>
      </c>
    </row>
    <row r="26" spans="1:30" x14ac:dyDescent="0.3">
      <c r="A26" s="156" t="str">
        <f>IF(Retorno!$B26="","",Retorno!B26)</f>
        <v/>
      </c>
      <c r="B26" s="106" t="str">
        <f>IF(Retorno!$B26="","",Retorno!C26)</f>
        <v/>
      </c>
      <c r="C26" s="106" t="str">
        <f>IF(Retorno!$B26="","",Retorno!D26)</f>
        <v/>
      </c>
      <c r="D26" s="106" t="str">
        <f>IF(Retorno!$B26="","",Retorno!E26)</f>
        <v/>
      </c>
      <c r="E26" s="106" t="str">
        <f>IF(Retorno!$B26="","",Retorno!F26)</f>
        <v/>
      </c>
      <c r="F26" s="106" t="str">
        <f>IF(Retorno!$B26="","",Retorno!G26)</f>
        <v/>
      </c>
      <c r="G26" s="106" t="str">
        <f>IF(Retorno!$B26="","",Retorno!H26)</f>
        <v/>
      </c>
      <c r="H26" s="23" t="str">
        <f>IF(Retorno!$B26="","",Retorno!I26)</f>
        <v/>
      </c>
      <c r="I26" s="23" t="str">
        <f t="shared" si="0"/>
        <v/>
      </c>
      <c r="J26" s="23" t="str">
        <f t="shared" si="1"/>
        <v/>
      </c>
      <c r="L26" s="156" t="str">
        <f>Calculo_Indice_Sharpe!B26</f>
        <v/>
      </c>
      <c r="M26" s="156" t="str">
        <f>Calculo_Indice_Sharpe!C26</f>
        <v/>
      </c>
      <c r="N26" s="106" t="str">
        <f>VaR_Calculo!C178</f>
        <v/>
      </c>
      <c r="O26" s="23">
        <f>VaR_Calculo!D178</f>
        <v>0</v>
      </c>
      <c r="P26" s="106">
        <f>VaR_Calculo!E178</f>
        <v>0</v>
      </c>
      <c r="Q26" s="23">
        <f>VaR_Calculo!F178</f>
        <v>0</v>
      </c>
      <c r="R26" s="106">
        <f>VaR_Calculo!G178</f>
        <v>0</v>
      </c>
      <c r="T26" s="156" t="str">
        <f>Calculo_Indice_Sharpe!E26</f>
        <v/>
      </c>
      <c r="U26" s="156" t="str">
        <f>Calculo_Indice_Sharpe!F26</f>
        <v/>
      </c>
      <c r="W26" s="106" t="str">
        <f>Calculo_Indice_Sharpe!H26</f>
        <v/>
      </c>
      <c r="Y26" s="156" t="str">
        <f>enquadramento!B26</f>
        <v/>
      </c>
      <c r="Z26" s="106" t="str">
        <f>enquadramento!C26</f>
        <v/>
      </c>
      <c r="AA26" s="23" t="str">
        <f>enquadramento!D26</f>
        <v/>
      </c>
      <c r="AB26" s="32" t="str">
        <f>enquadramento!E26</f>
        <v/>
      </c>
      <c r="AC26" s="23" t="str">
        <f>enquadramento!F26</f>
        <v/>
      </c>
      <c r="AD26" s="156" t="str">
        <f>enquadramento!G26</f>
        <v/>
      </c>
    </row>
    <row r="27" spans="1:30" x14ac:dyDescent="0.3">
      <c r="A27" s="156" t="str">
        <f>IF(Retorno!$B27="","",Retorno!B27)</f>
        <v/>
      </c>
      <c r="B27" s="106" t="str">
        <f>IF(Retorno!$B27="","",Retorno!C27)</f>
        <v/>
      </c>
      <c r="C27" s="106" t="str">
        <f>IF(Retorno!$B27="","",Retorno!D27)</f>
        <v/>
      </c>
      <c r="D27" s="106" t="str">
        <f>IF(Retorno!$B27="","",Retorno!E27)</f>
        <v/>
      </c>
      <c r="E27" s="106" t="str">
        <f>IF(Retorno!$B27="","",Retorno!F27)</f>
        <v/>
      </c>
      <c r="F27" s="106" t="str">
        <f>IF(Retorno!$B27="","",Retorno!G27)</f>
        <v/>
      </c>
      <c r="G27" s="106" t="str">
        <f>IF(Retorno!$B27="","",Retorno!H27)</f>
        <v/>
      </c>
      <c r="H27" s="23" t="str">
        <f>IF(Retorno!$B27="","",Retorno!I27)</f>
        <v/>
      </c>
      <c r="I27" s="23" t="str">
        <f t="shared" si="0"/>
        <v/>
      </c>
      <c r="J27" s="23" t="str">
        <f t="shared" si="1"/>
        <v/>
      </c>
      <c r="L27" s="156" t="str">
        <f>Calculo_Indice_Sharpe!B27</f>
        <v/>
      </c>
      <c r="M27" s="156" t="str">
        <f>Calculo_Indice_Sharpe!C27</f>
        <v/>
      </c>
      <c r="N27" s="106" t="str">
        <f>VaR_Calculo!C179</f>
        <v/>
      </c>
      <c r="O27" s="23">
        <f>VaR_Calculo!D179</f>
        <v>0</v>
      </c>
      <c r="P27" s="106">
        <f>VaR_Calculo!E179</f>
        <v>0</v>
      </c>
      <c r="Q27" s="23">
        <f>VaR_Calculo!F179</f>
        <v>0</v>
      </c>
      <c r="R27" s="106">
        <f>VaR_Calculo!G179</f>
        <v>0</v>
      </c>
      <c r="T27" s="156" t="str">
        <f>Calculo_Indice_Sharpe!E27</f>
        <v/>
      </c>
      <c r="U27" s="156" t="str">
        <f>Calculo_Indice_Sharpe!F27</f>
        <v/>
      </c>
      <c r="W27" s="106" t="str">
        <f>Calculo_Indice_Sharpe!H27</f>
        <v/>
      </c>
      <c r="Y27" s="156" t="str">
        <f>enquadramento!B27</f>
        <v/>
      </c>
      <c r="Z27" s="106" t="str">
        <f>enquadramento!C27</f>
        <v/>
      </c>
      <c r="AA27" s="23" t="str">
        <f>enquadramento!D27</f>
        <v/>
      </c>
      <c r="AB27" s="32" t="str">
        <f>enquadramento!E27</f>
        <v/>
      </c>
      <c r="AC27" s="23" t="str">
        <f>enquadramento!F27</f>
        <v/>
      </c>
      <c r="AD27" s="156" t="str">
        <f>enquadramento!G27</f>
        <v/>
      </c>
    </row>
    <row r="28" spans="1:30" x14ac:dyDescent="0.3">
      <c r="A28" s="156" t="str">
        <f>IF(Retorno!$B28="","",Retorno!B28)</f>
        <v/>
      </c>
      <c r="B28" s="106" t="str">
        <f>IF(Retorno!$B28="","",Retorno!C28)</f>
        <v/>
      </c>
      <c r="C28" s="106" t="str">
        <f>IF(Retorno!$B28="","",Retorno!D28)</f>
        <v/>
      </c>
      <c r="D28" s="106" t="str">
        <f>IF(Retorno!$B28="","",Retorno!E28)</f>
        <v/>
      </c>
      <c r="E28" s="106" t="str">
        <f>IF(Retorno!$B28="","",Retorno!F28)</f>
        <v/>
      </c>
      <c r="F28" s="106" t="str">
        <f>IF(Retorno!$B28="","",Retorno!G28)</f>
        <v/>
      </c>
      <c r="G28" s="106" t="str">
        <f>IF(Retorno!$B28="","",Retorno!H28)</f>
        <v/>
      </c>
      <c r="H28" s="23" t="str">
        <f>IF(Retorno!$B28="","",Retorno!I28)</f>
        <v/>
      </c>
      <c r="I28" s="23" t="str">
        <f t="shared" si="0"/>
        <v/>
      </c>
      <c r="J28" s="23" t="str">
        <f t="shared" si="1"/>
        <v/>
      </c>
      <c r="L28" s="156" t="str">
        <f>Calculo_Indice_Sharpe!B28</f>
        <v/>
      </c>
      <c r="M28" s="156" t="str">
        <f>Calculo_Indice_Sharpe!C28</f>
        <v/>
      </c>
      <c r="N28" s="106" t="str">
        <f>VaR_Calculo!C180</f>
        <v/>
      </c>
      <c r="O28" s="23">
        <f>VaR_Calculo!D180</f>
        <v>0</v>
      </c>
      <c r="P28" s="106">
        <f>VaR_Calculo!E180</f>
        <v>0</v>
      </c>
      <c r="Q28" s="23">
        <f>VaR_Calculo!F180</f>
        <v>0</v>
      </c>
      <c r="R28" s="106">
        <f>VaR_Calculo!G180</f>
        <v>0</v>
      </c>
      <c r="T28" s="156" t="str">
        <f>Calculo_Indice_Sharpe!E28</f>
        <v/>
      </c>
      <c r="U28" s="156" t="str">
        <f>Calculo_Indice_Sharpe!F28</f>
        <v/>
      </c>
      <c r="W28" s="106" t="str">
        <f>Calculo_Indice_Sharpe!H28</f>
        <v/>
      </c>
      <c r="Y28" s="156" t="str">
        <f>enquadramento!B28</f>
        <v/>
      </c>
      <c r="Z28" s="106" t="str">
        <f>enquadramento!C28</f>
        <v/>
      </c>
      <c r="AA28" s="23" t="str">
        <f>enquadramento!D28</f>
        <v/>
      </c>
      <c r="AB28" s="32" t="str">
        <f>enquadramento!E28</f>
        <v/>
      </c>
      <c r="AC28" s="23" t="str">
        <f>enquadramento!F28</f>
        <v/>
      </c>
      <c r="AD28" s="156" t="str">
        <f>enquadramento!G28</f>
        <v/>
      </c>
    </row>
    <row r="29" spans="1:30" x14ac:dyDescent="0.3">
      <c r="A29" s="156" t="str">
        <f>IF(Retorno!$B29="","",Retorno!B29)</f>
        <v/>
      </c>
      <c r="B29" s="106" t="str">
        <f>IF(Retorno!$B29="","",Retorno!C29)</f>
        <v/>
      </c>
      <c r="C29" s="106" t="str">
        <f>IF(Retorno!$B29="","",Retorno!D29)</f>
        <v/>
      </c>
      <c r="D29" s="106" t="str">
        <f>IF(Retorno!$B29="","",Retorno!E29)</f>
        <v/>
      </c>
      <c r="E29" s="106" t="str">
        <f>IF(Retorno!$B29="","",Retorno!F29)</f>
        <v/>
      </c>
      <c r="F29" s="106" t="str">
        <f>IF(Retorno!$B29="","",Retorno!G29)</f>
        <v/>
      </c>
      <c r="G29" s="106" t="str">
        <f>IF(Retorno!$B29="","",Retorno!H29)</f>
        <v/>
      </c>
      <c r="H29" s="23" t="str">
        <f>IF(Retorno!$B29="","",Retorno!I29)</f>
        <v/>
      </c>
      <c r="I29" s="23" t="str">
        <f t="shared" si="0"/>
        <v/>
      </c>
      <c r="J29" s="23" t="str">
        <f t="shared" si="1"/>
        <v/>
      </c>
      <c r="L29" s="156" t="str">
        <f>Calculo_Indice_Sharpe!B29</f>
        <v/>
      </c>
      <c r="M29" s="156" t="str">
        <f>Calculo_Indice_Sharpe!C29</f>
        <v/>
      </c>
      <c r="N29" s="106" t="str">
        <f>VaR_Calculo!C181</f>
        <v/>
      </c>
      <c r="O29" s="23">
        <f>VaR_Calculo!D181</f>
        <v>0</v>
      </c>
      <c r="P29" s="106">
        <f>VaR_Calculo!E181</f>
        <v>0</v>
      </c>
      <c r="Q29" s="23">
        <f>VaR_Calculo!F181</f>
        <v>0</v>
      </c>
      <c r="R29" s="106">
        <f>VaR_Calculo!G181</f>
        <v>0</v>
      </c>
      <c r="T29" s="156" t="str">
        <f>Calculo_Indice_Sharpe!E29</f>
        <v/>
      </c>
      <c r="U29" s="156" t="str">
        <f>Calculo_Indice_Sharpe!F29</f>
        <v/>
      </c>
      <c r="W29" s="106" t="str">
        <f>Calculo_Indice_Sharpe!H29</f>
        <v/>
      </c>
      <c r="Y29" s="156" t="str">
        <f>enquadramento!B29</f>
        <v/>
      </c>
      <c r="Z29" s="106" t="str">
        <f>enquadramento!C29</f>
        <v/>
      </c>
      <c r="AA29" s="23" t="str">
        <f>enquadramento!D29</f>
        <v/>
      </c>
      <c r="AB29" s="32" t="str">
        <f>enquadramento!E29</f>
        <v/>
      </c>
      <c r="AC29" s="23" t="str">
        <f>enquadramento!F29</f>
        <v/>
      </c>
      <c r="AD29" s="156" t="str">
        <f>enquadramento!G29</f>
        <v/>
      </c>
    </row>
    <row r="30" spans="1:30" x14ac:dyDescent="0.3">
      <c r="A30" s="156" t="str">
        <f>IF(Retorno!$B30="","",Retorno!B30)</f>
        <v/>
      </c>
      <c r="B30" s="106" t="str">
        <f>IF(Retorno!$B30="","",Retorno!C30)</f>
        <v/>
      </c>
      <c r="C30" s="106" t="str">
        <f>IF(Retorno!$B30="","",Retorno!D30)</f>
        <v/>
      </c>
      <c r="D30" s="106" t="str">
        <f>IF(Retorno!$B30="","",Retorno!E30)</f>
        <v/>
      </c>
      <c r="E30" s="106" t="str">
        <f>IF(Retorno!$B30="","",Retorno!F30)</f>
        <v/>
      </c>
      <c r="F30" s="106" t="str">
        <f>IF(Retorno!$B30="","",Retorno!G30)</f>
        <v/>
      </c>
      <c r="G30" s="106" t="str">
        <f>IF(Retorno!$B30="","",Retorno!H30)</f>
        <v/>
      </c>
      <c r="H30" s="23" t="str">
        <f>IF(Retorno!$B30="","",Retorno!I30)</f>
        <v/>
      </c>
      <c r="I30" s="23" t="str">
        <f t="shared" si="0"/>
        <v/>
      </c>
      <c r="J30" s="23" t="str">
        <f t="shared" si="1"/>
        <v/>
      </c>
      <c r="L30" s="156" t="str">
        <f>Calculo_Indice_Sharpe!B30</f>
        <v/>
      </c>
      <c r="M30" s="156" t="str">
        <f>Calculo_Indice_Sharpe!C30</f>
        <v/>
      </c>
      <c r="N30" s="106" t="str">
        <f>VaR_Calculo!C182</f>
        <v/>
      </c>
      <c r="O30" s="23">
        <f>VaR_Calculo!D182</f>
        <v>0</v>
      </c>
      <c r="P30" s="106">
        <f>VaR_Calculo!E182</f>
        <v>0</v>
      </c>
      <c r="Q30" s="23">
        <f>VaR_Calculo!F182</f>
        <v>0</v>
      </c>
      <c r="R30" s="106">
        <f>VaR_Calculo!G182</f>
        <v>0</v>
      </c>
      <c r="T30" s="156" t="str">
        <f>Calculo_Indice_Sharpe!E30</f>
        <v/>
      </c>
      <c r="U30" s="156" t="str">
        <f>Calculo_Indice_Sharpe!F30</f>
        <v/>
      </c>
      <c r="W30" s="106" t="str">
        <f>Calculo_Indice_Sharpe!H30</f>
        <v/>
      </c>
      <c r="Y30" s="156" t="str">
        <f>enquadramento!B30</f>
        <v/>
      </c>
      <c r="Z30" s="106" t="str">
        <f>enquadramento!C30</f>
        <v/>
      </c>
      <c r="AA30" s="23" t="str">
        <f>enquadramento!D30</f>
        <v/>
      </c>
      <c r="AB30" s="32" t="str">
        <f>enquadramento!E30</f>
        <v/>
      </c>
      <c r="AC30" s="23" t="str">
        <f>enquadramento!F30</f>
        <v/>
      </c>
      <c r="AD30" s="156" t="str">
        <f>enquadramento!G30</f>
        <v/>
      </c>
    </row>
    <row r="31" spans="1:30" x14ac:dyDescent="0.3">
      <c r="A31" s="156" t="str">
        <f>IF(Retorno!$B31="","",Retorno!B31)</f>
        <v/>
      </c>
      <c r="B31" s="106" t="str">
        <f>IF(Retorno!$B31="","",Retorno!C31)</f>
        <v/>
      </c>
      <c r="C31" s="106" t="str">
        <f>IF(Retorno!$B31="","",Retorno!D31)</f>
        <v/>
      </c>
      <c r="D31" s="106" t="str">
        <f>IF(Retorno!$B31="","",Retorno!E31)</f>
        <v/>
      </c>
      <c r="E31" s="106" t="str">
        <f>IF(Retorno!$B31="","",Retorno!F31)</f>
        <v/>
      </c>
      <c r="F31" s="106" t="str">
        <f>IF(Retorno!$B31="","",Retorno!G31)</f>
        <v/>
      </c>
      <c r="G31" s="106" t="str">
        <f>IF(Retorno!$B31="","",Retorno!H31)</f>
        <v/>
      </c>
      <c r="H31" s="23" t="str">
        <f>IF(Retorno!$B31="","",Retorno!I31)</f>
        <v/>
      </c>
      <c r="I31" s="23" t="str">
        <f t="shared" si="0"/>
        <v/>
      </c>
      <c r="J31" s="23" t="str">
        <f t="shared" si="1"/>
        <v/>
      </c>
      <c r="L31" s="156" t="str">
        <f>Calculo_Indice_Sharpe!B31</f>
        <v/>
      </c>
      <c r="M31" s="156" t="str">
        <f>Calculo_Indice_Sharpe!C31</f>
        <v/>
      </c>
      <c r="N31" s="106" t="str">
        <f>VaR_Calculo!C183</f>
        <v/>
      </c>
      <c r="O31" s="23">
        <f>VaR_Calculo!D183</f>
        <v>0</v>
      </c>
      <c r="P31" s="106">
        <f>VaR_Calculo!E183</f>
        <v>0</v>
      </c>
      <c r="Q31" s="23">
        <f>VaR_Calculo!F183</f>
        <v>0</v>
      </c>
      <c r="R31" s="106">
        <f>VaR_Calculo!G183</f>
        <v>0</v>
      </c>
      <c r="T31" s="156" t="str">
        <f>Calculo_Indice_Sharpe!E31</f>
        <v/>
      </c>
      <c r="U31" s="156" t="str">
        <f>Calculo_Indice_Sharpe!F31</f>
        <v/>
      </c>
      <c r="W31" s="106" t="str">
        <f>Calculo_Indice_Sharpe!H31</f>
        <v/>
      </c>
      <c r="Y31" s="156" t="str">
        <f>enquadramento!B31</f>
        <v/>
      </c>
      <c r="Z31" s="106" t="str">
        <f>enquadramento!C31</f>
        <v/>
      </c>
      <c r="AA31" s="23" t="str">
        <f>enquadramento!D31</f>
        <v/>
      </c>
      <c r="AB31" s="32" t="str">
        <f>enquadramento!E31</f>
        <v/>
      </c>
      <c r="AC31" s="23" t="str">
        <f>enquadramento!F31</f>
        <v/>
      </c>
      <c r="AD31" s="156" t="str">
        <f>enquadramento!G31</f>
        <v/>
      </c>
    </row>
    <row r="32" spans="1:30" x14ac:dyDescent="0.3">
      <c r="A32" s="156" t="str">
        <f>IF(Retorno!$B32="","",Retorno!B32)</f>
        <v/>
      </c>
      <c r="B32" s="106" t="str">
        <f>IF(Retorno!$B32="","",Retorno!C32)</f>
        <v/>
      </c>
      <c r="C32" s="106" t="str">
        <f>IF(Retorno!$B32="","",Retorno!D32)</f>
        <v/>
      </c>
      <c r="D32" s="106" t="str">
        <f>IF(Retorno!$B32="","",Retorno!E32)</f>
        <v/>
      </c>
      <c r="E32" s="106" t="str">
        <f>IF(Retorno!$B32="","",Retorno!F32)</f>
        <v/>
      </c>
      <c r="F32" s="106" t="str">
        <f>IF(Retorno!$B32="","",Retorno!G32)</f>
        <v/>
      </c>
      <c r="G32" s="106" t="str">
        <f>IF(Retorno!$B32="","",Retorno!H32)</f>
        <v/>
      </c>
      <c r="H32" s="23" t="str">
        <f>IF(Retorno!$B32="","",Retorno!I32)</f>
        <v/>
      </c>
      <c r="I32" s="23" t="str">
        <f t="shared" si="0"/>
        <v/>
      </c>
      <c r="J32" s="23" t="str">
        <f t="shared" si="1"/>
        <v/>
      </c>
      <c r="L32" s="156" t="str">
        <f>Calculo_Indice_Sharpe!B32</f>
        <v/>
      </c>
      <c r="M32" s="156" t="str">
        <f>Calculo_Indice_Sharpe!C32</f>
        <v/>
      </c>
      <c r="N32" s="106"/>
      <c r="O32" s="23"/>
      <c r="P32" s="106"/>
      <c r="Q32" s="23"/>
      <c r="R32" s="106"/>
      <c r="T32" s="156" t="str">
        <f>Calculo_Indice_Sharpe!E32</f>
        <v/>
      </c>
      <c r="U32" s="156" t="str">
        <f>Calculo_Indice_Sharpe!F32</f>
        <v/>
      </c>
      <c r="W32" s="106" t="str">
        <f>Calculo_Indice_Sharpe!H32</f>
        <v/>
      </c>
      <c r="Y32" s="156" t="str">
        <f>enquadramento!B32</f>
        <v/>
      </c>
      <c r="Z32" s="106" t="str">
        <f>enquadramento!C32</f>
        <v/>
      </c>
      <c r="AA32" s="23" t="str">
        <f>enquadramento!D32</f>
        <v/>
      </c>
      <c r="AB32" s="32" t="str">
        <f>enquadramento!E32</f>
        <v/>
      </c>
      <c r="AC32" s="23" t="str">
        <f>enquadramento!F32</f>
        <v/>
      </c>
      <c r="AD32" s="156" t="str">
        <f>enquadramento!G32</f>
        <v/>
      </c>
    </row>
    <row r="33" spans="1:30" x14ac:dyDescent="0.3">
      <c r="A33" s="156" t="str">
        <f>IF(Retorno!$B33="","",Retorno!B33)</f>
        <v/>
      </c>
      <c r="B33" s="106" t="str">
        <f>IF(Retorno!$B33="","",Retorno!C33)</f>
        <v/>
      </c>
      <c r="C33" s="106" t="str">
        <f>IF(Retorno!$B33="","",Retorno!D33)</f>
        <v/>
      </c>
      <c r="D33" s="106" t="str">
        <f>IF(Retorno!$B33="","",Retorno!E33)</f>
        <v/>
      </c>
      <c r="E33" s="106" t="str">
        <f>IF(Retorno!$B33="","",Retorno!F33)</f>
        <v/>
      </c>
      <c r="F33" s="106" t="str">
        <f>IF(Retorno!$B33="","",Retorno!G33)</f>
        <v/>
      </c>
      <c r="G33" s="106" t="str">
        <f>IF(Retorno!$B33="","",Retorno!H33)</f>
        <v/>
      </c>
      <c r="H33" s="23" t="str">
        <f>IF(Retorno!$B33="","",Retorno!I33)</f>
        <v/>
      </c>
      <c r="I33" s="23" t="str">
        <f t="shared" si="0"/>
        <v/>
      </c>
      <c r="J33" s="23" t="str">
        <f t="shared" si="1"/>
        <v/>
      </c>
      <c r="L33" s="156" t="str">
        <f>Calculo_Indice_Sharpe!B33</f>
        <v/>
      </c>
      <c r="M33" s="156" t="str">
        <f>Calculo_Indice_Sharpe!C33</f>
        <v/>
      </c>
      <c r="N33" s="106"/>
      <c r="O33" s="23"/>
      <c r="P33" s="106"/>
      <c r="Q33" s="23"/>
      <c r="R33" s="106"/>
      <c r="T33" s="156" t="str">
        <f>Calculo_Indice_Sharpe!E33</f>
        <v/>
      </c>
      <c r="U33" s="156" t="str">
        <f>Calculo_Indice_Sharpe!F33</f>
        <v/>
      </c>
      <c r="W33" s="106" t="str">
        <f>Calculo_Indice_Sharpe!H33</f>
        <v/>
      </c>
      <c r="Y33" s="156" t="str">
        <f>enquadramento!B33</f>
        <v/>
      </c>
      <c r="Z33" s="106" t="str">
        <f>enquadramento!C33</f>
        <v/>
      </c>
      <c r="AA33" s="23" t="str">
        <f>enquadramento!D33</f>
        <v/>
      </c>
      <c r="AB33" s="32" t="str">
        <f>enquadramento!E33</f>
        <v/>
      </c>
      <c r="AC33" s="23" t="str">
        <f>enquadramento!F33</f>
        <v/>
      </c>
      <c r="AD33" s="156" t="str">
        <f>enquadramento!G33</f>
        <v/>
      </c>
    </row>
    <row r="34" spans="1:30" x14ac:dyDescent="0.3">
      <c r="A34" s="156" t="str">
        <f>IF(Retorno!$B34="","",Retorno!B34)</f>
        <v/>
      </c>
      <c r="B34" s="106" t="str">
        <f>IF(Retorno!$B34="","",Retorno!C34)</f>
        <v/>
      </c>
      <c r="C34" s="106" t="str">
        <f>IF(Retorno!$B34="","",Retorno!D34)</f>
        <v/>
      </c>
      <c r="D34" s="106" t="str">
        <f>IF(Retorno!$B34="","",Retorno!E34)</f>
        <v/>
      </c>
      <c r="E34" s="106" t="str">
        <f>IF(Retorno!$B34="","",Retorno!F34)</f>
        <v/>
      </c>
      <c r="F34" s="106" t="str">
        <f>IF(Retorno!$B34="","",Retorno!G34)</f>
        <v/>
      </c>
      <c r="G34" s="106" t="str">
        <f>IF(Retorno!$B34="","",Retorno!H34)</f>
        <v/>
      </c>
      <c r="H34" s="23" t="str">
        <f>IF(Retorno!$B34="","",Retorno!I34)</f>
        <v/>
      </c>
      <c r="I34" s="23" t="str">
        <f t="shared" si="0"/>
        <v/>
      </c>
      <c r="J34" s="23" t="str">
        <f t="shared" si="1"/>
        <v/>
      </c>
      <c r="L34" s="156" t="str">
        <f>Calculo_Indice_Sharpe!B34</f>
        <v/>
      </c>
      <c r="M34" s="156" t="str">
        <f>Calculo_Indice_Sharpe!C34</f>
        <v/>
      </c>
      <c r="N34" s="106"/>
      <c r="O34" s="23"/>
      <c r="P34" s="106"/>
      <c r="Q34" s="23"/>
      <c r="R34" s="106"/>
      <c r="T34" s="156" t="str">
        <f>Calculo_Indice_Sharpe!E34</f>
        <v/>
      </c>
      <c r="U34" s="156" t="str">
        <f>Calculo_Indice_Sharpe!F34</f>
        <v/>
      </c>
      <c r="W34" s="106" t="str">
        <f>Calculo_Indice_Sharpe!H34</f>
        <v/>
      </c>
      <c r="Y34" s="156" t="str">
        <f>enquadramento!B34</f>
        <v/>
      </c>
      <c r="Z34" s="106" t="str">
        <f>enquadramento!C34</f>
        <v/>
      </c>
      <c r="AA34" s="23" t="str">
        <f>enquadramento!D34</f>
        <v/>
      </c>
      <c r="AB34" s="32" t="str">
        <f>enquadramento!E34</f>
        <v/>
      </c>
      <c r="AC34" s="23" t="str">
        <f>enquadramento!F34</f>
        <v/>
      </c>
      <c r="AD34" s="156" t="str">
        <f>enquadramento!G34</f>
        <v/>
      </c>
    </row>
    <row r="35" spans="1:30" x14ac:dyDescent="0.3">
      <c r="A35" s="156" t="str">
        <f>IF(Retorno!$B35="","",Retorno!B35)</f>
        <v/>
      </c>
      <c r="B35" s="106" t="str">
        <f>IF(Retorno!$B35="","",Retorno!C35)</f>
        <v/>
      </c>
      <c r="C35" s="106" t="str">
        <f>IF(Retorno!$B35="","",Retorno!D35)</f>
        <v/>
      </c>
      <c r="D35" s="106" t="str">
        <f>IF(Retorno!$B35="","",Retorno!E35)</f>
        <v/>
      </c>
      <c r="E35" s="106" t="str">
        <f>IF(Retorno!$B35="","",Retorno!F35)</f>
        <v/>
      </c>
      <c r="F35" s="106" t="str">
        <f>IF(Retorno!$B35="","",Retorno!G35)</f>
        <v/>
      </c>
      <c r="G35" s="106" t="str">
        <f>IF(Retorno!$B35="","",Retorno!H35)</f>
        <v/>
      </c>
      <c r="H35" s="23" t="str">
        <f>IF(Retorno!$B35="","",Retorno!I35)</f>
        <v/>
      </c>
      <c r="I35" s="23" t="str">
        <f t="shared" si="0"/>
        <v/>
      </c>
      <c r="J35" s="23" t="str">
        <f t="shared" si="1"/>
        <v/>
      </c>
      <c r="L35" s="156" t="str">
        <f>Calculo_Indice_Sharpe!B35</f>
        <v/>
      </c>
      <c r="M35" s="156" t="str">
        <f>Calculo_Indice_Sharpe!C35</f>
        <v/>
      </c>
      <c r="N35" s="106"/>
      <c r="O35" s="23"/>
      <c r="P35" s="106"/>
      <c r="Q35" s="23"/>
      <c r="R35" s="106"/>
      <c r="T35" s="156" t="str">
        <f>Calculo_Indice_Sharpe!E35</f>
        <v/>
      </c>
      <c r="U35" s="156" t="str">
        <f>Calculo_Indice_Sharpe!F35</f>
        <v/>
      </c>
      <c r="W35" s="106" t="str">
        <f>Calculo_Indice_Sharpe!H35</f>
        <v/>
      </c>
      <c r="Y35" s="156" t="str">
        <f>enquadramento!B35</f>
        <v/>
      </c>
      <c r="Z35" s="106" t="str">
        <f>enquadramento!C35</f>
        <v/>
      </c>
      <c r="AA35" s="23" t="str">
        <f>enquadramento!D35</f>
        <v/>
      </c>
      <c r="AB35" s="32" t="str">
        <f>enquadramento!E35</f>
        <v/>
      </c>
      <c r="AC35" s="23" t="str">
        <f>enquadramento!F35</f>
        <v/>
      </c>
      <c r="AD35" s="156" t="str">
        <f>enquadramento!G35</f>
        <v/>
      </c>
    </row>
    <row r="36" spans="1:30" x14ac:dyDescent="0.3">
      <c r="A36" s="156" t="str">
        <f>IF(Retorno!$B36="","",Retorno!B36)</f>
        <v/>
      </c>
      <c r="B36" s="106" t="str">
        <f>IF(Retorno!$B36="","",Retorno!C36)</f>
        <v/>
      </c>
      <c r="C36" s="106" t="str">
        <f>IF(Retorno!$B36="","",Retorno!D36)</f>
        <v/>
      </c>
      <c r="D36" s="106" t="str">
        <f>IF(Retorno!$B36="","",Retorno!E36)</f>
        <v/>
      </c>
      <c r="E36" s="106" t="str">
        <f>IF(Retorno!$B36="","",Retorno!F36)</f>
        <v/>
      </c>
      <c r="F36" s="106" t="str">
        <f>IF(Retorno!$B36="","",Retorno!G36)</f>
        <v/>
      </c>
      <c r="G36" s="106" t="str">
        <f>IF(Retorno!$B36="","",Retorno!H36)</f>
        <v/>
      </c>
      <c r="H36" s="23" t="str">
        <f>IF(Retorno!$B36="","",Retorno!I36)</f>
        <v/>
      </c>
      <c r="I36" s="23" t="str">
        <f t="shared" si="0"/>
        <v/>
      </c>
      <c r="J36" s="23" t="str">
        <f t="shared" si="1"/>
        <v/>
      </c>
      <c r="L36" s="156" t="str">
        <f>Calculo_Indice_Sharpe!B36</f>
        <v/>
      </c>
      <c r="M36" s="156" t="str">
        <f>Calculo_Indice_Sharpe!C36</f>
        <v/>
      </c>
      <c r="N36" s="106"/>
      <c r="O36" s="23"/>
      <c r="P36" s="106"/>
      <c r="Q36" s="23"/>
      <c r="R36" s="106"/>
      <c r="T36" s="156" t="str">
        <f>Calculo_Indice_Sharpe!E36</f>
        <v/>
      </c>
      <c r="U36" s="156" t="str">
        <f>Calculo_Indice_Sharpe!F36</f>
        <v/>
      </c>
      <c r="W36" s="106" t="str">
        <f>Calculo_Indice_Sharpe!H36</f>
        <v/>
      </c>
      <c r="Y36" s="156" t="str">
        <f>enquadramento!B36</f>
        <v/>
      </c>
      <c r="Z36" s="106" t="str">
        <f>enquadramento!C36</f>
        <v/>
      </c>
      <c r="AA36" s="23" t="str">
        <f>enquadramento!D36</f>
        <v/>
      </c>
      <c r="AB36" s="32" t="str">
        <f>enquadramento!E36</f>
        <v/>
      </c>
      <c r="AC36" s="23" t="str">
        <f>enquadramento!F36</f>
        <v/>
      </c>
      <c r="AD36" s="156" t="str">
        <f>enquadramento!G36</f>
        <v/>
      </c>
    </row>
    <row r="37" spans="1:30" x14ac:dyDescent="0.3">
      <c r="A37" s="156" t="str">
        <f>IF(Retorno!$B37="","",Retorno!B37)</f>
        <v/>
      </c>
      <c r="B37" s="106" t="str">
        <f>IF(Retorno!$B37="","",Retorno!C37)</f>
        <v/>
      </c>
      <c r="C37" s="106" t="str">
        <f>IF(Retorno!$B37="","",Retorno!D37)</f>
        <v/>
      </c>
      <c r="D37" s="106" t="str">
        <f>IF(Retorno!$B37="","",Retorno!E37)</f>
        <v/>
      </c>
      <c r="E37" s="106" t="str">
        <f>IF(Retorno!$B37="","",Retorno!F37)</f>
        <v/>
      </c>
      <c r="F37" s="106" t="str">
        <f>IF(Retorno!$B37="","",Retorno!G37)</f>
        <v/>
      </c>
      <c r="G37" s="106" t="str">
        <f>IF(Retorno!$B37="","",Retorno!H37)</f>
        <v/>
      </c>
      <c r="H37" s="23" t="str">
        <f>IF(Retorno!$B37="","",Retorno!I37)</f>
        <v/>
      </c>
      <c r="I37" s="23" t="str">
        <f t="shared" si="0"/>
        <v/>
      </c>
      <c r="J37" s="23" t="str">
        <f t="shared" si="1"/>
        <v/>
      </c>
      <c r="L37" s="156" t="str">
        <f>Calculo_Indice_Sharpe!B37</f>
        <v/>
      </c>
      <c r="M37" s="156" t="str">
        <f>Calculo_Indice_Sharpe!C37</f>
        <v/>
      </c>
      <c r="N37" s="106"/>
      <c r="O37" s="23"/>
      <c r="P37" s="106"/>
      <c r="Q37" s="23"/>
      <c r="R37" s="106"/>
      <c r="T37" s="156" t="str">
        <f>Calculo_Indice_Sharpe!E37</f>
        <v/>
      </c>
      <c r="U37" s="156" t="str">
        <f>Calculo_Indice_Sharpe!F37</f>
        <v/>
      </c>
      <c r="W37" s="106" t="str">
        <f>Calculo_Indice_Sharpe!H37</f>
        <v/>
      </c>
      <c r="Y37" s="156" t="str">
        <f>enquadramento!B37</f>
        <v/>
      </c>
      <c r="Z37" s="106" t="str">
        <f>enquadramento!C37</f>
        <v/>
      </c>
      <c r="AA37" s="23" t="str">
        <f>enquadramento!D37</f>
        <v/>
      </c>
      <c r="AB37" s="32" t="str">
        <f>enquadramento!E37</f>
        <v/>
      </c>
      <c r="AC37" s="23" t="str">
        <f>enquadramento!F37</f>
        <v/>
      </c>
      <c r="AD37" s="156" t="str">
        <f>enquadramento!G37</f>
        <v/>
      </c>
    </row>
    <row r="38" spans="1:30" x14ac:dyDescent="0.3">
      <c r="A38" s="156" t="str">
        <f>IF(Retorno!$B38="","",Retorno!B38)</f>
        <v/>
      </c>
      <c r="B38" s="106" t="str">
        <f>IF(Retorno!$B38="","",Retorno!C38)</f>
        <v/>
      </c>
      <c r="C38" s="106" t="str">
        <f>IF(Retorno!$B38="","",Retorno!D38)</f>
        <v/>
      </c>
      <c r="D38" s="106" t="str">
        <f>IF(Retorno!$B38="","",Retorno!E38)</f>
        <v/>
      </c>
      <c r="E38" s="106" t="str">
        <f>IF(Retorno!$B38="","",Retorno!F38)</f>
        <v/>
      </c>
      <c r="F38" s="106" t="str">
        <f>IF(Retorno!$B38="","",Retorno!G38)</f>
        <v/>
      </c>
      <c r="G38" s="106" t="str">
        <f>IF(Retorno!$B38="","",Retorno!H38)</f>
        <v/>
      </c>
      <c r="H38" s="23" t="str">
        <f>IF(Retorno!$B38="","",Retorno!I38)</f>
        <v/>
      </c>
      <c r="I38" s="23" t="str">
        <f t="shared" si="0"/>
        <v/>
      </c>
      <c r="J38" s="23" t="str">
        <f t="shared" si="1"/>
        <v/>
      </c>
      <c r="L38" s="156" t="str">
        <f>Calculo_Indice_Sharpe!B38</f>
        <v/>
      </c>
      <c r="M38" s="156" t="str">
        <f>Calculo_Indice_Sharpe!C38</f>
        <v/>
      </c>
      <c r="N38" s="106"/>
      <c r="O38" s="23"/>
      <c r="P38" s="106"/>
      <c r="Q38" s="23"/>
      <c r="R38" s="106"/>
      <c r="T38" s="156" t="str">
        <f>Calculo_Indice_Sharpe!E38</f>
        <v/>
      </c>
      <c r="U38" s="156" t="str">
        <f>Calculo_Indice_Sharpe!F38</f>
        <v/>
      </c>
      <c r="W38" s="106" t="str">
        <f>Calculo_Indice_Sharpe!H38</f>
        <v/>
      </c>
      <c r="Y38" s="156" t="str">
        <f>enquadramento!B38</f>
        <v/>
      </c>
      <c r="Z38" s="106" t="str">
        <f>enquadramento!C38</f>
        <v/>
      </c>
      <c r="AA38" s="23" t="str">
        <f>enquadramento!D38</f>
        <v/>
      </c>
      <c r="AB38" s="32" t="str">
        <f>enquadramento!E38</f>
        <v/>
      </c>
      <c r="AC38" s="23" t="str">
        <f>enquadramento!F38</f>
        <v/>
      </c>
      <c r="AD38" s="156" t="str">
        <f>enquadramento!G38</f>
        <v/>
      </c>
    </row>
    <row r="39" spans="1:30" x14ac:dyDescent="0.3">
      <c r="A39" s="156" t="str">
        <f>IF(Retorno!$B39="","",Retorno!B39)</f>
        <v/>
      </c>
      <c r="B39" s="106" t="str">
        <f>IF(Retorno!$B39="","",Retorno!C39)</f>
        <v/>
      </c>
      <c r="C39" s="106" t="str">
        <f>IF(Retorno!$B39="","",Retorno!D39)</f>
        <v/>
      </c>
      <c r="D39" s="106" t="str">
        <f>IF(Retorno!$B39="","",Retorno!E39)</f>
        <v/>
      </c>
      <c r="E39" s="106" t="str">
        <f>IF(Retorno!$B39="","",Retorno!F39)</f>
        <v/>
      </c>
      <c r="F39" s="106" t="str">
        <f>IF(Retorno!$B39="","",Retorno!G39)</f>
        <v/>
      </c>
      <c r="G39" s="106" t="str">
        <f>IF(Retorno!$B39="","",Retorno!H39)</f>
        <v/>
      </c>
      <c r="H39" s="23" t="str">
        <f>IF(Retorno!$B39="","",Retorno!I39)</f>
        <v/>
      </c>
      <c r="I39" s="23" t="str">
        <f t="shared" si="0"/>
        <v/>
      </c>
      <c r="J39" s="23" t="str">
        <f t="shared" si="1"/>
        <v/>
      </c>
      <c r="L39" s="156" t="str">
        <f>Calculo_Indice_Sharpe!B39</f>
        <v/>
      </c>
      <c r="M39" s="156" t="str">
        <f>Calculo_Indice_Sharpe!C39</f>
        <v/>
      </c>
      <c r="N39" s="106"/>
      <c r="O39" s="23"/>
      <c r="P39" s="106"/>
      <c r="Q39" s="23"/>
      <c r="R39" s="106"/>
      <c r="T39" s="156" t="str">
        <f>Calculo_Indice_Sharpe!E39</f>
        <v/>
      </c>
      <c r="U39" s="156" t="str">
        <f>Calculo_Indice_Sharpe!F39</f>
        <v/>
      </c>
      <c r="W39" s="106" t="str">
        <f>Calculo_Indice_Sharpe!H39</f>
        <v/>
      </c>
      <c r="Y39" s="156" t="str">
        <f>enquadramento!B39</f>
        <v/>
      </c>
      <c r="Z39" s="106" t="str">
        <f>enquadramento!C39</f>
        <v/>
      </c>
      <c r="AA39" s="23" t="str">
        <f>enquadramento!D39</f>
        <v/>
      </c>
      <c r="AB39" s="32" t="str">
        <f>enquadramento!E39</f>
        <v/>
      </c>
      <c r="AC39" s="23" t="str">
        <f>enquadramento!F39</f>
        <v/>
      </c>
      <c r="AD39" s="156" t="str">
        <f>enquadramento!G39</f>
        <v/>
      </c>
    </row>
    <row r="40" spans="1:30" x14ac:dyDescent="0.3">
      <c r="A40" s="156" t="str">
        <f>IF(Retorno!$B40="","",Retorno!B40)</f>
        <v/>
      </c>
      <c r="B40" s="106" t="str">
        <f>IF(Retorno!$B40="","",Retorno!C40)</f>
        <v/>
      </c>
      <c r="C40" s="106" t="str">
        <f>IF(Retorno!$B40="","",Retorno!D40)</f>
        <v/>
      </c>
      <c r="D40" s="106" t="str">
        <f>IF(Retorno!$B40="","",Retorno!E40)</f>
        <v/>
      </c>
      <c r="E40" s="106" t="str">
        <f>IF(Retorno!$B40="","",Retorno!F40)</f>
        <v/>
      </c>
      <c r="F40" s="106" t="str">
        <f>IF(Retorno!$B40="","",Retorno!G40)</f>
        <v/>
      </c>
      <c r="G40" s="106" t="str">
        <f>IF(Retorno!$B40="","",Retorno!H40)</f>
        <v/>
      </c>
      <c r="H40" s="23" t="str">
        <f>IF(Retorno!$B40="","",Retorno!I40)</f>
        <v/>
      </c>
      <c r="I40" s="23" t="str">
        <f t="shared" si="0"/>
        <v/>
      </c>
      <c r="J40" s="23" t="str">
        <f t="shared" si="1"/>
        <v/>
      </c>
      <c r="L40" s="156" t="str">
        <f>Calculo_Indice_Sharpe!B40</f>
        <v/>
      </c>
      <c r="M40" s="156" t="str">
        <f>Calculo_Indice_Sharpe!C40</f>
        <v/>
      </c>
      <c r="N40" s="106"/>
      <c r="O40" s="23"/>
      <c r="P40" s="106"/>
      <c r="Q40" s="23"/>
      <c r="R40" s="106"/>
      <c r="T40" s="156" t="str">
        <f>Calculo_Indice_Sharpe!E40</f>
        <v/>
      </c>
      <c r="U40" s="156" t="str">
        <f>Calculo_Indice_Sharpe!F40</f>
        <v/>
      </c>
      <c r="W40" s="106" t="str">
        <f>Calculo_Indice_Sharpe!H40</f>
        <v/>
      </c>
      <c r="Y40" s="156" t="str">
        <f>enquadramento!B40</f>
        <v/>
      </c>
      <c r="Z40" s="106" t="str">
        <f>enquadramento!C40</f>
        <v/>
      </c>
      <c r="AA40" s="23" t="str">
        <f>enquadramento!D40</f>
        <v/>
      </c>
      <c r="AB40" s="32" t="str">
        <f>enquadramento!E40</f>
        <v/>
      </c>
      <c r="AC40" s="23" t="str">
        <f>enquadramento!F40</f>
        <v/>
      </c>
      <c r="AD40" s="156" t="str">
        <f>enquadramento!G40</f>
        <v/>
      </c>
    </row>
    <row r="41" spans="1:30" x14ac:dyDescent="0.3">
      <c r="A41" s="156" t="str">
        <f>IF(Retorno!$B41="","",Retorno!B41)</f>
        <v/>
      </c>
      <c r="B41" s="106" t="str">
        <f>IF(Retorno!$B41="","",Retorno!C41)</f>
        <v/>
      </c>
      <c r="C41" s="106" t="str">
        <f>IF(Retorno!$B41="","",Retorno!D41)</f>
        <v/>
      </c>
      <c r="D41" s="106" t="str">
        <f>IF(Retorno!$B41="","",Retorno!E41)</f>
        <v/>
      </c>
      <c r="E41" s="106" t="str">
        <f>IF(Retorno!$B41="","",Retorno!F41)</f>
        <v/>
      </c>
      <c r="F41" s="106" t="str">
        <f>IF(Retorno!$B41="","",Retorno!G41)</f>
        <v/>
      </c>
      <c r="G41" s="106" t="str">
        <f>IF(Retorno!$B41="","",Retorno!H41)</f>
        <v/>
      </c>
      <c r="H41" s="23" t="str">
        <f>IF(Retorno!$B41="","",Retorno!I41)</f>
        <v/>
      </c>
      <c r="I41" s="23" t="str">
        <f t="shared" si="0"/>
        <v/>
      </c>
      <c r="J41" s="23" t="str">
        <f t="shared" si="1"/>
        <v/>
      </c>
      <c r="L41" s="156" t="str">
        <f>Calculo_Indice_Sharpe!B41</f>
        <v/>
      </c>
      <c r="M41" s="156" t="str">
        <f>Calculo_Indice_Sharpe!C41</f>
        <v/>
      </c>
      <c r="N41" s="106"/>
      <c r="O41" s="23"/>
      <c r="P41" s="106"/>
      <c r="Q41" s="23"/>
      <c r="R41" s="106"/>
      <c r="T41" s="156" t="str">
        <f>Calculo_Indice_Sharpe!E41</f>
        <v/>
      </c>
      <c r="U41" s="156" t="str">
        <f>Calculo_Indice_Sharpe!F41</f>
        <v/>
      </c>
      <c r="W41" s="106" t="str">
        <f>Calculo_Indice_Sharpe!H41</f>
        <v/>
      </c>
      <c r="Y41" s="156" t="str">
        <f>enquadramento!B41</f>
        <v/>
      </c>
      <c r="Z41" s="106" t="str">
        <f>enquadramento!C41</f>
        <v/>
      </c>
      <c r="AA41" s="23" t="str">
        <f>enquadramento!D41</f>
        <v/>
      </c>
      <c r="AB41" s="32" t="str">
        <f>enquadramento!E41</f>
        <v/>
      </c>
      <c r="AC41" s="23" t="str">
        <f>enquadramento!F41</f>
        <v/>
      </c>
      <c r="AD41" s="156" t="str">
        <f>enquadramento!G41</f>
        <v/>
      </c>
    </row>
    <row r="42" spans="1:30" x14ac:dyDescent="0.3">
      <c r="A42" s="156" t="str">
        <f>IF(Retorno!$B42="","",Retorno!B42)</f>
        <v/>
      </c>
      <c r="B42" s="106" t="str">
        <f>IF(Retorno!$B42="","",Retorno!C42)</f>
        <v/>
      </c>
      <c r="C42" s="106" t="str">
        <f>IF(Retorno!$B42="","",Retorno!D42)</f>
        <v/>
      </c>
      <c r="D42" s="106" t="str">
        <f>IF(Retorno!$B42="","",Retorno!E42)</f>
        <v/>
      </c>
      <c r="E42" s="106" t="str">
        <f>IF(Retorno!$B42="","",Retorno!F42)</f>
        <v/>
      </c>
      <c r="F42" s="106" t="str">
        <f>IF(Retorno!$B42="","",Retorno!G42)</f>
        <v/>
      </c>
      <c r="G42" s="106" t="str">
        <f>IF(Retorno!$B42="","",Retorno!H42)</f>
        <v/>
      </c>
      <c r="H42" s="23" t="str">
        <f>IF(Retorno!$B42="","",Retorno!I42)</f>
        <v/>
      </c>
      <c r="I42" s="23" t="str">
        <f t="shared" si="0"/>
        <v/>
      </c>
      <c r="J42" s="23" t="str">
        <f t="shared" si="1"/>
        <v/>
      </c>
      <c r="L42" s="156" t="str">
        <f>Calculo_Indice_Sharpe!B42</f>
        <v/>
      </c>
      <c r="M42" s="156" t="str">
        <f>Calculo_Indice_Sharpe!C42</f>
        <v/>
      </c>
      <c r="N42" s="106"/>
      <c r="O42" s="23"/>
      <c r="P42" s="106"/>
      <c r="Q42" s="23"/>
      <c r="R42" s="106"/>
      <c r="T42" s="156" t="str">
        <f>Calculo_Indice_Sharpe!E42</f>
        <v/>
      </c>
      <c r="U42" s="156" t="str">
        <f>Calculo_Indice_Sharpe!F42</f>
        <v/>
      </c>
      <c r="W42" s="106" t="str">
        <f>Calculo_Indice_Sharpe!H42</f>
        <v/>
      </c>
      <c r="Y42" s="156" t="str">
        <f>enquadramento!B42</f>
        <v/>
      </c>
      <c r="Z42" s="106" t="str">
        <f>enquadramento!C42</f>
        <v/>
      </c>
      <c r="AA42" s="23" t="str">
        <f>enquadramento!D42</f>
        <v/>
      </c>
      <c r="AB42" s="32" t="str">
        <f>enquadramento!E42</f>
        <v/>
      </c>
      <c r="AC42" s="23" t="str">
        <f>enquadramento!F42</f>
        <v/>
      </c>
      <c r="AD42" s="156" t="str">
        <f>enquadramento!G42</f>
        <v/>
      </c>
    </row>
    <row r="43" spans="1:30" x14ac:dyDescent="0.3">
      <c r="A43" s="156" t="str">
        <f>IF(Retorno!$B43="","",Retorno!B43)</f>
        <v/>
      </c>
      <c r="B43" s="106" t="str">
        <f>IF(Retorno!$B43="","",Retorno!C43)</f>
        <v/>
      </c>
      <c r="C43" s="106" t="str">
        <f>IF(Retorno!$B43="","",Retorno!D43)</f>
        <v/>
      </c>
      <c r="D43" s="106" t="str">
        <f>IF(Retorno!$B43="","",Retorno!E43)</f>
        <v/>
      </c>
      <c r="E43" s="106" t="str">
        <f>IF(Retorno!$B43="","",Retorno!F43)</f>
        <v/>
      </c>
      <c r="F43" s="106" t="str">
        <f>IF(Retorno!$B43="","",Retorno!G43)</f>
        <v/>
      </c>
      <c r="G43" s="106" t="str">
        <f>IF(Retorno!$B43="","",Retorno!H43)</f>
        <v/>
      </c>
      <c r="H43" s="23" t="str">
        <f>IF(Retorno!$B43="","",Retorno!I43)</f>
        <v/>
      </c>
      <c r="I43" s="23" t="str">
        <f t="shared" si="0"/>
        <v/>
      </c>
      <c r="J43" s="23" t="str">
        <f t="shared" si="1"/>
        <v/>
      </c>
      <c r="L43" s="156" t="str">
        <f>Calculo_Indice_Sharpe!B43</f>
        <v/>
      </c>
      <c r="M43" s="156" t="str">
        <f>Calculo_Indice_Sharpe!C43</f>
        <v/>
      </c>
      <c r="N43" s="106"/>
      <c r="O43" s="23"/>
      <c r="P43" s="106"/>
      <c r="Q43" s="23"/>
      <c r="R43" s="106"/>
      <c r="T43" s="156" t="str">
        <f>Calculo_Indice_Sharpe!E43</f>
        <v/>
      </c>
      <c r="U43" s="156" t="str">
        <f>Calculo_Indice_Sharpe!F43</f>
        <v/>
      </c>
      <c r="W43" s="106" t="str">
        <f>Calculo_Indice_Sharpe!H43</f>
        <v/>
      </c>
      <c r="Y43" s="156" t="str">
        <f>enquadramento!B43</f>
        <v/>
      </c>
      <c r="Z43" s="106" t="str">
        <f>enquadramento!C43</f>
        <v/>
      </c>
      <c r="AA43" s="23" t="str">
        <f>enquadramento!D43</f>
        <v/>
      </c>
      <c r="AB43" s="32" t="str">
        <f>enquadramento!E43</f>
        <v/>
      </c>
      <c r="AC43" s="23" t="str">
        <f>enquadramento!F43</f>
        <v/>
      </c>
      <c r="AD43" s="156" t="str">
        <f>enquadramento!G43</f>
        <v/>
      </c>
    </row>
    <row r="44" spans="1:30" x14ac:dyDescent="0.3">
      <c r="A44" s="156" t="str">
        <f>IF(Retorno!$B44="","",Retorno!B44)</f>
        <v/>
      </c>
      <c r="B44" s="106" t="str">
        <f>IF(Retorno!$B44="","",Retorno!C44)</f>
        <v/>
      </c>
      <c r="C44" s="106" t="str">
        <f>IF(Retorno!$B44="","",Retorno!D44)</f>
        <v/>
      </c>
      <c r="D44" s="106" t="str">
        <f>IF(Retorno!$B44="","",Retorno!E44)</f>
        <v/>
      </c>
      <c r="E44" s="106" t="str">
        <f>IF(Retorno!$B44="","",Retorno!F44)</f>
        <v/>
      </c>
      <c r="F44" s="106" t="str">
        <f>IF(Retorno!$B44="","",Retorno!G44)</f>
        <v/>
      </c>
      <c r="G44" s="106" t="str">
        <f>IF(Retorno!$B44="","",Retorno!H44)</f>
        <v/>
      </c>
      <c r="H44" s="23" t="str">
        <f>IF(Retorno!$B44="","",Retorno!I44)</f>
        <v/>
      </c>
      <c r="I44" s="23" t="str">
        <f t="shared" si="0"/>
        <v/>
      </c>
      <c r="J44" s="23" t="str">
        <f t="shared" si="1"/>
        <v/>
      </c>
    </row>
    <row r="45" spans="1:30" x14ac:dyDescent="0.3">
      <c r="A45" s="156" t="str">
        <f>IF(Retorno!$B45="","",Retorno!B45)</f>
        <v/>
      </c>
      <c r="B45" s="106" t="str">
        <f>IF(Retorno!$B45="","",Retorno!C45)</f>
        <v/>
      </c>
      <c r="C45" s="106" t="str">
        <f>IF(Retorno!$B45="","",Retorno!D45)</f>
        <v/>
      </c>
      <c r="D45" s="106" t="str">
        <f>IF(Retorno!$B45="","",Retorno!E45)</f>
        <v/>
      </c>
      <c r="E45" s="106" t="str">
        <f>IF(Retorno!$B45="","",Retorno!F45)</f>
        <v/>
      </c>
      <c r="F45" s="106" t="str">
        <f>IF(Retorno!$B45="","",Retorno!G45)</f>
        <v/>
      </c>
      <c r="G45" s="106" t="str">
        <f>IF(Retorno!$B45="","",Retorno!H45)</f>
        <v/>
      </c>
      <c r="H45" s="23" t="str">
        <f>IF(Retorno!$B45="","",Retorno!I45)</f>
        <v/>
      </c>
      <c r="I45" s="23" t="str">
        <f t="shared" si="0"/>
        <v/>
      </c>
      <c r="J45" s="23" t="str">
        <f t="shared" si="1"/>
        <v/>
      </c>
    </row>
    <row r="46" spans="1:30" x14ac:dyDescent="0.3">
      <c r="A46" s="156" t="str">
        <f>IF(Retorno!$B46="","",Retorno!B46)</f>
        <v/>
      </c>
      <c r="B46" s="106" t="str">
        <f>IF(Retorno!$B46="","",Retorno!C46)</f>
        <v/>
      </c>
      <c r="C46" s="106" t="str">
        <f>IF(Retorno!$B46="","",Retorno!D46)</f>
        <v/>
      </c>
      <c r="D46" s="106" t="str">
        <f>IF(Retorno!$B46="","",Retorno!E46)</f>
        <v/>
      </c>
      <c r="E46" s="106" t="str">
        <f>IF(Retorno!$B46="","",Retorno!F46)</f>
        <v/>
      </c>
      <c r="F46" s="106" t="str">
        <f>IF(Retorno!$B46="","",Retorno!G46)</f>
        <v/>
      </c>
      <c r="G46" s="106" t="str">
        <f>IF(Retorno!$B46="","",Retorno!H46)</f>
        <v/>
      </c>
      <c r="H46" s="23" t="str">
        <f>IF(Retorno!$B46="","",Retorno!I46)</f>
        <v/>
      </c>
      <c r="I46" s="23" t="str">
        <f t="shared" si="0"/>
        <v/>
      </c>
      <c r="J46" s="23" t="str">
        <f t="shared" si="1"/>
        <v/>
      </c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/>
  <dimension ref="A1:AB542"/>
  <sheetViews>
    <sheetView showGridLines="0" topLeftCell="K1" zoomScaleNormal="100" workbookViewId="0">
      <selection activeCell="Q21" sqref="Q21"/>
    </sheetView>
  </sheetViews>
  <sheetFormatPr defaultRowHeight="15" x14ac:dyDescent="0.3"/>
  <cols>
    <col min="2" max="2" width="25" bestFit="1" customWidth="1"/>
    <col min="3" max="3" width="14.28515625" bestFit="1" customWidth="1"/>
    <col min="4" max="4" width="14.5703125" customWidth="1"/>
    <col min="5" max="5" width="15.42578125" customWidth="1"/>
    <col min="6" max="6" width="13.28515625" style="25" customWidth="1"/>
    <col min="7" max="7" width="14.28515625" bestFit="1" customWidth="1"/>
    <col min="8" max="8" width="12.85546875" bestFit="1" customWidth="1"/>
    <col min="9" max="9" width="11.28515625" bestFit="1" customWidth="1"/>
    <col min="10" max="10" width="5.85546875" bestFit="1" customWidth="1"/>
    <col min="11" max="11" width="9.85546875" bestFit="1" customWidth="1"/>
    <col min="13" max="13" width="14.5703125" bestFit="1" customWidth="1"/>
    <col min="14" max="14" width="13.28515625" bestFit="1" customWidth="1"/>
    <col min="15" max="16" width="12.140625" bestFit="1" customWidth="1"/>
    <col min="17" max="17" width="12.140625" style="25" customWidth="1"/>
    <col min="18" max="19" width="13.28515625" bestFit="1" customWidth="1"/>
    <col min="20" max="20" width="10.7109375" bestFit="1" customWidth="1"/>
    <col min="21" max="21" width="5.85546875" bestFit="1" customWidth="1"/>
    <col min="22" max="22" width="9.42578125" bestFit="1" customWidth="1"/>
    <col min="27" max="27" width="24" bestFit="1" customWidth="1"/>
    <col min="28" max="28" width="11" bestFit="1" customWidth="1"/>
  </cols>
  <sheetData>
    <row r="1" spans="1:28" x14ac:dyDescent="0.3">
      <c r="A1" s="1"/>
      <c r="B1" s="224"/>
      <c r="C1" s="224"/>
      <c r="D1" s="224"/>
      <c r="E1" s="224"/>
      <c r="F1" s="224"/>
      <c r="G1" s="224"/>
      <c r="H1" s="224"/>
      <c r="I1" s="224"/>
      <c r="J1" s="224"/>
      <c r="K1" s="224"/>
      <c r="N1">
        <v>2</v>
      </c>
      <c r="O1">
        <v>3</v>
      </c>
      <c r="P1" s="25">
        <v>4</v>
      </c>
      <c r="Q1" s="25">
        <v>5</v>
      </c>
      <c r="R1" s="25">
        <v>6</v>
      </c>
      <c r="S1" s="25">
        <v>7</v>
      </c>
      <c r="T1" s="25">
        <v>8</v>
      </c>
      <c r="U1" s="25">
        <v>9</v>
      </c>
      <c r="V1" s="25">
        <v>10</v>
      </c>
      <c r="AA1" s="126" t="str">
        <f>VLOOKUP(Dados_Clientes!F2,historico!Z3:AA36,2,FALSE)</f>
        <v>Itapeva/MG</v>
      </c>
      <c r="AB1" s="29" t="str">
        <f>VLOOKUP(Dados_Clientes!C10,Dados_Clientes!A10:B21,2,FALSE)</f>
        <v>Março/2016</v>
      </c>
    </row>
    <row r="2" spans="1:28" x14ac:dyDescent="0.3">
      <c r="A2" s="224"/>
      <c r="B2" s="291">
        <v>42370</v>
      </c>
      <c r="C2" s="292" t="s">
        <v>2</v>
      </c>
      <c r="D2" s="292" t="s">
        <v>3</v>
      </c>
      <c r="E2" s="292" t="s">
        <v>4</v>
      </c>
      <c r="F2" s="292" t="s">
        <v>806</v>
      </c>
      <c r="G2" s="292" t="s">
        <v>5</v>
      </c>
      <c r="H2" s="292" t="s">
        <v>559</v>
      </c>
      <c r="I2" s="292" t="s">
        <v>560</v>
      </c>
      <c r="J2" s="292" t="s">
        <v>569</v>
      </c>
      <c r="K2" s="292" t="s">
        <v>570</v>
      </c>
      <c r="N2" s="126" t="s">
        <v>2</v>
      </c>
      <c r="O2" s="126" t="s">
        <v>3</v>
      </c>
      <c r="P2" s="126" t="s">
        <v>4</v>
      </c>
      <c r="Q2" s="161" t="s">
        <v>806</v>
      </c>
      <c r="R2" s="126" t="s">
        <v>5</v>
      </c>
      <c r="S2" s="126" t="s">
        <v>559</v>
      </c>
      <c r="T2" s="126" t="s">
        <v>560</v>
      </c>
      <c r="U2" s="126" t="s">
        <v>569</v>
      </c>
      <c r="V2" s="126" t="s">
        <v>570</v>
      </c>
    </row>
    <row r="3" spans="1:28" x14ac:dyDescent="0.3">
      <c r="A3" s="293">
        <v>2</v>
      </c>
      <c r="B3" s="294" t="s">
        <v>13</v>
      </c>
      <c r="C3" s="295">
        <v>4958523.1399999997</v>
      </c>
      <c r="D3" s="295">
        <v>164885.01999999999</v>
      </c>
      <c r="E3" s="295">
        <v>130850.92</v>
      </c>
      <c r="F3" s="295">
        <v>0</v>
      </c>
      <c r="G3" s="295">
        <v>5076010.0599999996</v>
      </c>
      <c r="H3" s="295">
        <v>83452.820000000298</v>
      </c>
      <c r="I3" s="296">
        <v>1.6715445810291864E-2</v>
      </c>
      <c r="J3" s="296">
        <v>2.0041050578879727E-2</v>
      </c>
      <c r="K3" s="296">
        <v>0.83406035748981378</v>
      </c>
      <c r="M3" s="128" t="str">
        <f>Dados_Clientes!B10</f>
        <v>Janeiro/2016</v>
      </c>
      <c r="N3" s="106">
        <v>7530333.3899999997</v>
      </c>
      <c r="O3" s="106">
        <v>1500576.83</v>
      </c>
      <c r="P3" s="106">
        <v>1186467.6499999999</v>
      </c>
      <c r="Q3" s="106">
        <v>0</v>
      </c>
      <c r="R3" s="106">
        <v>7962133.5500000007</v>
      </c>
      <c r="S3" s="106">
        <v>117690.98000000138</v>
      </c>
      <c r="T3" s="23">
        <v>1.5003103018447032E-2</v>
      </c>
      <c r="U3" s="23">
        <v>2.0041050578879727E-2</v>
      </c>
      <c r="V3" s="23">
        <v>0.74861858959919303</v>
      </c>
      <c r="W3" s="110">
        <f>1+T3</f>
        <v>1.015003103018447</v>
      </c>
      <c r="X3" s="110">
        <f>1+U3</f>
        <v>1.0200410505788797</v>
      </c>
      <c r="Z3" s="126">
        <f>Dados_Clientes!F3</f>
        <v>2</v>
      </c>
      <c r="AA3" s="126" t="str">
        <f>Dados_Clientes!E3</f>
        <v>Água Branca/PB</v>
      </c>
    </row>
    <row r="4" spans="1:28" x14ac:dyDescent="0.3">
      <c r="A4" s="293">
        <v>3</v>
      </c>
      <c r="B4" s="294" t="s">
        <v>14</v>
      </c>
      <c r="C4" s="295">
        <v>16989434.930000003</v>
      </c>
      <c r="D4" s="295">
        <v>0</v>
      </c>
      <c r="E4" s="295">
        <v>0</v>
      </c>
      <c r="F4" s="295">
        <v>0</v>
      </c>
      <c r="G4" s="295">
        <v>17249797.039999999</v>
      </c>
      <c r="H4" s="295">
        <v>260362.10999999568</v>
      </c>
      <c r="I4" s="296">
        <v>1.5324942299301984E-2</v>
      </c>
      <c r="J4" s="296">
        <v>1.9800162226402573E-2</v>
      </c>
      <c r="K4" s="296">
        <v>0.77398064339426986</v>
      </c>
      <c r="M4" s="128" t="str">
        <f>Dados_Clientes!B11</f>
        <v>Fevereiro/2016</v>
      </c>
      <c r="N4" s="106">
        <v>7962133.5500000007</v>
      </c>
      <c r="O4" s="106">
        <v>4175278.71</v>
      </c>
      <c r="P4" s="106">
        <v>4223423.1399999997</v>
      </c>
      <c r="Q4" s="106">
        <v>46170.46</v>
      </c>
      <c r="R4" s="106">
        <v>7955238.4399999995</v>
      </c>
      <c r="S4" s="106">
        <v>87419.779999997496</v>
      </c>
      <c r="T4" s="106">
        <v>1.0979441559354087E-2</v>
      </c>
      <c r="U4" s="106">
        <v>1.4413792295713934E-2</v>
      </c>
      <c r="V4" s="106">
        <v>0.76173163412510936</v>
      </c>
      <c r="W4" s="110">
        <f t="shared" ref="W4:W14" si="0">1+T4</f>
        <v>1.010979441559354</v>
      </c>
      <c r="X4" s="110">
        <f t="shared" ref="X4:X14" si="1">1+U4</f>
        <v>1.0144137922957139</v>
      </c>
      <c r="Z4" s="161">
        <f>Dados_Clientes!F4</f>
        <v>3</v>
      </c>
      <c r="AA4" s="161" t="str">
        <f>Dados_Clientes!E4</f>
        <v>Águia Branca/ES</v>
      </c>
    </row>
    <row r="5" spans="1:28" x14ac:dyDescent="0.3">
      <c r="A5" s="293">
        <v>4</v>
      </c>
      <c r="B5" s="294" t="s">
        <v>15</v>
      </c>
      <c r="C5" s="295">
        <v>83861926.989999995</v>
      </c>
      <c r="D5" s="295">
        <v>323276.19</v>
      </c>
      <c r="E5" s="295">
        <v>37148.14</v>
      </c>
      <c r="F5" s="295">
        <v>0</v>
      </c>
      <c r="G5" s="295">
        <v>85416941.069999993</v>
      </c>
      <c r="H5" s="295">
        <v>1268886.0300000012</v>
      </c>
      <c r="I5" s="296">
        <v>1.5079208062466007E-2</v>
      </c>
      <c r="J5" s="296">
        <v>2.0041050578879727E-2</v>
      </c>
      <c r="K5" s="296">
        <v>0.75241604740807544</v>
      </c>
      <c r="M5" s="128" t="str">
        <f>Dados_Clientes!B12</f>
        <v>Março/2016</v>
      </c>
      <c r="N5" s="106">
        <f>IF($M$18=$M5,N$18,VLOOKUP($AA$1,$B$90:$K$129,N$1,FALSE))</f>
        <v>7955238.4399999995</v>
      </c>
      <c r="O5" s="106">
        <f>IF($M$18=$M5,O$18,VLOOKUP($AA$1,$B$90:$K$129,O$1,FALSE))</f>
        <v>5519280.0800000001</v>
      </c>
      <c r="P5" s="106">
        <f t="shared" ref="P5:V5" si="2">IF($M$18=$M5,P$18,VLOOKUP($AA$1,$B$90:$K$129,P$1,FALSE))</f>
        <v>5519280.0800000001</v>
      </c>
      <c r="Q5" s="106">
        <f t="shared" si="2"/>
        <v>0</v>
      </c>
      <c r="R5" s="106">
        <f t="shared" si="2"/>
        <v>8167736.2599999998</v>
      </c>
      <c r="S5" s="106">
        <f t="shared" si="2"/>
        <v>212497.8200000003</v>
      </c>
      <c r="T5" s="106">
        <f t="shared" si="2"/>
        <v>2.671168458402616E-2</v>
      </c>
      <c r="U5" s="106">
        <f t="shared" si="2"/>
        <v>9.2889677878305044E-3</v>
      </c>
      <c r="V5" s="106">
        <f t="shared" si="2"/>
        <v>2.8756353982647234</v>
      </c>
      <c r="W5" s="110">
        <f>1+T5</f>
        <v>1.0267116845840261</v>
      </c>
      <c r="X5" s="110">
        <f t="shared" si="1"/>
        <v>1.0092889677878305</v>
      </c>
      <c r="Z5" s="161">
        <f>Dados_Clientes!F5</f>
        <v>4</v>
      </c>
      <c r="AA5" s="161" t="str">
        <f>Dados_Clientes!E5</f>
        <v>Anchieta/ES</v>
      </c>
    </row>
    <row r="6" spans="1:28" x14ac:dyDescent="0.3">
      <c r="A6" s="293">
        <v>5</v>
      </c>
      <c r="B6" s="294" t="s">
        <v>16</v>
      </c>
      <c r="C6" s="295">
        <v>9958165.0544499978</v>
      </c>
      <c r="D6" s="295">
        <v>5235087.5199999996</v>
      </c>
      <c r="E6" s="295">
        <v>5116375.04</v>
      </c>
      <c r="F6" s="295">
        <v>0</v>
      </c>
      <c r="G6" s="295">
        <v>10218503.953849999</v>
      </c>
      <c r="H6" s="295">
        <v>141626.41940000281</v>
      </c>
      <c r="I6" s="296">
        <v>1.4054593688949983E-2</v>
      </c>
      <c r="J6" s="296">
        <v>1.7629368457522832E-2</v>
      </c>
      <c r="K6" s="296">
        <v>0.79722615831723598</v>
      </c>
      <c r="M6" s="128" t="str">
        <f>Dados_Clientes!B13</f>
        <v>Abril/2016</v>
      </c>
      <c r="N6" s="106">
        <f>IF($M$18=$M6,N$18,VLOOKUP($AA$1,$B$133:$K$172,N$1,FALSE))</f>
        <v>0</v>
      </c>
      <c r="O6" s="106">
        <f t="shared" ref="O6:V6" si="3">IF($M$18=$M6,O$18,VLOOKUP($AA$1,$B$133:$K$172,O$1,FALSE))</f>
        <v>0</v>
      </c>
      <c r="P6" s="106">
        <f t="shared" si="3"/>
        <v>0</v>
      </c>
      <c r="Q6" s="106">
        <f t="shared" si="3"/>
        <v>0</v>
      </c>
      <c r="R6" s="106">
        <f t="shared" si="3"/>
        <v>0</v>
      </c>
      <c r="S6" s="106">
        <f t="shared" si="3"/>
        <v>0</v>
      </c>
      <c r="T6" s="106">
        <f t="shared" si="3"/>
        <v>0</v>
      </c>
      <c r="U6" s="106">
        <f t="shared" si="3"/>
        <v>0</v>
      </c>
      <c r="V6" s="106">
        <f t="shared" si="3"/>
        <v>0</v>
      </c>
      <c r="W6" s="110">
        <f t="shared" si="0"/>
        <v>1</v>
      </c>
      <c r="X6" s="110">
        <f t="shared" si="1"/>
        <v>1</v>
      </c>
      <c r="Z6" s="161">
        <f>Dados_Clientes!F6</f>
        <v>5</v>
      </c>
      <c r="AA6" s="161" t="str">
        <f>Dados_Clientes!E6</f>
        <v>Arandu/SP</v>
      </c>
    </row>
    <row r="7" spans="1:28" x14ac:dyDescent="0.3">
      <c r="A7" s="293">
        <v>6</v>
      </c>
      <c r="B7" s="294" t="s">
        <v>17</v>
      </c>
      <c r="C7" s="295"/>
      <c r="D7" s="295"/>
      <c r="E7" s="295"/>
      <c r="F7" s="295"/>
      <c r="G7" s="295"/>
      <c r="H7" s="295"/>
      <c r="I7" s="296"/>
      <c r="J7" s="296"/>
      <c r="K7" s="296"/>
      <c r="M7" s="128" t="str">
        <f>Dados_Clientes!B14</f>
        <v>Maio/2016</v>
      </c>
      <c r="N7" s="106">
        <f>IF($M$18=$M7,N$18,VLOOKUP($AA$1,$B$175:$K$214,N$1,FALSE))</f>
        <v>0</v>
      </c>
      <c r="O7" s="106">
        <f t="shared" ref="O7:V7" si="4">IF($M$18=$M7,O$18,VLOOKUP($AA$1,$B$175:$K$214,O$1,FALSE))</f>
        <v>0</v>
      </c>
      <c r="P7" s="106">
        <f t="shared" si="4"/>
        <v>0</v>
      </c>
      <c r="Q7" s="106">
        <f t="shared" si="4"/>
        <v>0</v>
      </c>
      <c r="R7" s="106">
        <f t="shared" si="4"/>
        <v>0</v>
      </c>
      <c r="S7" s="106">
        <f t="shared" si="4"/>
        <v>0</v>
      </c>
      <c r="T7" s="106">
        <f t="shared" si="4"/>
        <v>0</v>
      </c>
      <c r="U7" s="106">
        <f t="shared" si="4"/>
        <v>0</v>
      </c>
      <c r="V7" s="106">
        <f t="shared" si="4"/>
        <v>0</v>
      </c>
      <c r="W7" s="110">
        <f t="shared" si="0"/>
        <v>1</v>
      </c>
      <c r="X7" s="110">
        <f t="shared" si="1"/>
        <v>1</v>
      </c>
      <c r="Z7" s="161">
        <f>Dados_Clientes!F7</f>
        <v>6</v>
      </c>
      <c r="AA7" s="161" t="str">
        <f>Dados_Clientes!E7</f>
        <v>Barra de São Francisco /ES</v>
      </c>
    </row>
    <row r="8" spans="1:28" x14ac:dyDescent="0.3">
      <c r="A8" s="293">
        <v>7</v>
      </c>
      <c r="B8" s="294" t="s">
        <v>18</v>
      </c>
      <c r="C8" s="295">
        <v>26428351.140000001</v>
      </c>
      <c r="D8" s="295">
        <v>454836.62</v>
      </c>
      <c r="E8" s="295">
        <v>100000</v>
      </c>
      <c r="F8" s="295">
        <v>0</v>
      </c>
      <c r="G8" s="295">
        <v>27175547.98</v>
      </c>
      <c r="H8" s="295">
        <v>392360.21999999881</v>
      </c>
      <c r="I8" s="296">
        <v>1.4649496673655055E-2</v>
      </c>
      <c r="J8" s="296">
        <v>1.7629368457522832E-2</v>
      </c>
      <c r="K8" s="296">
        <v>0.83097115526017606</v>
      </c>
      <c r="M8" s="128" t="str">
        <f>Dados_Clientes!B15</f>
        <v>Junho/2016</v>
      </c>
      <c r="N8" s="106">
        <f>IF($M$18=$M8,N$18,VLOOKUP($AA$1,$B$217:$K$256,N$1,FALSE))</f>
        <v>0</v>
      </c>
      <c r="O8" s="106">
        <f t="shared" ref="O8:V8" si="5">IF($M$18=$M8,O$18,VLOOKUP($AA$1,$B$217:$K$256,O$1,FALSE))</f>
        <v>0</v>
      </c>
      <c r="P8" s="106">
        <f t="shared" si="5"/>
        <v>0</v>
      </c>
      <c r="Q8" s="106">
        <f t="shared" si="5"/>
        <v>0</v>
      </c>
      <c r="R8" s="106">
        <f t="shared" si="5"/>
        <v>0</v>
      </c>
      <c r="S8" s="106">
        <f t="shared" si="5"/>
        <v>0</v>
      </c>
      <c r="T8" s="106">
        <f t="shared" si="5"/>
        <v>0</v>
      </c>
      <c r="U8" s="106">
        <f t="shared" si="5"/>
        <v>0</v>
      </c>
      <c r="V8" s="106">
        <f t="shared" si="5"/>
        <v>0</v>
      </c>
      <c r="W8" s="110">
        <f t="shared" si="0"/>
        <v>1</v>
      </c>
      <c r="X8" s="110">
        <f t="shared" si="1"/>
        <v>1</v>
      </c>
      <c r="Z8" s="161">
        <f>Dados_Clientes!F8</f>
        <v>7</v>
      </c>
      <c r="AA8" s="161" t="str">
        <f>Dados_Clientes!E8</f>
        <v>Buri/SP</v>
      </c>
    </row>
    <row r="9" spans="1:28" x14ac:dyDescent="0.3">
      <c r="A9" s="293">
        <v>8</v>
      </c>
      <c r="B9" s="294" t="s">
        <v>19</v>
      </c>
      <c r="C9" s="295">
        <v>386201069.54000002</v>
      </c>
      <c r="D9" s="295">
        <v>293840818.80000001</v>
      </c>
      <c r="E9" s="295">
        <v>262445594.96000001</v>
      </c>
      <c r="F9" s="295">
        <v>12155.8415</v>
      </c>
      <c r="G9" s="295">
        <v>426941956.57999992</v>
      </c>
      <c r="H9" s="295">
        <v>9357819.0414999276</v>
      </c>
      <c r="I9" s="296">
        <v>2.2408769402042072E-2</v>
      </c>
      <c r="J9" s="296">
        <v>2.1332667098278524E-2</v>
      </c>
      <c r="K9" s="296">
        <v>1.0504438708393093</v>
      </c>
      <c r="M9" s="128" t="str">
        <f>Dados_Clientes!B16</f>
        <v>Julho/2016</v>
      </c>
      <c r="N9" s="106">
        <f>IF($M$18=$M9,N$18,VLOOKUP($AA$1,$B$259:$K$298,N$1,FALSE))</f>
        <v>0</v>
      </c>
      <c r="O9" s="106">
        <f t="shared" ref="O9:V9" si="6">IF($M$18=$M9,O$18,VLOOKUP($AA$1,$B$259:$K$298,O$1,FALSE))</f>
        <v>0</v>
      </c>
      <c r="P9" s="106">
        <f t="shared" si="6"/>
        <v>0</v>
      </c>
      <c r="Q9" s="106">
        <f t="shared" si="6"/>
        <v>0</v>
      </c>
      <c r="R9" s="106">
        <f t="shared" si="6"/>
        <v>0</v>
      </c>
      <c r="S9" s="106">
        <f t="shared" si="6"/>
        <v>0</v>
      </c>
      <c r="T9" s="106">
        <f t="shared" si="6"/>
        <v>0</v>
      </c>
      <c r="U9" s="106">
        <f t="shared" si="6"/>
        <v>0</v>
      </c>
      <c r="V9" s="106">
        <f t="shared" si="6"/>
        <v>0</v>
      </c>
      <c r="W9" s="110">
        <f t="shared" si="0"/>
        <v>1</v>
      </c>
      <c r="X9" s="110">
        <f t="shared" si="1"/>
        <v>1</v>
      </c>
      <c r="Z9" s="161">
        <f>Dados_Clientes!F9</f>
        <v>8</v>
      </c>
      <c r="AA9" s="161" t="str">
        <f>Dados_Clientes!E9</f>
        <v>Campinas/SP</v>
      </c>
    </row>
    <row r="10" spans="1:28" x14ac:dyDescent="0.3">
      <c r="A10" s="293">
        <v>9</v>
      </c>
      <c r="B10" s="294" t="s">
        <v>20</v>
      </c>
      <c r="C10" s="295">
        <v>19914847.989999998</v>
      </c>
      <c r="D10" s="295">
        <v>548534.85</v>
      </c>
      <c r="E10" s="295">
        <v>510693.89</v>
      </c>
      <c r="F10" s="295">
        <v>0</v>
      </c>
      <c r="G10" s="295">
        <v>20272770.830000002</v>
      </c>
      <c r="H10" s="295">
        <v>320081.88000000268</v>
      </c>
      <c r="I10" s="296">
        <v>1.6042042293252044E-2</v>
      </c>
      <c r="J10" s="296">
        <v>1.9639221570690202E-2</v>
      </c>
      <c r="K10" s="296">
        <v>0.81683697266257083</v>
      </c>
      <c r="M10" s="128" t="str">
        <f>Dados_Clientes!B17</f>
        <v>Agosto/2016</v>
      </c>
      <c r="N10" s="106">
        <f>IF($M$18=$M10,N$18,VLOOKUP($AA$1,$B$301:$K$340,N$1,FALSE))</f>
        <v>0</v>
      </c>
      <c r="O10" s="106">
        <f t="shared" ref="O10:V10" si="7">IF($M$18=$M10,O$18,VLOOKUP($AA$1,$B$301:$K$340,O$1,FALSE))</f>
        <v>0</v>
      </c>
      <c r="P10" s="106">
        <f t="shared" si="7"/>
        <v>0</v>
      </c>
      <c r="Q10" s="106">
        <f t="shared" si="7"/>
        <v>0</v>
      </c>
      <c r="R10" s="106">
        <f t="shared" si="7"/>
        <v>0</v>
      </c>
      <c r="S10" s="106">
        <f t="shared" si="7"/>
        <v>0</v>
      </c>
      <c r="T10" s="106">
        <f t="shared" si="7"/>
        <v>0</v>
      </c>
      <c r="U10" s="106">
        <f t="shared" si="7"/>
        <v>0</v>
      </c>
      <c r="V10" s="106">
        <f t="shared" si="7"/>
        <v>0</v>
      </c>
      <c r="W10" s="110">
        <f t="shared" si="0"/>
        <v>1</v>
      </c>
      <c r="X10" s="110">
        <f t="shared" si="1"/>
        <v>1</v>
      </c>
      <c r="Z10" s="161">
        <f>Dados_Clientes!F10</f>
        <v>9</v>
      </c>
      <c r="AA10" s="161" t="str">
        <f>Dados_Clientes!E10</f>
        <v>Cardoso/SP</v>
      </c>
    </row>
    <row r="11" spans="1:28" x14ac:dyDescent="0.3">
      <c r="A11" s="293">
        <v>10</v>
      </c>
      <c r="B11" s="294" t="s">
        <v>21</v>
      </c>
      <c r="C11" s="295">
        <v>43790748.209999993</v>
      </c>
      <c r="D11" s="295">
        <v>2940000</v>
      </c>
      <c r="E11" s="295">
        <v>1100000</v>
      </c>
      <c r="F11" s="295">
        <v>0</v>
      </c>
      <c r="G11" s="295">
        <v>46263219.399999999</v>
      </c>
      <c r="H11" s="295">
        <v>632471.19000000507</v>
      </c>
      <c r="I11" s="296">
        <v>1.3860635970492344E-2</v>
      </c>
      <c r="J11" s="296">
        <v>1.7629368457522832E-2</v>
      </c>
      <c r="K11" s="296">
        <v>0.78622419197198823</v>
      </c>
      <c r="M11" s="128" t="str">
        <f>Dados_Clientes!B18</f>
        <v>Setembro/2016</v>
      </c>
      <c r="N11" s="106">
        <f>IF($M$18=$M11,N$18,VLOOKUP($AA$1,$B$343:$K$382,N$1,FALSE))</f>
        <v>0</v>
      </c>
      <c r="O11" s="106">
        <f t="shared" ref="O11:V11" si="8">IF($M$18=$M11,O$18,VLOOKUP($AA$1,$B$343:$K$382,O$1,FALSE))</f>
        <v>0</v>
      </c>
      <c r="P11" s="106">
        <f t="shared" si="8"/>
        <v>0</v>
      </c>
      <c r="Q11" s="106">
        <f t="shared" si="8"/>
        <v>0</v>
      </c>
      <c r="R11" s="106">
        <f t="shared" si="8"/>
        <v>0</v>
      </c>
      <c r="S11" s="106">
        <f t="shared" si="8"/>
        <v>0</v>
      </c>
      <c r="T11" s="106">
        <f t="shared" si="8"/>
        <v>0</v>
      </c>
      <c r="U11" s="106">
        <f t="shared" si="8"/>
        <v>0</v>
      </c>
      <c r="V11" s="106">
        <f t="shared" si="8"/>
        <v>0</v>
      </c>
      <c r="W11" s="110">
        <f t="shared" si="0"/>
        <v>1</v>
      </c>
      <c r="X11" s="110">
        <f t="shared" si="1"/>
        <v>1</v>
      </c>
      <c r="Z11" s="161">
        <f>Dados_Clientes!F11</f>
        <v>10</v>
      </c>
      <c r="AA11" s="161" t="str">
        <f>Dados_Clientes!E11</f>
        <v>Cravinhos/SP</v>
      </c>
    </row>
    <row r="12" spans="1:28" x14ac:dyDescent="0.3">
      <c r="A12" s="293">
        <v>11</v>
      </c>
      <c r="B12" s="294" t="s">
        <v>796</v>
      </c>
      <c r="C12" s="295"/>
      <c r="D12" s="295"/>
      <c r="E12" s="295"/>
      <c r="F12" s="295"/>
      <c r="G12" s="295"/>
      <c r="H12" s="295"/>
      <c r="I12" s="296"/>
      <c r="J12" s="296"/>
      <c r="K12" s="296"/>
      <c r="M12" s="128" t="str">
        <f>Dados_Clientes!B19</f>
        <v>Outubro/2016</v>
      </c>
      <c r="N12" s="106">
        <f>IF($M$18=$M12,N$18,VLOOKUP($AA$1,$B$385:$K$424,N$1,FALSE))</f>
        <v>0</v>
      </c>
      <c r="O12" s="106">
        <f t="shared" ref="O12:V12" si="9">IF($M$18=$M12,O$18,VLOOKUP($AA$1,$B$385:$K$424,O$1,FALSE))</f>
        <v>0</v>
      </c>
      <c r="P12" s="106">
        <f t="shared" si="9"/>
        <v>0</v>
      </c>
      <c r="Q12" s="106">
        <f t="shared" si="9"/>
        <v>0</v>
      </c>
      <c r="R12" s="106">
        <f t="shared" si="9"/>
        <v>0</v>
      </c>
      <c r="S12" s="106">
        <f t="shared" si="9"/>
        <v>0</v>
      </c>
      <c r="T12" s="106">
        <f t="shared" si="9"/>
        <v>0</v>
      </c>
      <c r="U12" s="106">
        <f t="shared" si="9"/>
        <v>0</v>
      </c>
      <c r="V12" s="106">
        <f t="shared" si="9"/>
        <v>0</v>
      </c>
      <c r="W12" s="110">
        <f t="shared" si="0"/>
        <v>1</v>
      </c>
      <c r="X12" s="110">
        <f t="shared" si="1"/>
        <v>1</v>
      </c>
      <c r="Z12" s="161">
        <f>Dados_Clientes!F12</f>
        <v>11</v>
      </c>
      <c r="AA12" s="161" t="str">
        <f>Dados_Clientes!E12</f>
        <v>Engenheiro Coelho/SP</v>
      </c>
    </row>
    <row r="13" spans="1:28" x14ac:dyDescent="0.3">
      <c r="A13" s="293">
        <v>12</v>
      </c>
      <c r="B13" s="294" t="s">
        <v>22</v>
      </c>
      <c r="C13" s="295">
        <v>5138264.1400000006</v>
      </c>
      <c r="D13" s="295">
        <v>338499.44</v>
      </c>
      <c r="E13" s="295">
        <v>0</v>
      </c>
      <c r="F13" s="295">
        <v>62670.559999999998</v>
      </c>
      <c r="G13" s="295">
        <v>5514476.3500000006</v>
      </c>
      <c r="H13" s="295">
        <v>100383.32999999955</v>
      </c>
      <c r="I13" s="296">
        <v>1.8328950763289938E-2</v>
      </c>
      <c r="J13" s="296">
        <v>2.0041050578879727E-2</v>
      </c>
      <c r="K13" s="296">
        <v>0.91457035603741821</v>
      </c>
      <c r="M13" s="128" t="str">
        <f>Dados_Clientes!B20</f>
        <v>Novembro/2016</v>
      </c>
      <c r="N13" s="106">
        <f>IF($M$18=$M13,N$18,VLOOKUP($AA$1,$B$427:$K$466,N$1,FALSE))</f>
        <v>0</v>
      </c>
      <c r="O13" s="106">
        <f t="shared" ref="O13:V13" si="10">IF($M$18=$M13,O$18,VLOOKUP($AA$1,$B$427:$K$466,O$1,FALSE))</f>
        <v>0</v>
      </c>
      <c r="P13" s="106">
        <f t="shared" si="10"/>
        <v>0</v>
      </c>
      <c r="Q13" s="106">
        <f t="shared" si="10"/>
        <v>0</v>
      </c>
      <c r="R13" s="106">
        <f t="shared" si="10"/>
        <v>0</v>
      </c>
      <c r="S13" s="106">
        <f t="shared" si="10"/>
        <v>0</v>
      </c>
      <c r="T13" s="106">
        <f t="shared" si="10"/>
        <v>0</v>
      </c>
      <c r="U13" s="106">
        <f t="shared" si="10"/>
        <v>0</v>
      </c>
      <c r="V13" s="106">
        <f t="shared" si="10"/>
        <v>0</v>
      </c>
      <c r="W13" s="110">
        <f t="shared" si="0"/>
        <v>1</v>
      </c>
      <c r="X13" s="110">
        <f t="shared" si="1"/>
        <v>1</v>
      </c>
      <c r="Z13" s="161">
        <f>Dados_Clientes!F14</f>
        <v>13</v>
      </c>
      <c r="AA13" s="161" t="str">
        <f>Dados_Clientes!E14</f>
        <v>Guiratinga/MT</v>
      </c>
    </row>
    <row r="14" spans="1:28" x14ac:dyDescent="0.3">
      <c r="A14" s="293">
        <v>13</v>
      </c>
      <c r="B14" s="294" t="s">
        <v>1113</v>
      </c>
      <c r="C14" s="295">
        <v>13017240.550000001</v>
      </c>
      <c r="D14" s="295">
        <v>90669.5</v>
      </c>
      <c r="E14" s="295">
        <v>35808.76</v>
      </c>
      <c r="F14" s="295">
        <v>0</v>
      </c>
      <c r="G14" s="295">
        <v>13331560.52</v>
      </c>
      <c r="H14" s="295">
        <v>259459.22999999858</v>
      </c>
      <c r="I14" s="296">
        <v>1.9848318510083895E-2</v>
      </c>
      <c r="J14" s="296">
        <v>1.642147947982231E-2</v>
      </c>
      <c r="K14" s="296">
        <v>1.2086802857484475</v>
      </c>
      <c r="M14" s="128" t="str">
        <f>Dados_Clientes!B21</f>
        <v>Dezembro/2016</v>
      </c>
      <c r="N14" s="106">
        <f>IF($M$18=$M14,N$18,VLOOKUP($AA$1,$B$469:$K$508,N$1,FALSE))</f>
        <v>0</v>
      </c>
      <c r="O14" s="106">
        <f t="shared" ref="O14:V14" si="11">IF($M$18=$M14,O$18,VLOOKUP($AA$1,$B$469:$K$508,O$1,FALSE))</f>
        <v>0</v>
      </c>
      <c r="P14" s="106">
        <f t="shared" si="11"/>
        <v>0</v>
      </c>
      <c r="Q14" s="106">
        <f t="shared" si="11"/>
        <v>0</v>
      </c>
      <c r="R14" s="106">
        <f t="shared" si="11"/>
        <v>0</v>
      </c>
      <c r="S14" s="106">
        <f t="shared" si="11"/>
        <v>0</v>
      </c>
      <c r="T14" s="106">
        <f t="shared" si="11"/>
        <v>0</v>
      </c>
      <c r="U14" s="106">
        <f t="shared" si="11"/>
        <v>0</v>
      </c>
      <c r="V14" s="106">
        <f t="shared" si="11"/>
        <v>0</v>
      </c>
      <c r="W14" s="110">
        <f t="shared" si="0"/>
        <v>1</v>
      </c>
      <c r="X14" s="110">
        <f t="shared" si="1"/>
        <v>1</v>
      </c>
      <c r="Z14" s="161">
        <f>Dados_Clientes!F16</f>
        <v>15</v>
      </c>
      <c r="AA14" s="161" t="str">
        <f>Dados_Clientes!E16</f>
        <v>Itajá/GO</v>
      </c>
    </row>
    <row r="15" spans="1:28" x14ac:dyDescent="0.3">
      <c r="A15" s="293">
        <v>14</v>
      </c>
      <c r="B15" s="294" t="s">
        <v>23</v>
      </c>
      <c r="C15" s="295">
        <v>7530333.3899999997</v>
      </c>
      <c r="D15" s="295">
        <v>1500576.83</v>
      </c>
      <c r="E15" s="295">
        <v>1186467.6499999999</v>
      </c>
      <c r="F15" s="295">
        <v>0</v>
      </c>
      <c r="G15" s="295">
        <v>7962133.5500000007</v>
      </c>
      <c r="H15" s="295">
        <v>117690.98000000138</v>
      </c>
      <c r="I15" s="296">
        <v>1.5003103018447032E-2</v>
      </c>
      <c r="J15" s="296">
        <v>2.0041050578879727E-2</v>
      </c>
      <c r="K15" s="296">
        <v>0.74861858959919303</v>
      </c>
      <c r="M15" s="29" t="s">
        <v>665</v>
      </c>
      <c r="N15" s="106">
        <f>N3</f>
        <v>7530333.3899999997</v>
      </c>
      <c r="O15" s="106">
        <f>SUM(O3:O14)</f>
        <v>11195135.620000001</v>
      </c>
      <c r="P15" s="106">
        <f>SUM(P3:P14)</f>
        <v>10929170.869999999</v>
      </c>
      <c r="Q15" s="106">
        <f>SUM(Q3:Q14)</f>
        <v>46170.46</v>
      </c>
      <c r="R15" s="106">
        <f>VLOOKUP(AB1,M3:R14,6,FALSE)</f>
        <v>8167736.2599999998</v>
      </c>
      <c r="S15" s="106">
        <f>SUM(S3:S14)</f>
        <v>417608.57999999914</v>
      </c>
      <c r="T15" s="23">
        <f>PRODUCT(W3:W14)-1</f>
        <v>5.3557392490828581E-2</v>
      </c>
      <c r="U15" s="23">
        <f>PRODUCT(X3:X14)-1</f>
        <v>4.4355411409730872E-2</v>
      </c>
      <c r="V15" s="23">
        <f>IF(T15=0,0,T15/U15)</f>
        <v>1.2074601675113523</v>
      </c>
      <c r="Z15" s="161">
        <f>Dados_Clientes!F17</f>
        <v>16</v>
      </c>
      <c r="AA15" s="161" t="str">
        <f>Dados_Clientes!E17</f>
        <v>Itapeva/MG</v>
      </c>
    </row>
    <row r="16" spans="1:28" x14ac:dyDescent="0.3">
      <c r="A16" s="293">
        <v>15</v>
      </c>
      <c r="B16" s="294" t="s">
        <v>24</v>
      </c>
      <c r="C16" s="295">
        <v>13410297.129999999</v>
      </c>
      <c r="D16" s="295">
        <v>314796.08999999997</v>
      </c>
      <c r="E16" s="295">
        <v>621953.54</v>
      </c>
      <c r="F16" s="295">
        <v>0</v>
      </c>
      <c r="G16" s="295">
        <v>13317412.370000001</v>
      </c>
      <c r="H16" s="295">
        <v>214272.69000000134</v>
      </c>
      <c r="I16" s="296">
        <v>1.5978220909114289E-2</v>
      </c>
      <c r="J16" s="296">
        <v>2.0041050578879727E-2</v>
      </c>
      <c r="K16" s="296">
        <v>0.79727461622959761</v>
      </c>
      <c r="Z16" s="161">
        <f>Dados_Clientes!F18</f>
        <v>17</v>
      </c>
      <c r="AA16" s="161" t="str">
        <f>Dados_Clientes!E18</f>
        <v>João Neiva/ES</v>
      </c>
    </row>
    <row r="17" spans="1:27" x14ac:dyDescent="0.3">
      <c r="A17" s="293">
        <v>16</v>
      </c>
      <c r="B17" s="294" t="s">
        <v>25</v>
      </c>
      <c r="C17" s="295">
        <v>17473884.93</v>
      </c>
      <c r="D17" s="295">
        <v>4119215.07</v>
      </c>
      <c r="E17" s="295">
        <v>3987923.5400000005</v>
      </c>
      <c r="F17" s="295">
        <v>0</v>
      </c>
      <c r="G17" s="295">
        <v>17937422.559999999</v>
      </c>
      <c r="H17" s="295">
        <v>332246.09999999776</v>
      </c>
      <c r="I17" s="296">
        <v>1.8872068721087827E-2</v>
      </c>
      <c r="J17" s="296">
        <v>2.0041050578879727E-2</v>
      </c>
      <c r="K17" s="296">
        <v>0.9416706298309615</v>
      </c>
      <c r="N17" s="127" t="s">
        <v>2</v>
      </c>
      <c r="O17" s="127" t="s">
        <v>3</v>
      </c>
      <c r="P17" s="127" t="s">
        <v>4</v>
      </c>
      <c r="Q17" s="161" t="s">
        <v>806</v>
      </c>
      <c r="R17" s="127" t="s">
        <v>5</v>
      </c>
      <c r="S17" s="127" t="s">
        <v>559</v>
      </c>
      <c r="T17" s="127" t="s">
        <v>560</v>
      </c>
      <c r="U17" s="127" t="s">
        <v>569</v>
      </c>
      <c r="V17" s="127" t="s">
        <v>570</v>
      </c>
      <c r="Z17" s="161">
        <f>Dados_Clientes!F19</f>
        <v>18</v>
      </c>
      <c r="AA17" s="161" t="str">
        <f>Dados_Clientes!E19</f>
        <v>Maricá/RJ</v>
      </c>
    </row>
    <row r="18" spans="1:27" x14ac:dyDescent="0.3">
      <c r="A18" s="293">
        <v>17</v>
      </c>
      <c r="B18" s="294" t="s">
        <v>26</v>
      </c>
      <c r="C18" s="295">
        <v>5659364.4199999999</v>
      </c>
      <c r="D18" s="295">
        <v>64946.49</v>
      </c>
      <c r="E18" s="295">
        <v>152676.32</v>
      </c>
      <c r="F18" s="295">
        <v>0</v>
      </c>
      <c r="G18" s="295">
        <v>5685894.0399999991</v>
      </c>
      <c r="H18" s="295">
        <v>114259.44999999925</v>
      </c>
      <c r="I18" s="296">
        <v>2.0189449118386913E-2</v>
      </c>
      <c r="J18" s="296">
        <v>1.7629368457522832E-2</v>
      </c>
      <c r="K18" s="296">
        <v>1.1452168106323537</v>
      </c>
      <c r="M18" s="128" t="str">
        <f>AB1</f>
        <v>Março/2016</v>
      </c>
      <c r="N18" s="106">
        <f>Retorno!C4</f>
        <v>7955238.4399999995</v>
      </c>
      <c r="O18" s="106">
        <f>Retorno!D4</f>
        <v>5519280.0800000001</v>
      </c>
      <c r="P18" s="106">
        <f>Retorno!E4</f>
        <v>5519280.0800000001</v>
      </c>
      <c r="Q18" s="106">
        <f>Retorno!F4</f>
        <v>0</v>
      </c>
      <c r="R18" s="106">
        <f>Retorno!G4</f>
        <v>8167736.2599999998</v>
      </c>
      <c r="S18" s="106">
        <f>Retorno!H4</f>
        <v>212497.8200000003</v>
      </c>
      <c r="T18" s="23">
        <f>Retorno!I4</f>
        <v>2.671168458402616E-2</v>
      </c>
      <c r="U18" s="23">
        <f>Retorno!J4</f>
        <v>9.2889677878305044E-3</v>
      </c>
      <c r="V18" s="23">
        <f>Retorno!K4</f>
        <v>2.8756353982647234</v>
      </c>
      <c r="Z18" s="161">
        <f>Dados_Clientes!F20</f>
        <v>19</v>
      </c>
      <c r="AA18" s="161" t="str">
        <f>Dados_Clientes!E20</f>
        <v>Monte Castelo/SP</v>
      </c>
    </row>
    <row r="19" spans="1:27" x14ac:dyDescent="0.3">
      <c r="A19" s="293">
        <v>18</v>
      </c>
      <c r="B19" s="294" t="s">
        <v>70</v>
      </c>
      <c r="C19" s="295">
        <v>3128355.78</v>
      </c>
      <c r="D19" s="295">
        <v>30000</v>
      </c>
      <c r="E19" s="295">
        <v>75000</v>
      </c>
      <c r="F19" s="295">
        <v>0</v>
      </c>
      <c r="G19" s="295">
        <v>3137639.8999999994</v>
      </c>
      <c r="H19" s="295">
        <v>54284.119999999646</v>
      </c>
      <c r="I19" s="296">
        <v>1.7352284656062887E-2</v>
      </c>
      <c r="J19" s="296">
        <v>1.7629368457522832E-2</v>
      </c>
      <c r="K19" s="296">
        <v>0.98428282884168172</v>
      </c>
      <c r="Z19" s="161">
        <f>Dados_Clientes!F21</f>
        <v>20</v>
      </c>
      <c r="AA19" s="161" t="str">
        <f>Dados_Clientes!E21</f>
        <v>Nova Guataporanga/SP</v>
      </c>
    </row>
    <row r="20" spans="1:27" x14ac:dyDescent="0.3">
      <c r="A20" s="293">
        <v>19</v>
      </c>
      <c r="B20" s="294" t="s">
        <v>27</v>
      </c>
      <c r="C20" s="295">
        <v>14197447.470000001</v>
      </c>
      <c r="D20" s="295">
        <v>4310027.6500000004</v>
      </c>
      <c r="E20" s="295">
        <v>3665562.5300000003</v>
      </c>
      <c r="F20" s="295">
        <v>0</v>
      </c>
      <c r="G20" s="295">
        <v>15059161.270000001</v>
      </c>
      <c r="H20" s="295">
        <v>217248.6799999997</v>
      </c>
      <c r="I20" s="296">
        <v>1.4637512428578432E-2</v>
      </c>
      <c r="J20" s="296">
        <v>2.0041050578879727E-2</v>
      </c>
      <c r="K20" s="296">
        <v>0.73037650251749686</v>
      </c>
      <c r="Z20" s="161">
        <f>Dados_Clientes!F22</f>
        <v>21</v>
      </c>
      <c r="AA20" s="161" t="str">
        <f>Dados_Clientes!E22</f>
        <v>Nova Mamoré/RO</v>
      </c>
    </row>
    <row r="21" spans="1:27" x14ac:dyDescent="0.3">
      <c r="A21" s="293">
        <v>20</v>
      </c>
      <c r="B21" s="294" t="s">
        <v>71</v>
      </c>
      <c r="C21" s="295">
        <v>8997028.0199999996</v>
      </c>
      <c r="D21" s="295">
        <v>0</v>
      </c>
      <c r="E21" s="295">
        <v>1500</v>
      </c>
      <c r="F21" s="295">
        <v>0</v>
      </c>
      <c r="G21" s="295">
        <v>9084531.6099999994</v>
      </c>
      <c r="H21" s="295">
        <v>89003.589999999851</v>
      </c>
      <c r="I21" s="296">
        <v>9.8925544971238018E-3</v>
      </c>
      <c r="J21" s="296">
        <v>2.0041050578879727E-2</v>
      </c>
      <c r="K21" s="296">
        <v>0.49361456667092474</v>
      </c>
      <c r="Z21" s="161">
        <f>Dados_Clientes!F23</f>
        <v>22</v>
      </c>
      <c r="AA21" s="161" t="str">
        <f>Dados_Clientes!E23</f>
        <v>Olímpio Noronha/MG</v>
      </c>
    </row>
    <row r="22" spans="1:27" x14ac:dyDescent="0.3">
      <c r="A22" s="293">
        <v>33</v>
      </c>
      <c r="B22" s="294" t="s">
        <v>1082</v>
      </c>
      <c r="C22" s="295">
        <v>179671462.02000001</v>
      </c>
      <c r="D22" s="295">
        <v>21969204.379999999</v>
      </c>
      <c r="E22" s="295">
        <v>22513468.930000003</v>
      </c>
      <c r="F22" s="295">
        <v>1952.35</v>
      </c>
      <c r="G22" s="295">
        <v>183484520.02999997</v>
      </c>
      <c r="H22" s="295">
        <v>4359274.9099999722</v>
      </c>
      <c r="I22" s="296">
        <v>2.4262478086334725E-2</v>
      </c>
      <c r="J22" s="296">
        <v>1.7629368457522832E-2</v>
      </c>
      <c r="K22" s="296">
        <v>1.3762533890419315</v>
      </c>
      <c r="Z22" s="161">
        <f>Dados_Clientes!F24</f>
        <v>23</v>
      </c>
      <c r="AA22" s="161" t="str">
        <f>Dados_Clientes!E24</f>
        <v>Osasco/SP</v>
      </c>
    </row>
    <row r="23" spans="1:27" x14ac:dyDescent="0.3">
      <c r="A23" s="293">
        <v>21</v>
      </c>
      <c r="B23" s="294" t="s">
        <v>28</v>
      </c>
      <c r="C23" s="295">
        <v>21473499.73</v>
      </c>
      <c r="D23" s="295">
        <v>10592242.689999999</v>
      </c>
      <c r="E23" s="295">
        <v>10332242.689999999</v>
      </c>
      <c r="F23" s="295">
        <v>0</v>
      </c>
      <c r="G23" s="295">
        <v>22139405.399999999</v>
      </c>
      <c r="H23" s="295">
        <v>405905.66999999806</v>
      </c>
      <c r="I23" s="295">
        <v>1.8676498265012654E-2</v>
      </c>
      <c r="J23" s="295">
        <v>1.7629368457522832E-2</v>
      </c>
      <c r="K23" s="295">
        <v>1.0593968984205437</v>
      </c>
      <c r="Z23" s="161" t="e">
        <f>Dados_Clientes!#REF!</f>
        <v>#REF!</v>
      </c>
      <c r="AA23" s="161" t="e">
        <f>Dados_Clientes!#REF!</f>
        <v>#REF!</v>
      </c>
    </row>
    <row r="24" spans="1:27" x14ac:dyDescent="0.3">
      <c r="A24" s="293">
        <v>22</v>
      </c>
      <c r="B24" s="294" t="s">
        <v>29</v>
      </c>
      <c r="C24" s="295">
        <v>28266923.890000001</v>
      </c>
      <c r="D24" s="295">
        <v>1501174.6099999999</v>
      </c>
      <c r="E24" s="295">
        <v>1445248.9200000002</v>
      </c>
      <c r="F24" s="295">
        <v>0</v>
      </c>
      <c r="G24" s="295">
        <v>28820342.769999996</v>
      </c>
      <c r="H24" s="295">
        <v>497493.18999999762</v>
      </c>
      <c r="I24" s="295">
        <v>1.7565082517378452E-2</v>
      </c>
      <c r="J24" s="295">
        <v>1.7629368457522832E-2</v>
      </c>
      <c r="K24" s="295">
        <v>0.99635347458422718</v>
      </c>
      <c r="Z24" s="161">
        <f>Dados_Clientes!F25</f>
        <v>24</v>
      </c>
      <c r="AA24" s="161" t="str">
        <f>Dados_Clientes!E25</f>
        <v>Paranaíba/MS</v>
      </c>
    </row>
    <row r="25" spans="1:27" x14ac:dyDescent="0.3">
      <c r="A25" s="293">
        <v>23</v>
      </c>
      <c r="B25" s="294" t="s">
        <v>30</v>
      </c>
      <c r="C25" s="295">
        <v>20451966.099999998</v>
      </c>
      <c r="D25" s="295">
        <v>44792.17</v>
      </c>
      <c r="E25" s="295">
        <v>0</v>
      </c>
      <c r="F25" s="295">
        <v>0</v>
      </c>
      <c r="G25" s="295">
        <v>21024847.760000002</v>
      </c>
      <c r="H25" s="295">
        <v>528089.49000000209</v>
      </c>
      <c r="I25" s="296">
        <v>2.576453715478209E-2</v>
      </c>
      <c r="J25" s="296">
        <v>2.0041050578879727E-2</v>
      </c>
      <c r="K25" s="296">
        <v>1.2855881508494402</v>
      </c>
      <c r="Z25" s="161">
        <f>Dados_Clientes!F26</f>
        <v>25</v>
      </c>
      <c r="AA25" s="161" t="str">
        <f>Dados_Clientes!E26</f>
        <v>Paranapanema/SP</v>
      </c>
    </row>
    <row r="26" spans="1:27" x14ac:dyDescent="0.3">
      <c r="A26" s="293">
        <v>24</v>
      </c>
      <c r="B26" s="294" t="s">
        <v>31</v>
      </c>
      <c r="C26" s="295">
        <v>21007781.310000006</v>
      </c>
      <c r="D26" s="295">
        <v>42.87</v>
      </c>
      <c r="E26" s="295">
        <v>42.87</v>
      </c>
      <c r="F26" s="295">
        <v>0</v>
      </c>
      <c r="G26" s="295">
        <v>21357535.459999997</v>
      </c>
      <c r="H26" s="295">
        <v>349754.14999999106</v>
      </c>
      <c r="I26" s="296">
        <v>1.6648790504759446E-2</v>
      </c>
      <c r="J26" s="296">
        <v>1.7629368457522832E-2</v>
      </c>
      <c r="K26" s="296">
        <v>0.94437815766764166</v>
      </c>
      <c r="Z26" s="161">
        <f>Dados_Clientes!F27</f>
        <v>26</v>
      </c>
      <c r="AA26" s="161" t="str">
        <f>Dados_Clientes!E27</f>
        <v>Planalto/PR</v>
      </c>
    </row>
    <row r="27" spans="1:27" x14ac:dyDescent="0.3">
      <c r="A27" s="293">
        <v>25</v>
      </c>
      <c r="B27" s="294" t="s">
        <v>32</v>
      </c>
      <c r="C27" s="295">
        <v>53455997.600000001</v>
      </c>
      <c r="D27" s="295">
        <v>210466</v>
      </c>
      <c r="E27" s="295">
        <v>598466.80000000005</v>
      </c>
      <c r="F27" s="295">
        <v>0</v>
      </c>
      <c r="G27" s="295">
        <v>53958550.470000006</v>
      </c>
      <c r="H27" s="295">
        <v>890553.67000000179</v>
      </c>
      <c r="I27" s="296">
        <v>1.6659565062536626E-2</v>
      </c>
      <c r="J27" s="296">
        <v>1.7629368457522832E-2</v>
      </c>
      <c r="K27" s="296">
        <v>0.9449893286124853</v>
      </c>
      <c r="Z27" s="161">
        <f>Dados_Clientes!F28</f>
        <v>27</v>
      </c>
      <c r="AA27" s="161" t="str">
        <f>Dados_Clientes!E28</f>
        <v>Rafard/SP</v>
      </c>
    </row>
    <row r="28" spans="1:27" x14ac:dyDescent="0.3">
      <c r="A28" s="293">
        <v>26</v>
      </c>
      <c r="B28" s="294" t="s">
        <v>33</v>
      </c>
      <c r="C28" s="295">
        <v>59415583.250000007</v>
      </c>
      <c r="D28" s="295">
        <v>0</v>
      </c>
      <c r="E28" s="295">
        <v>424107.57</v>
      </c>
      <c r="F28" s="295">
        <v>0</v>
      </c>
      <c r="G28" s="295">
        <v>59949841.309999995</v>
      </c>
      <c r="H28" s="295">
        <v>958365.62999998778</v>
      </c>
      <c r="I28" s="296">
        <v>1.6129869936099425E-2</v>
      </c>
      <c r="J28" s="296">
        <v>1.7629368457522832E-2</v>
      </c>
      <c r="K28" s="296">
        <v>0.91494315153510009</v>
      </c>
      <c r="Z28" s="161">
        <f>Dados_Clientes!F29</f>
        <v>28</v>
      </c>
      <c r="AA28" s="161" t="str">
        <f>Dados_Clientes!E29</f>
        <v>Serrana/SP</v>
      </c>
    </row>
    <row r="29" spans="1:27" x14ac:dyDescent="0.3">
      <c r="A29" s="293">
        <v>27</v>
      </c>
      <c r="B29" s="294" t="s">
        <v>34</v>
      </c>
      <c r="C29" s="295">
        <v>83566944.790000021</v>
      </c>
      <c r="D29" s="295">
        <v>423412.42</v>
      </c>
      <c r="E29" s="295">
        <v>386013.47000000003</v>
      </c>
      <c r="F29" s="295">
        <v>16561.5</v>
      </c>
      <c r="G29" s="295">
        <v>84507746.019999996</v>
      </c>
      <c r="H29" s="295">
        <v>919963.77999997139</v>
      </c>
      <c r="I29" s="296">
        <v>1.100377969428184E-2</v>
      </c>
      <c r="J29" s="296">
        <v>1.7629368457522832E-2</v>
      </c>
      <c r="K29" s="296">
        <v>0.62417322099739148</v>
      </c>
      <c r="Z29" s="161">
        <f>Dados_Clientes!F30</f>
        <v>29</v>
      </c>
      <c r="AA29" s="161" t="str">
        <f>Dados_Clientes!E30</f>
        <v>Sidrolândia/MS</v>
      </c>
    </row>
    <row r="30" spans="1:27" x14ac:dyDescent="0.3">
      <c r="A30" s="293">
        <v>28</v>
      </c>
      <c r="B30" s="294" t="s">
        <v>35</v>
      </c>
      <c r="C30" s="295">
        <v>51258142.669999994</v>
      </c>
      <c r="D30" s="295">
        <v>193347.61</v>
      </c>
      <c r="E30" s="295">
        <v>90877.84</v>
      </c>
      <c r="F30" s="295">
        <v>0</v>
      </c>
      <c r="G30" s="295">
        <v>52072062.18</v>
      </c>
      <c r="H30" s="295">
        <v>711449.74000000954</v>
      </c>
      <c r="I30" s="296">
        <v>1.3852049385725932E-2</v>
      </c>
      <c r="J30" s="296">
        <v>1.7629368457522832E-2</v>
      </c>
      <c r="K30" s="296">
        <v>0.78573713057854688</v>
      </c>
      <c r="Z30" s="161">
        <f>Dados_Clientes!F31</f>
        <v>30</v>
      </c>
      <c r="AA30" s="161" t="str">
        <f>Dados_Clientes!E31</f>
        <v>Sta Rita do Pas. Q./SP</v>
      </c>
    </row>
    <row r="31" spans="1:27" x14ac:dyDescent="0.3">
      <c r="A31" s="293">
        <v>29</v>
      </c>
      <c r="B31" s="294" t="s">
        <v>36</v>
      </c>
      <c r="C31" s="295">
        <v>12760472.34</v>
      </c>
      <c r="D31" s="295">
        <v>240000</v>
      </c>
      <c r="E31" s="295">
        <v>0</v>
      </c>
      <c r="F31" s="295">
        <v>0</v>
      </c>
      <c r="G31" s="295">
        <v>13185102.41</v>
      </c>
      <c r="H31" s="295">
        <v>184630.0700000003</v>
      </c>
      <c r="I31" s="296">
        <v>1.4201797071013213E-2</v>
      </c>
      <c r="J31" s="296">
        <v>1.7629368457522832E-2</v>
      </c>
      <c r="K31" s="296">
        <v>0.80557605368744789</v>
      </c>
      <c r="Z31" s="161">
        <f>Dados_Clientes!F32</f>
        <v>31</v>
      </c>
      <c r="AA31" s="161" t="str">
        <f>Dados_Clientes!E32</f>
        <v>Sumidouro/RJ</v>
      </c>
    </row>
    <row r="32" spans="1:27" x14ac:dyDescent="0.3">
      <c r="A32" s="293">
        <v>30</v>
      </c>
      <c r="B32" s="294" t="s">
        <v>37</v>
      </c>
      <c r="C32" s="295">
        <v>51250628.210000008</v>
      </c>
      <c r="D32" s="295">
        <v>2428433.9900000002</v>
      </c>
      <c r="E32" s="295">
        <v>2026212</v>
      </c>
      <c r="F32" s="295">
        <v>0</v>
      </c>
      <c r="G32" s="295">
        <v>52488591.289999999</v>
      </c>
      <c r="H32" s="295">
        <v>835741.08999998868</v>
      </c>
      <c r="I32" s="296">
        <v>1.6179960772038645E-2</v>
      </c>
      <c r="J32" s="296">
        <v>2.0041050578879727E-2</v>
      </c>
      <c r="K32" s="296">
        <v>0.80734094793862288</v>
      </c>
      <c r="Z32" s="161">
        <f>Dados_Clientes!F33</f>
        <v>32</v>
      </c>
      <c r="AA32" s="161" t="str">
        <f>Dados_Clientes!E33</f>
        <v>Suzanápolis/SP</v>
      </c>
    </row>
    <row r="33" spans="1:27" x14ac:dyDescent="0.3">
      <c r="A33" s="293">
        <v>31</v>
      </c>
      <c r="B33" s="294" t="s">
        <v>38</v>
      </c>
      <c r="C33" s="295">
        <v>33711271.32</v>
      </c>
      <c r="D33" s="295">
        <v>186641.69</v>
      </c>
      <c r="E33" s="295">
        <v>29710.690000000002</v>
      </c>
      <c r="F33" s="295">
        <v>0</v>
      </c>
      <c r="G33" s="295">
        <v>34372582.829999998</v>
      </c>
      <c r="H33" s="295">
        <v>504380.50999999791</v>
      </c>
      <c r="I33" s="296">
        <v>1.4892450010615087E-2</v>
      </c>
      <c r="J33" s="296">
        <v>1.7629368457522832E-2</v>
      </c>
      <c r="K33" s="296">
        <v>0.84475232601200512</v>
      </c>
      <c r="Z33" s="161">
        <f>Dados_Clientes!F34</f>
        <v>33</v>
      </c>
      <c r="AA33" s="161" t="str">
        <f>Dados_Clientes!E34</f>
        <v>Tambaú/SP</v>
      </c>
    </row>
    <row r="34" spans="1:27" x14ac:dyDescent="0.3">
      <c r="A34" s="293">
        <v>32</v>
      </c>
      <c r="B34" s="294" t="s">
        <v>39</v>
      </c>
      <c r="C34" s="295">
        <v>84120828.790000007</v>
      </c>
      <c r="D34" s="295">
        <v>235017.53</v>
      </c>
      <c r="E34" s="295">
        <v>1249681.83</v>
      </c>
      <c r="F34" s="295">
        <v>32499.83</v>
      </c>
      <c r="G34" s="295">
        <v>84407334.909999996</v>
      </c>
      <c r="H34" s="295">
        <v>1333670.249999987</v>
      </c>
      <c r="I34" s="296">
        <v>1.5854221471466638E-2</v>
      </c>
      <c r="J34" s="296">
        <v>1.7629368457522832E-2</v>
      </c>
      <c r="K34" s="296">
        <v>0.89930739774749557</v>
      </c>
      <c r="Z34" s="161">
        <f>Dados_Clientes!F35</f>
        <v>34</v>
      </c>
      <c r="AA34" s="161" t="str">
        <f>Dados_Clientes!E35</f>
        <v>Tarumã/SP</v>
      </c>
    </row>
    <row r="35" spans="1:27" x14ac:dyDescent="0.3">
      <c r="A35" s="293">
        <v>34</v>
      </c>
      <c r="B35" s="294" t="s">
        <v>1114</v>
      </c>
      <c r="C35" s="295">
        <v>172073.18</v>
      </c>
      <c r="D35" s="295">
        <v>170000</v>
      </c>
      <c r="E35" s="295">
        <v>287758.19</v>
      </c>
      <c r="F35" s="295">
        <v>0</v>
      </c>
      <c r="G35" s="295">
        <v>57437.78</v>
      </c>
      <c r="H35" s="295">
        <v>3122.789999999979</v>
      </c>
      <c r="I35" s="296">
        <v>1.8148034458362303E-2</v>
      </c>
      <c r="J35" s="296">
        <v>1.7629368457522832E-2</v>
      </c>
      <c r="K35" s="296">
        <v>1.0294205661472884</v>
      </c>
      <c r="Z35" s="285">
        <f>Dados_Clientes!F36</f>
        <v>35</v>
      </c>
      <c r="AA35" s="161" t="str">
        <f>Dados_Clientes!E36</f>
        <v>Telêmaco Borba/PR</v>
      </c>
    </row>
    <row r="36" spans="1:27" x14ac:dyDescent="0.3">
      <c r="A36" s="293">
        <v>35</v>
      </c>
      <c r="B36" s="294" t="s">
        <v>40</v>
      </c>
      <c r="C36" s="295">
        <v>7061302.8399999999</v>
      </c>
      <c r="D36" s="295">
        <v>159489.48000000001</v>
      </c>
      <c r="E36" s="295">
        <v>0</v>
      </c>
      <c r="F36" s="295">
        <v>0</v>
      </c>
      <c r="G36" s="295">
        <v>7384712.5899999999</v>
      </c>
      <c r="H36" s="295">
        <v>163920.26999999955</v>
      </c>
      <c r="I36" s="296">
        <v>2.270114728905533E-2</v>
      </c>
      <c r="J36" s="296">
        <v>1.7629368457522832E-2</v>
      </c>
      <c r="K36" s="296">
        <v>1.2876891956596586</v>
      </c>
      <c r="Z36" s="285">
        <f>Dados_Clientes!F37</f>
        <v>36</v>
      </c>
      <c r="AA36" s="285" t="str">
        <f>Dados_Clientes!E37</f>
        <v>Urania/SP</v>
      </c>
    </row>
    <row r="37" spans="1:27" x14ac:dyDescent="0.3">
      <c r="A37" s="293">
        <v>36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Z37" s="265"/>
      <c r="AA37" s="265"/>
    </row>
    <row r="38" spans="1:27" x14ac:dyDescent="0.3">
      <c r="A38" s="293">
        <v>37</v>
      </c>
      <c r="B38" s="224"/>
      <c r="C38" s="224">
        <v>0</v>
      </c>
      <c r="D38" s="224">
        <v>0</v>
      </c>
      <c r="E38" s="224">
        <v>0</v>
      </c>
      <c r="F38" s="224">
        <v>0</v>
      </c>
      <c r="G38" s="224">
        <v>0</v>
      </c>
      <c r="H38" s="224">
        <v>0</v>
      </c>
      <c r="I38" s="224" t="e">
        <v>#DIV/0!</v>
      </c>
      <c r="J38" s="224" t="e">
        <v>#N/A</v>
      </c>
      <c r="K38" s="224"/>
    </row>
    <row r="39" spans="1:27" x14ac:dyDescent="0.3">
      <c r="A39" s="293">
        <v>38</v>
      </c>
      <c r="B39" s="224"/>
      <c r="C39" s="224"/>
      <c r="D39" s="224"/>
      <c r="E39" s="224"/>
      <c r="F39" s="224"/>
      <c r="G39" s="224"/>
      <c r="H39" s="224"/>
      <c r="I39" s="224"/>
      <c r="J39" s="224"/>
      <c r="K39" s="224"/>
    </row>
    <row r="40" spans="1:27" x14ac:dyDescent="0.3">
      <c r="A40" s="293">
        <v>39</v>
      </c>
      <c r="B40" s="224"/>
      <c r="C40" s="224"/>
      <c r="D40" s="224"/>
      <c r="E40" s="224"/>
      <c r="F40" s="224"/>
      <c r="G40" s="224"/>
      <c r="H40" s="224"/>
      <c r="I40" s="224"/>
      <c r="J40" s="224"/>
      <c r="K40" s="224"/>
    </row>
    <row r="41" spans="1:27" x14ac:dyDescent="0.3">
      <c r="A41" s="293">
        <v>40</v>
      </c>
      <c r="B41" s="224"/>
      <c r="C41" s="224"/>
      <c r="D41" s="224"/>
      <c r="E41" s="224"/>
      <c r="F41" s="224"/>
      <c r="G41" s="224"/>
      <c r="H41" s="224"/>
      <c r="I41" s="224"/>
      <c r="J41" s="224"/>
      <c r="K41" s="224"/>
    </row>
    <row r="42" spans="1:27" x14ac:dyDescent="0.3">
      <c r="A42" s="293">
        <v>41</v>
      </c>
      <c r="B42" s="224"/>
      <c r="C42" s="224"/>
      <c r="D42" s="224"/>
      <c r="E42" s="224"/>
      <c r="F42" s="224"/>
      <c r="G42" s="224"/>
      <c r="H42" s="224"/>
      <c r="I42" s="224"/>
      <c r="J42" s="224"/>
      <c r="K42" s="224"/>
    </row>
    <row r="43" spans="1:27" x14ac:dyDescent="0.3">
      <c r="A43" s="224"/>
      <c r="B43" s="224"/>
      <c r="C43" s="224"/>
      <c r="D43" s="224"/>
      <c r="E43" s="224"/>
      <c r="F43" s="224"/>
      <c r="G43" s="224"/>
      <c r="H43" s="224"/>
      <c r="I43" s="224"/>
      <c r="J43" s="224"/>
      <c r="K43" s="224"/>
    </row>
    <row r="44" spans="1:27" x14ac:dyDescent="0.3">
      <c r="A44" s="224"/>
      <c r="B44" s="224"/>
      <c r="C44" s="224"/>
      <c r="D44" s="224"/>
      <c r="E44" s="224"/>
      <c r="F44" s="224"/>
      <c r="G44" s="224"/>
      <c r="H44" s="224"/>
      <c r="I44" s="224"/>
      <c r="J44" s="224"/>
      <c r="K44" s="224"/>
    </row>
    <row r="45" spans="1:27" x14ac:dyDescent="0.3">
      <c r="A45" s="224"/>
      <c r="B45" s="224"/>
      <c r="C45" s="224"/>
      <c r="D45" s="224"/>
      <c r="E45" s="224"/>
      <c r="F45" s="224"/>
      <c r="G45" s="224"/>
      <c r="H45" s="224"/>
      <c r="I45" s="224"/>
      <c r="J45" s="224"/>
      <c r="K45" s="224"/>
    </row>
    <row r="46" spans="1:27" x14ac:dyDescent="0.3">
      <c r="A46" s="224"/>
      <c r="B46" s="224"/>
      <c r="C46" s="224"/>
      <c r="D46" s="224"/>
      <c r="E46" s="224"/>
      <c r="F46" s="224"/>
      <c r="G46" s="224"/>
      <c r="H46" s="224"/>
      <c r="I46" s="224"/>
      <c r="J46" s="224"/>
      <c r="K46" s="224"/>
    </row>
    <row r="47" spans="1:27" x14ac:dyDescent="0.3">
      <c r="A47" s="224">
        <v>2</v>
      </c>
      <c r="B47" s="291">
        <v>42401</v>
      </c>
      <c r="C47" s="292" t="s">
        <v>2</v>
      </c>
      <c r="D47" s="292" t="s">
        <v>3</v>
      </c>
      <c r="E47" s="292" t="s">
        <v>4</v>
      </c>
      <c r="F47" s="292" t="s">
        <v>806</v>
      </c>
      <c r="G47" s="292" t="s">
        <v>5</v>
      </c>
      <c r="H47" s="292" t="s">
        <v>559</v>
      </c>
      <c r="I47" s="292" t="s">
        <v>560</v>
      </c>
      <c r="J47" s="292" t="s">
        <v>569</v>
      </c>
      <c r="K47" s="292" t="s">
        <v>570</v>
      </c>
    </row>
    <row r="48" spans="1:27" x14ac:dyDescent="0.3">
      <c r="A48" s="293">
        <v>3</v>
      </c>
      <c r="B48" s="294" t="s">
        <v>13</v>
      </c>
      <c r="C48" s="295">
        <v>5076010.0599999996</v>
      </c>
      <c r="D48" s="295">
        <v>0</v>
      </c>
      <c r="E48" s="295">
        <v>6000</v>
      </c>
      <c r="F48" s="295">
        <v>0</v>
      </c>
      <c r="G48" s="295">
        <v>5130579.9000000004</v>
      </c>
      <c r="H48" s="295">
        <v>60569.840000000782</v>
      </c>
      <c r="I48" s="296">
        <v>1.1932568943726796E-2</v>
      </c>
      <c r="J48" s="296">
        <v>1.4413792295713934E-2</v>
      </c>
      <c r="K48" s="296">
        <v>0.82785770038292061</v>
      </c>
    </row>
    <row r="49" spans="1:11" x14ac:dyDescent="0.3">
      <c r="A49" s="293">
        <v>4</v>
      </c>
      <c r="B49" s="294" t="s">
        <v>14</v>
      </c>
      <c r="C49" s="295">
        <v>17249797.039999999</v>
      </c>
      <c r="D49" s="295">
        <v>0</v>
      </c>
      <c r="E49" s="295">
        <v>0</v>
      </c>
      <c r="F49" s="295">
        <v>0</v>
      </c>
      <c r="G49" s="295">
        <v>17498695.210000001</v>
      </c>
      <c r="H49" s="295">
        <v>248898.17000000179</v>
      </c>
      <c r="I49" s="296">
        <v>1.4429049189555091E-2</v>
      </c>
      <c r="J49" s="296">
        <v>1.4174232851495994E-2</v>
      </c>
      <c r="K49" s="296">
        <v>1.0179774341743091</v>
      </c>
    </row>
    <row r="50" spans="1:11" x14ac:dyDescent="0.3">
      <c r="A50" s="293">
        <v>5</v>
      </c>
      <c r="B50" s="294" t="s">
        <v>15</v>
      </c>
      <c r="C50" s="295">
        <v>85416941.069999993</v>
      </c>
      <c r="D50" s="295">
        <v>896449.94</v>
      </c>
      <c r="E50" s="295">
        <v>153860.43</v>
      </c>
      <c r="F50" s="295">
        <v>0</v>
      </c>
      <c r="G50" s="295">
        <v>87077476.710000008</v>
      </c>
      <c r="H50" s="295">
        <v>917946.13000002503</v>
      </c>
      <c r="I50" s="296">
        <v>1.0654028913814739E-2</v>
      </c>
      <c r="J50" s="296">
        <v>1.4413792295713934E-2</v>
      </c>
      <c r="K50" s="296">
        <v>0.73915515745171423</v>
      </c>
    </row>
    <row r="51" spans="1:11" x14ac:dyDescent="0.3">
      <c r="A51" s="293">
        <v>6</v>
      </c>
      <c r="B51" s="294" t="s">
        <v>16</v>
      </c>
      <c r="C51" s="295">
        <v>10218503.949999999</v>
      </c>
      <c r="D51" s="295">
        <v>186980</v>
      </c>
      <c r="E51" s="295">
        <v>132432.07</v>
      </c>
      <c r="F51" s="295">
        <v>0</v>
      </c>
      <c r="G51" s="295">
        <v>10448287.270000001</v>
      </c>
      <c r="H51" s="295">
        <v>175235.39000000246</v>
      </c>
      <c r="I51" s="296">
        <v>1.7057773293363575E-2</v>
      </c>
      <c r="J51" s="296">
        <v>1.3911358520431127E-2</v>
      </c>
      <c r="K51" s="296">
        <v>1.2261759531473089</v>
      </c>
    </row>
    <row r="52" spans="1:11" x14ac:dyDescent="0.3">
      <c r="A52" s="293">
        <v>7</v>
      </c>
      <c r="B52" s="294" t="s">
        <v>17</v>
      </c>
      <c r="C52" s="295"/>
      <c r="D52" s="295"/>
      <c r="E52" s="295"/>
      <c r="F52" s="295"/>
      <c r="G52" s="295"/>
      <c r="H52" s="295"/>
      <c r="I52" s="296"/>
      <c r="J52" s="296"/>
      <c r="K52" s="296"/>
    </row>
    <row r="53" spans="1:11" x14ac:dyDescent="0.3">
      <c r="A53" s="293">
        <v>8</v>
      </c>
      <c r="B53" s="294" t="s">
        <v>18</v>
      </c>
      <c r="C53" s="295">
        <v>27175547.98</v>
      </c>
      <c r="D53" s="295">
        <v>79763.289999999994</v>
      </c>
      <c r="E53" s="295">
        <v>0</v>
      </c>
      <c r="F53" s="295">
        <v>82646.28</v>
      </c>
      <c r="G53" s="295">
        <v>27482375.43</v>
      </c>
      <c r="H53" s="295">
        <v>309710.44000000018</v>
      </c>
      <c r="I53" s="296">
        <v>1.1363305923454976E-2</v>
      </c>
      <c r="J53" s="296">
        <v>1.3911358520431127E-2</v>
      </c>
      <c r="K53" s="296">
        <v>0.81683653733501904</v>
      </c>
    </row>
    <row r="54" spans="1:11" x14ac:dyDescent="0.3">
      <c r="A54" s="293">
        <v>9</v>
      </c>
      <c r="B54" s="294" t="s">
        <v>19</v>
      </c>
      <c r="C54" s="295">
        <v>426941956.57999992</v>
      </c>
      <c r="D54" s="295">
        <v>347328919.94</v>
      </c>
      <c r="E54" s="295">
        <v>336703342.80000007</v>
      </c>
      <c r="F54" s="295">
        <v>2126465.8892000001</v>
      </c>
      <c r="G54" s="295">
        <v>441613499.96999997</v>
      </c>
      <c r="H54" s="295">
        <v>6172432.1392000597</v>
      </c>
      <c r="I54" s="296">
        <v>1.4106238839808001E-2</v>
      </c>
      <c r="J54" s="296">
        <v>1.0396983334652665E-2</v>
      </c>
      <c r="K54" s="296">
        <v>1.3567626671856401</v>
      </c>
    </row>
    <row r="55" spans="1:11" x14ac:dyDescent="0.3">
      <c r="A55" s="293">
        <v>10</v>
      </c>
      <c r="B55" s="294" t="s">
        <v>20</v>
      </c>
      <c r="C55" s="295">
        <v>20272770.830000002</v>
      </c>
      <c r="D55" s="295">
        <v>409721.18999999994</v>
      </c>
      <c r="E55" s="295">
        <v>397907.70999999996</v>
      </c>
      <c r="F55" s="295">
        <v>0</v>
      </c>
      <c r="G55" s="295">
        <v>20506901.420000002</v>
      </c>
      <c r="H55" s="295">
        <v>222317.1099999994</v>
      </c>
      <c r="I55" s="296">
        <v>1.0959904654807263E-2</v>
      </c>
      <c r="J55" s="296">
        <v>1.4014180056755032E-2</v>
      </c>
      <c r="K55" s="296">
        <v>0.78205821606555104</v>
      </c>
    </row>
    <row r="56" spans="1:11" x14ac:dyDescent="0.3">
      <c r="A56" s="293">
        <v>11</v>
      </c>
      <c r="B56" s="294" t="s">
        <v>21</v>
      </c>
      <c r="C56" s="295">
        <v>46263219.399999999</v>
      </c>
      <c r="D56" s="295">
        <v>5455412.5999999996</v>
      </c>
      <c r="E56" s="295">
        <v>5177850.8600000003</v>
      </c>
      <c r="F56" s="295">
        <v>317561.74</v>
      </c>
      <c r="G56" s="295">
        <v>46758594.209999993</v>
      </c>
      <c r="H56" s="295">
        <v>535374.80999999284</v>
      </c>
      <c r="I56" s="296">
        <v>1.1503348179514308E-2</v>
      </c>
      <c r="J56" s="296">
        <v>1.3911358520431127E-2</v>
      </c>
      <c r="K56" s="296">
        <v>0.82690329363733539</v>
      </c>
    </row>
    <row r="57" spans="1:11" x14ac:dyDescent="0.3">
      <c r="A57" s="293">
        <v>12</v>
      </c>
      <c r="B57" s="294" t="s">
        <v>796</v>
      </c>
      <c r="C57" s="295"/>
      <c r="D57" s="295"/>
      <c r="E57" s="295"/>
      <c r="F57" s="295"/>
      <c r="G57" s="295"/>
      <c r="H57" s="295"/>
      <c r="I57" s="296"/>
      <c r="J57" s="296"/>
      <c r="K57" s="296"/>
    </row>
    <row r="58" spans="1:11" x14ac:dyDescent="0.3">
      <c r="A58" s="293">
        <v>13</v>
      </c>
      <c r="B58" s="294" t="s">
        <v>22</v>
      </c>
      <c r="C58" s="295">
        <v>5514476.3500000006</v>
      </c>
      <c r="D58" s="295">
        <v>174364.33000000002</v>
      </c>
      <c r="E58" s="295">
        <v>235000</v>
      </c>
      <c r="F58" s="295">
        <v>0</v>
      </c>
      <c r="G58" s="295">
        <v>5533560.8300000001</v>
      </c>
      <c r="H58" s="295">
        <v>79720.149999999441</v>
      </c>
      <c r="I58" s="296">
        <v>1.44565222407744E-2</v>
      </c>
      <c r="J58" s="296">
        <v>1.4413792295713934E-2</v>
      </c>
      <c r="K58" s="296">
        <v>1.0029645178856346</v>
      </c>
    </row>
    <row r="59" spans="1:11" x14ac:dyDescent="0.3">
      <c r="A59" s="293">
        <v>14</v>
      </c>
      <c r="B59" s="294" t="s">
        <v>1113</v>
      </c>
      <c r="C59" s="295">
        <v>13331560.52</v>
      </c>
      <c r="D59" s="295">
        <v>97569.76</v>
      </c>
      <c r="E59" s="295">
        <v>50346.29</v>
      </c>
      <c r="F59" s="295">
        <v>0</v>
      </c>
      <c r="G59" s="295">
        <v>13543879.09</v>
      </c>
      <c r="H59" s="295">
        <v>165095.09999999963</v>
      </c>
      <c r="I59" s="296">
        <v>1.2340067686525196E-2</v>
      </c>
      <c r="J59" s="296">
        <v>1.2707882685040639E-2</v>
      </c>
      <c r="K59" s="296">
        <v>0.97105615407132895</v>
      </c>
    </row>
    <row r="60" spans="1:11" x14ac:dyDescent="0.3">
      <c r="A60" s="293">
        <v>15</v>
      </c>
      <c r="B60" s="294" t="s">
        <v>23</v>
      </c>
      <c r="C60" s="295">
        <v>7962133.5500000007</v>
      </c>
      <c r="D60" s="295">
        <v>4175278.71</v>
      </c>
      <c r="E60" s="295">
        <v>4223423.1399999997</v>
      </c>
      <c r="F60" s="295">
        <v>46170.46</v>
      </c>
      <c r="G60" s="295">
        <v>7955238.4399999995</v>
      </c>
      <c r="H60" s="295">
        <v>87419.779999997496</v>
      </c>
      <c r="I60" s="296">
        <v>1.0979441559354087E-2</v>
      </c>
      <c r="J60" s="296">
        <v>1.4413792295713934E-2</v>
      </c>
      <c r="K60" s="296">
        <v>0.76173163412510936</v>
      </c>
    </row>
    <row r="61" spans="1:11" x14ac:dyDescent="0.3">
      <c r="A61" s="293">
        <v>16</v>
      </c>
      <c r="B61" s="294" t="s">
        <v>24</v>
      </c>
      <c r="C61" s="295">
        <v>13317412.370000001</v>
      </c>
      <c r="D61" s="295">
        <v>227271.18</v>
      </c>
      <c r="E61" s="295">
        <v>353508.33</v>
      </c>
      <c r="F61" s="295">
        <v>0</v>
      </c>
      <c r="G61" s="295">
        <v>13334702.420000002</v>
      </c>
      <c r="H61" s="295">
        <v>143527.20000000112</v>
      </c>
      <c r="I61" s="296">
        <v>1.0777409005019877E-2</v>
      </c>
      <c r="J61" s="296">
        <v>1.4413792295713934E-2</v>
      </c>
      <c r="K61" s="296">
        <v>0.7477150207183596</v>
      </c>
    </row>
    <row r="62" spans="1:11" x14ac:dyDescent="0.3">
      <c r="A62" s="293">
        <v>17</v>
      </c>
      <c r="B62" s="294" t="s">
        <v>25</v>
      </c>
      <c r="C62" s="295">
        <v>17937422.559999999</v>
      </c>
      <c r="D62" s="295">
        <v>2498150.3699999996</v>
      </c>
      <c r="E62" s="295">
        <v>2187527.7000000002</v>
      </c>
      <c r="F62" s="295">
        <v>0</v>
      </c>
      <c r="G62" s="295">
        <v>18508237.160000004</v>
      </c>
      <c r="H62" s="295">
        <v>260191.93000000343</v>
      </c>
      <c r="I62" s="296">
        <v>1.4258619305274674E-2</v>
      </c>
      <c r="J62" s="296">
        <v>1.4413792295713934E-2</v>
      </c>
      <c r="K62" s="296">
        <v>0.9892344091509212</v>
      </c>
    </row>
    <row r="63" spans="1:11" x14ac:dyDescent="0.3">
      <c r="A63" s="293">
        <v>18</v>
      </c>
      <c r="B63" s="294" t="s">
        <v>26</v>
      </c>
      <c r="C63" s="295">
        <v>5685894.0399999991</v>
      </c>
      <c r="D63" s="295">
        <v>261833.40000000002</v>
      </c>
      <c r="E63" s="295">
        <v>1280348.8</v>
      </c>
      <c r="F63" s="295">
        <v>58734.39</v>
      </c>
      <c r="G63" s="295">
        <v>4698146.3600000003</v>
      </c>
      <c r="H63" s="295">
        <v>89502.11000000067</v>
      </c>
      <c r="I63" s="295">
        <v>1.5741079480264229E-2</v>
      </c>
      <c r="J63" s="295">
        <v>1.3911358520431127E-2</v>
      </c>
      <c r="K63" s="295">
        <v>1.1315271227569799</v>
      </c>
    </row>
    <row r="64" spans="1:11" x14ac:dyDescent="0.3">
      <c r="A64" s="293">
        <v>19</v>
      </c>
      <c r="B64" s="294" t="s">
        <v>70</v>
      </c>
      <c r="C64" s="295">
        <v>3137639.8999999994</v>
      </c>
      <c r="D64" s="295">
        <v>130000</v>
      </c>
      <c r="E64" s="295">
        <v>75000</v>
      </c>
      <c r="F64" s="295">
        <v>0</v>
      </c>
      <c r="G64" s="295">
        <v>3240079.21</v>
      </c>
      <c r="H64" s="295">
        <v>47439.310000000522</v>
      </c>
      <c r="I64" s="296">
        <v>1.485896044837394E-2</v>
      </c>
      <c r="J64" s="296">
        <v>1.3911358520431127E-2</v>
      </c>
      <c r="K64" s="296">
        <v>1.068117137988436</v>
      </c>
    </row>
    <row r="65" spans="1:11" x14ac:dyDescent="0.3">
      <c r="A65" s="293">
        <v>20</v>
      </c>
      <c r="B65" s="294" t="s">
        <v>27</v>
      </c>
      <c r="C65" s="295">
        <v>15059161.270000001</v>
      </c>
      <c r="D65" s="295">
        <v>0</v>
      </c>
      <c r="E65" s="295">
        <v>42316.91</v>
      </c>
      <c r="F65" s="295">
        <v>148468.39000000001</v>
      </c>
      <c r="G65" s="295">
        <v>15035912.450000001</v>
      </c>
      <c r="H65" s="295">
        <v>167536.47999999986</v>
      </c>
      <c r="I65" s="295">
        <v>1.112521985761295E-2</v>
      </c>
      <c r="J65" s="295">
        <v>1.4413792295713934E-2</v>
      </c>
      <c r="K65" s="295">
        <v>0.77184544007347256</v>
      </c>
    </row>
    <row r="66" spans="1:11" x14ac:dyDescent="0.3">
      <c r="A66" s="293">
        <v>21</v>
      </c>
      <c r="B66" s="294" t="s">
        <v>71</v>
      </c>
      <c r="C66" s="295">
        <v>9084531.6099999994</v>
      </c>
      <c r="D66" s="295">
        <v>32648.9</v>
      </c>
      <c r="E66" s="295">
        <v>2000</v>
      </c>
      <c r="F66" s="295">
        <v>0</v>
      </c>
      <c r="G66" s="295">
        <v>9251746.4000000004</v>
      </c>
      <c r="H66" s="295">
        <v>136565.8900000006</v>
      </c>
      <c r="I66" s="295">
        <v>1.4982247455239983E-2</v>
      </c>
      <c r="J66" s="295">
        <v>1.4413792295713934E-2</v>
      </c>
      <c r="K66" s="295">
        <v>1.0394382788279171</v>
      </c>
    </row>
    <row r="67" spans="1:11" x14ac:dyDescent="0.3">
      <c r="A67" s="293">
        <v>22</v>
      </c>
      <c r="B67" s="294" t="s">
        <v>1082</v>
      </c>
      <c r="C67" s="295">
        <v>183484520.02999997</v>
      </c>
      <c r="D67" s="295">
        <v>21849354.460000001</v>
      </c>
      <c r="E67" s="295">
        <v>20535678.420000002</v>
      </c>
      <c r="F67" s="295">
        <v>464502.8</v>
      </c>
      <c r="G67" s="295">
        <v>185112594.59999999</v>
      </c>
      <c r="H67" s="295">
        <v>778901.33000000124</v>
      </c>
      <c r="I67" s="296">
        <v>4.2148751804100947E-3</v>
      </c>
      <c r="J67" s="296">
        <v>1.3911358520431127E-2</v>
      </c>
      <c r="K67" s="296">
        <v>0.30298084649460039</v>
      </c>
    </row>
    <row r="68" spans="1:11" x14ac:dyDescent="0.3">
      <c r="A68" s="293">
        <v>23</v>
      </c>
      <c r="B68" s="294" t="s">
        <v>28</v>
      </c>
      <c r="C68" s="295">
        <v>22139405.399999999</v>
      </c>
      <c r="D68" s="295">
        <v>22402.17</v>
      </c>
      <c r="E68" s="295">
        <v>0</v>
      </c>
      <c r="F68" s="295">
        <v>0</v>
      </c>
      <c r="G68" s="295">
        <v>22453850.660000004</v>
      </c>
      <c r="H68" s="295">
        <v>292043.09000000358</v>
      </c>
      <c r="I68" s="296">
        <v>1.3177764903767892E-2</v>
      </c>
      <c r="J68" s="296">
        <v>1.3911358520431127E-2</v>
      </c>
      <c r="K68" s="296">
        <v>0.94726657244971202</v>
      </c>
    </row>
    <row r="69" spans="1:11" x14ac:dyDescent="0.3">
      <c r="A69" s="293">
        <v>24</v>
      </c>
      <c r="B69" s="294" t="s">
        <v>29</v>
      </c>
      <c r="C69" s="295">
        <v>28820342.769999996</v>
      </c>
      <c r="D69" s="295">
        <v>609549.66</v>
      </c>
      <c r="E69" s="295">
        <v>286971.27</v>
      </c>
      <c r="F69" s="295">
        <v>82688.759999999995</v>
      </c>
      <c r="G69" s="295">
        <v>29009534.499999996</v>
      </c>
      <c r="H69" s="295">
        <v>-50697.900000000154</v>
      </c>
      <c r="I69" s="296">
        <v>-1.7396300021421793E-3</v>
      </c>
      <c r="J69" s="296">
        <v>1.3911358520431127E-2</v>
      </c>
      <c r="K69" s="296">
        <v>-0.12505105087955612</v>
      </c>
    </row>
    <row r="70" spans="1:11" x14ac:dyDescent="0.3">
      <c r="A70" s="293">
        <v>25</v>
      </c>
      <c r="B70" s="294" t="s">
        <v>30</v>
      </c>
      <c r="C70" s="295">
        <v>21024847.760000002</v>
      </c>
      <c r="D70" s="295">
        <v>186722.01</v>
      </c>
      <c r="E70" s="295">
        <v>0</v>
      </c>
      <c r="F70" s="295">
        <v>85499</v>
      </c>
      <c r="G70" s="295">
        <v>21413886.5</v>
      </c>
      <c r="H70" s="295">
        <v>287815.72999999672</v>
      </c>
      <c r="I70" s="296">
        <v>1.3568808585164731E-2</v>
      </c>
      <c r="J70" s="296">
        <v>1.4413792295713934E-2</v>
      </c>
      <c r="K70" s="296">
        <v>0.941376724930297</v>
      </c>
    </row>
    <row r="71" spans="1:11" x14ac:dyDescent="0.3">
      <c r="A71" s="293">
        <v>26</v>
      </c>
      <c r="B71" s="294" t="s">
        <v>31</v>
      </c>
      <c r="C71" s="295">
        <v>21357535.459999997</v>
      </c>
      <c r="D71" s="295">
        <v>154207.4</v>
      </c>
      <c r="E71" s="295">
        <v>157.96</v>
      </c>
      <c r="F71" s="295">
        <v>94049.44</v>
      </c>
      <c r="G71" s="295">
        <v>21661913.640000001</v>
      </c>
      <c r="H71" s="295">
        <v>244378.18000000581</v>
      </c>
      <c r="I71" s="295">
        <v>1.1360305674176795E-2</v>
      </c>
      <c r="J71" s="295">
        <v>1.3911358520431127E-2</v>
      </c>
      <c r="K71" s="295">
        <v>0.81662086829926139</v>
      </c>
    </row>
    <row r="72" spans="1:11" x14ac:dyDescent="0.3">
      <c r="A72" s="293">
        <v>27</v>
      </c>
      <c r="B72" s="294" t="s">
        <v>32</v>
      </c>
      <c r="C72" s="295">
        <v>53958550.470000006</v>
      </c>
      <c r="D72" s="295">
        <v>11112538.299999999</v>
      </c>
      <c r="E72" s="295">
        <v>10597476.549999999</v>
      </c>
      <c r="F72" s="295">
        <v>764374.12</v>
      </c>
      <c r="G72" s="295">
        <v>54300342.839999996</v>
      </c>
      <c r="H72" s="295">
        <v>591104.73999998986</v>
      </c>
      <c r="I72" s="295">
        <v>1.0851212466188639E-2</v>
      </c>
      <c r="J72" s="295">
        <v>1.3911358520431127E-2</v>
      </c>
      <c r="K72" s="295">
        <v>0.78002536202714068</v>
      </c>
    </row>
    <row r="73" spans="1:11" x14ac:dyDescent="0.3">
      <c r="A73" s="293">
        <v>28</v>
      </c>
      <c r="B73" s="294" t="s">
        <v>33</v>
      </c>
      <c r="C73" s="295">
        <v>59996123.279999994</v>
      </c>
      <c r="D73" s="295">
        <v>2473503.61</v>
      </c>
      <c r="E73" s="295">
        <v>297888.83</v>
      </c>
      <c r="F73" s="295">
        <v>599506.22</v>
      </c>
      <c r="G73" s="295">
        <v>62209998.519999996</v>
      </c>
      <c r="H73" s="295">
        <v>637766.68000000087</v>
      </c>
      <c r="I73" s="296">
        <v>1.0258144615235177E-2</v>
      </c>
      <c r="J73" s="296">
        <v>1.3911358520431127E-2</v>
      </c>
      <c r="K73" s="296">
        <v>0.73739344724452305</v>
      </c>
    </row>
    <row r="74" spans="1:11" x14ac:dyDescent="0.3">
      <c r="A74" s="293">
        <v>29</v>
      </c>
      <c r="B74" s="294" t="s">
        <v>34</v>
      </c>
      <c r="C74" s="295">
        <v>84507746.019999996</v>
      </c>
      <c r="D74" s="295">
        <v>1334499.3199999998</v>
      </c>
      <c r="E74" s="295">
        <v>437830.39</v>
      </c>
      <c r="F74" s="295">
        <v>434358.81</v>
      </c>
      <c r="G74" s="295">
        <v>86453440.589999989</v>
      </c>
      <c r="H74" s="295">
        <v>1483384.4500000007</v>
      </c>
      <c r="I74" s="296">
        <v>1.7368943407298651E-2</v>
      </c>
      <c r="J74" s="296">
        <v>1.3911358520431127E-2</v>
      </c>
      <c r="K74" s="296">
        <v>1.2485440140004651</v>
      </c>
    </row>
    <row r="75" spans="1:11" x14ac:dyDescent="0.3">
      <c r="A75" s="293">
        <v>30</v>
      </c>
      <c r="B75" s="294" t="s">
        <v>35</v>
      </c>
      <c r="C75" s="295">
        <v>52072062.18</v>
      </c>
      <c r="D75" s="295">
        <v>290174.83</v>
      </c>
      <c r="E75" s="295">
        <v>196589.47999999998</v>
      </c>
      <c r="F75" s="295">
        <v>75976.460000000006</v>
      </c>
      <c r="G75" s="295">
        <v>52762513.290000007</v>
      </c>
      <c r="H75" s="295">
        <v>672842.22000000533</v>
      </c>
      <c r="I75" s="296">
        <v>1.2898185910815345E-2</v>
      </c>
      <c r="J75" s="296">
        <v>1.3911358520431127E-2</v>
      </c>
      <c r="K75" s="296">
        <v>0.9271693984359779</v>
      </c>
    </row>
    <row r="76" spans="1:11" x14ac:dyDescent="0.3">
      <c r="A76" s="293">
        <v>31</v>
      </c>
      <c r="B76" s="294" t="s">
        <v>36</v>
      </c>
      <c r="C76" s="295">
        <v>13185102.41</v>
      </c>
      <c r="D76" s="295">
        <v>31805.759999999998</v>
      </c>
      <c r="E76" s="295">
        <v>0</v>
      </c>
      <c r="F76" s="295">
        <v>31805.759999999998</v>
      </c>
      <c r="G76" s="295">
        <v>13326228.880000001</v>
      </c>
      <c r="H76" s="295">
        <v>141126.4700000009</v>
      </c>
      <c r="I76" s="296">
        <v>1.067772191383856E-2</v>
      </c>
      <c r="J76" s="296">
        <v>1.3911358520431127E-2</v>
      </c>
      <c r="K76" s="296">
        <v>0.76755421824234937</v>
      </c>
    </row>
    <row r="77" spans="1:11" x14ac:dyDescent="0.3">
      <c r="A77" s="293">
        <v>32</v>
      </c>
      <c r="B77" s="294" t="s">
        <v>37</v>
      </c>
      <c r="C77" s="295">
        <v>52488591.289999999</v>
      </c>
      <c r="D77" s="295">
        <v>496968.71000000008</v>
      </c>
      <c r="E77" s="295">
        <v>361200</v>
      </c>
      <c r="F77" s="295">
        <v>0</v>
      </c>
      <c r="G77" s="295">
        <v>53212013.549999997</v>
      </c>
      <c r="H77" s="295">
        <v>587653.54999999702</v>
      </c>
      <c r="I77" s="295">
        <v>1.1166949108739698E-2</v>
      </c>
      <c r="J77" s="295">
        <v>1.4413792295713934E-2</v>
      </c>
      <c r="K77" s="295">
        <v>0.77474053182105918</v>
      </c>
    </row>
    <row r="78" spans="1:11" x14ac:dyDescent="0.3">
      <c r="A78" s="293">
        <v>33</v>
      </c>
      <c r="B78" s="294" t="s">
        <v>38</v>
      </c>
      <c r="C78" s="295">
        <v>34372582.829999998</v>
      </c>
      <c r="D78" s="295">
        <v>306730.70999999996</v>
      </c>
      <c r="E78" s="295">
        <v>24543.64</v>
      </c>
      <c r="F78" s="295">
        <v>0</v>
      </c>
      <c r="G78" s="295">
        <v>34994342.609999999</v>
      </c>
      <c r="H78" s="295">
        <v>339572.71000000089</v>
      </c>
      <c r="I78" s="296">
        <v>9.7987293229726772E-3</v>
      </c>
      <c r="J78" s="296">
        <v>1.3911358520431127E-2</v>
      </c>
      <c r="K78" s="296">
        <v>0.7043689736398947</v>
      </c>
    </row>
    <row r="79" spans="1:11" x14ac:dyDescent="0.3">
      <c r="A79" s="293">
        <v>34</v>
      </c>
      <c r="B79" s="294" t="s">
        <v>39</v>
      </c>
      <c r="C79" s="295">
        <v>84407334.909999996</v>
      </c>
      <c r="D79" s="295">
        <v>4383183.4000000004</v>
      </c>
      <c r="E79" s="295">
        <v>1190086.4099999999</v>
      </c>
      <c r="F79" s="295">
        <v>0</v>
      </c>
      <c r="G79" s="295">
        <v>88551502.179999992</v>
      </c>
      <c r="H79" s="295">
        <v>951070.27999998629</v>
      </c>
      <c r="I79" s="295">
        <v>1.0856913138118743E-2</v>
      </c>
      <c r="J79" s="295">
        <v>1.3911358520431127E-2</v>
      </c>
      <c r="K79" s="295">
        <v>0.7804351474497313</v>
      </c>
    </row>
    <row r="80" spans="1:11" x14ac:dyDescent="0.3">
      <c r="A80" s="293">
        <v>35</v>
      </c>
      <c r="B80" s="294" t="s">
        <v>1114</v>
      </c>
      <c r="C80" s="295">
        <v>57437.78</v>
      </c>
      <c r="D80" s="295">
        <v>70000</v>
      </c>
      <c r="E80" s="295">
        <v>45000</v>
      </c>
      <c r="F80" s="295">
        <v>0</v>
      </c>
      <c r="G80" s="295">
        <v>84009.43</v>
      </c>
      <c r="H80" s="295">
        <v>1571.6499999999942</v>
      </c>
      <c r="I80" s="296">
        <v>1.9064681266283422E-2</v>
      </c>
      <c r="J80" s="296">
        <v>1.3911358520431127E-2</v>
      </c>
      <c r="K80" s="296">
        <v>1.3704399349843359</v>
      </c>
    </row>
    <row r="81" spans="1:11" x14ac:dyDescent="0.3">
      <c r="A81" s="293">
        <v>36</v>
      </c>
      <c r="B81" s="294" t="s">
        <v>40</v>
      </c>
      <c r="C81" s="295">
        <v>7384712.5899999999</v>
      </c>
      <c r="D81" s="295">
        <v>46106.47</v>
      </c>
      <c r="E81" s="295">
        <v>0</v>
      </c>
      <c r="F81" s="295">
        <v>46106.47</v>
      </c>
      <c r="G81" s="295">
        <v>7481673.9699999997</v>
      </c>
      <c r="H81" s="295">
        <v>96961.38000000015</v>
      </c>
      <c r="I81" s="296">
        <v>1.3048545418356634E-2</v>
      </c>
      <c r="J81" s="296">
        <v>1.3911358520431127E-2</v>
      </c>
      <c r="K81" s="296">
        <v>0.93797779700614359</v>
      </c>
    </row>
    <row r="82" spans="1:11" x14ac:dyDescent="0.3">
      <c r="A82" s="293">
        <v>37</v>
      </c>
      <c r="B82" s="224"/>
      <c r="C82" s="224"/>
      <c r="D82" s="224"/>
      <c r="E82" s="224"/>
      <c r="F82" s="224"/>
      <c r="G82" s="224"/>
      <c r="H82" s="224"/>
      <c r="I82" s="224"/>
      <c r="J82" s="224"/>
      <c r="K82" s="224"/>
    </row>
    <row r="83" spans="1:11" x14ac:dyDescent="0.3">
      <c r="A83" s="293">
        <v>38</v>
      </c>
      <c r="B83" s="224"/>
      <c r="C83" s="224"/>
      <c r="D83" s="224"/>
      <c r="E83" s="224"/>
      <c r="F83" s="224"/>
      <c r="G83" s="224"/>
      <c r="H83" s="224"/>
      <c r="I83" s="224"/>
      <c r="J83" s="224"/>
      <c r="K83" s="224"/>
    </row>
    <row r="84" spans="1:11" x14ac:dyDescent="0.3">
      <c r="A84" s="293">
        <v>39</v>
      </c>
      <c r="B84" s="224"/>
      <c r="C84" s="224"/>
      <c r="D84" s="224"/>
      <c r="E84" s="224"/>
      <c r="F84" s="224"/>
      <c r="G84" s="224"/>
      <c r="H84" s="224"/>
      <c r="I84" s="224"/>
      <c r="J84" s="224"/>
      <c r="K84" s="224"/>
    </row>
    <row r="85" spans="1:11" x14ac:dyDescent="0.3">
      <c r="A85" s="293">
        <v>40</v>
      </c>
      <c r="B85" s="224"/>
      <c r="C85" s="224"/>
      <c r="D85" s="224"/>
      <c r="E85" s="224"/>
      <c r="F85" s="224"/>
      <c r="G85" s="224"/>
      <c r="H85" s="224"/>
      <c r="I85" s="224"/>
      <c r="J85" s="224"/>
      <c r="K85" s="224"/>
    </row>
    <row r="86" spans="1:11" x14ac:dyDescent="0.3">
      <c r="A86" s="293">
        <v>41</v>
      </c>
      <c r="B86" s="224"/>
      <c r="C86" s="224"/>
      <c r="D86" s="224"/>
      <c r="E86" s="224"/>
      <c r="F86" s="224"/>
      <c r="G86" s="224"/>
      <c r="H86" s="224"/>
      <c r="I86" s="224"/>
      <c r="J86" s="224"/>
      <c r="K86" s="224"/>
    </row>
    <row r="87" spans="1:11" x14ac:dyDescent="0.3">
      <c r="A87" s="293"/>
      <c r="B87" s="224"/>
      <c r="C87" s="224"/>
      <c r="D87" s="224"/>
      <c r="E87" s="224"/>
      <c r="F87" s="224"/>
      <c r="G87" s="224"/>
      <c r="H87" s="224"/>
      <c r="I87" s="224"/>
      <c r="J87" s="224"/>
      <c r="K87" s="224"/>
    </row>
    <row r="88" spans="1:11" x14ac:dyDescent="0.3">
      <c r="A88" s="224"/>
      <c r="B88" s="224"/>
      <c r="C88" s="224"/>
      <c r="D88" s="224"/>
      <c r="E88" s="224"/>
      <c r="F88" s="224"/>
      <c r="G88" s="224"/>
      <c r="H88" s="224"/>
      <c r="I88" s="224"/>
      <c r="J88" s="224"/>
      <c r="K88" s="224"/>
    </row>
    <row r="89" spans="1:11" x14ac:dyDescent="0.3">
      <c r="A89" s="224">
        <v>2</v>
      </c>
      <c r="B89" s="291">
        <v>42430</v>
      </c>
      <c r="C89" s="292" t="s">
        <v>2</v>
      </c>
      <c r="D89" s="292" t="s">
        <v>3</v>
      </c>
      <c r="E89" s="292" t="s">
        <v>4</v>
      </c>
      <c r="F89" s="292" t="s">
        <v>806</v>
      </c>
      <c r="G89" s="292" t="s">
        <v>5</v>
      </c>
      <c r="H89" s="292" t="s">
        <v>559</v>
      </c>
      <c r="I89" s="292" t="s">
        <v>560</v>
      </c>
      <c r="J89" s="292" t="s">
        <v>569</v>
      </c>
      <c r="K89" s="292" t="s">
        <v>570</v>
      </c>
    </row>
    <row r="90" spans="1:11" x14ac:dyDescent="0.3">
      <c r="A90" s="293">
        <v>3</v>
      </c>
      <c r="B90" s="294" t="s">
        <v>13</v>
      </c>
      <c r="C90" s="295"/>
      <c r="D90" s="295"/>
      <c r="E90" s="295"/>
      <c r="F90" s="295"/>
      <c r="G90" s="295"/>
      <c r="H90" s="295"/>
      <c r="I90" s="296"/>
      <c r="J90" s="296"/>
      <c r="K90" s="296"/>
    </row>
    <row r="91" spans="1:11" x14ac:dyDescent="0.3">
      <c r="A91" s="293">
        <v>4</v>
      </c>
      <c r="B91" s="294" t="s">
        <v>14</v>
      </c>
      <c r="C91" s="295"/>
      <c r="D91" s="295"/>
      <c r="E91" s="295"/>
      <c r="F91" s="295"/>
      <c r="G91" s="295"/>
      <c r="H91" s="295"/>
      <c r="I91" s="296"/>
      <c r="J91" s="296"/>
      <c r="K91" s="296"/>
    </row>
    <row r="92" spans="1:11" x14ac:dyDescent="0.3">
      <c r="A92" s="293">
        <v>5</v>
      </c>
      <c r="B92" s="294" t="s">
        <v>15</v>
      </c>
      <c r="C92" s="295"/>
      <c r="D92" s="295"/>
      <c r="E92" s="295"/>
      <c r="F92" s="295"/>
      <c r="G92" s="295"/>
      <c r="H92" s="295"/>
      <c r="I92" s="296"/>
      <c r="J92" s="296"/>
      <c r="K92" s="296"/>
    </row>
    <row r="93" spans="1:11" x14ac:dyDescent="0.3">
      <c r="A93" s="293">
        <v>6</v>
      </c>
      <c r="B93" s="294" t="s">
        <v>16</v>
      </c>
      <c r="C93" s="295"/>
      <c r="D93" s="295"/>
      <c r="E93" s="295"/>
      <c r="F93" s="295"/>
      <c r="G93" s="295"/>
      <c r="H93" s="295"/>
      <c r="I93" s="296"/>
      <c r="J93" s="296"/>
      <c r="K93" s="296"/>
    </row>
    <row r="94" spans="1:11" x14ac:dyDescent="0.3">
      <c r="A94" s="293">
        <v>7</v>
      </c>
      <c r="B94" s="294" t="s">
        <v>17</v>
      </c>
      <c r="C94" s="295"/>
      <c r="D94" s="295"/>
      <c r="E94" s="295"/>
      <c r="F94" s="295"/>
      <c r="G94" s="295"/>
      <c r="H94" s="295"/>
      <c r="I94" s="296"/>
      <c r="J94" s="296"/>
      <c r="K94" s="296"/>
    </row>
    <row r="95" spans="1:11" x14ac:dyDescent="0.3">
      <c r="A95" s="293">
        <v>8</v>
      </c>
      <c r="B95" s="294" t="s">
        <v>18</v>
      </c>
      <c r="C95" s="295"/>
      <c r="D95" s="295"/>
      <c r="E95" s="295"/>
      <c r="F95" s="295"/>
      <c r="G95" s="295"/>
      <c r="H95" s="295"/>
      <c r="I95" s="296"/>
      <c r="J95" s="296"/>
      <c r="K95" s="296"/>
    </row>
    <row r="96" spans="1:11" x14ac:dyDescent="0.3">
      <c r="A96" s="293">
        <v>9</v>
      </c>
      <c r="B96" s="294" t="s">
        <v>19</v>
      </c>
      <c r="C96" s="295"/>
      <c r="D96" s="295"/>
      <c r="E96" s="295"/>
      <c r="F96" s="295"/>
      <c r="G96" s="295"/>
      <c r="H96" s="295"/>
      <c r="I96" s="296"/>
      <c r="J96" s="296"/>
      <c r="K96" s="296"/>
    </row>
    <row r="97" spans="1:11" x14ac:dyDescent="0.3">
      <c r="A97" s="293">
        <v>10</v>
      </c>
      <c r="B97" s="294" t="s">
        <v>20</v>
      </c>
      <c r="C97" s="295"/>
      <c r="D97" s="295"/>
      <c r="E97" s="295"/>
      <c r="F97" s="295"/>
      <c r="G97" s="295"/>
      <c r="H97" s="295"/>
      <c r="I97" s="295"/>
      <c r="J97" s="295"/>
      <c r="K97" s="295"/>
    </row>
    <row r="98" spans="1:11" x14ac:dyDescent="0.3">
      <c r="A98" s="293">
        <v>11</v>
      </c>
      <c r="B98" s="294" t="s">
        <v>21</v>
      </c>
      <c r="C98" s="295"/>
      <c r="D98" s="295"/>
      <c r="E98" s="295"/>
      <c r="F98" s="295"/>
      <c r="G98" s="295"/>
      <c r="H98" s="295"/>
      <c r="I98" s="296"/>
      <c r="J98" s="296"/>
      <c r="K98" s="296"/>
    </row>
    <row r="99" spans="1:11" x14ac:dyDescent="0.3">
      <c r="A99" s="293">
        <v>12</v>
      </c>
      <c r="B99" s="294" t="s">
        <v>796</v>
      </c>
      <c r="C99" s="295"/>
      <c r="D99" s="295"/>
      <c r="E99" s="295"/>
      <c r="F99" s="295"/>
      <c r="G99" s="295"/>
      <c r="H99" s="295"/>
      <c r="I99" s="295"/>
      <c r="J99" s="295"/>
      <c r="K99" s="295"/>
    </row>
    <row r="100" spans="1:11" x14ac:dyDescent="0.3">
      <c r="A100" s="293">
        <v>13</v>
      </c>
      <c r="B100" s="294" t="s">
        <v>22</v>
      </c>
      <c r="C100" s="295"/>
      <c r="D100" s="295"/>
      <c r="E100" s="295"/>
      <c r="F100" s="295"/>
      <c r="G100" s="295"/>
      <c r="H100" s="295"/>
      <c r="I100" s="296"/>
      <c r="J100" s="296"/>
      <c r="K100" s="296"/>
    </row>
    <row r="101" spans="1:11" x14ac:dyDescent="0.3">
      <c r="A101" s="293">
        <v>14</v>
      </c>
      <c r="B101" s="294" t="s">
        <v>1113</v>
      </c>
      <c r="C101" s="295"/>
      <c r="D101" s="295"/>
      <c r="E101" s="295"/>
      <c r="F101" s="295"/>
      <c r="G101" s="295"/>
      <c r="H101" s="295"/>
      <c r="I101" s="296"/>
      <c r="J101" s="296"/>
      <c r="K101" s="296"/>
    </row>
    <row r="102" spans="1:11" x14ac:dyDescent="0.3">
      <c r="A102" s="293">
        <v>15</v>
      </c>
      <c r="B102" s="294" t="s">
        <v>23</v>
      </c>
      <c r="C102" s="295"/>
      <c r="D102" s="295"/>
      <c r="E102" s="295"/>
      <c r="F102" s="295"/>
      <c r="G102" s="295"/>
      <c r="H102" s="295"/>
      <c r="I102" s="296"/>
      <c r="J102" s="296"/>
      <c r="K102" s="296"/>
    </row>
    <row r="103" spans="1:11" x14ac:dyDescent="0.3">
      <c r="A103" s="293">
        <v>16</v>
      </c>
      <c r="B103" s="294" t="s">
        <v>24</v>
      </c>
      <c r="C103" s="295"/>
      <c r="D103" s="295"/>
      <c r="E103" s="295"/>
      <c r="F103" s="295"/>
      <c r="G103" s="295"/>
      <c r="H103" s="295"/>
      <c r="I103" s="295"/>
      <c r="J103" s="295"/>
      <c r="K103" s="295"/>
    </row>
    <row r="104" spans="1:11" x14ac:dyDescent="0.3">
      <c r="A104" s="293">
        <v>17</v>
      </c>
      <c r="B104" s="294" t="s">
        <v>25</v>
      </c>
      <c r="C104" s="295"/>
      <c r="D104" s="295"/>
      <c r="E104" s="295"/>
      <c r="F104" s="295"/>
      <c r="G104" s="295"/>
      <c r="H104" s="295"/>
      <c r="I104" s="296"/>
      <c r="J104" s="296"/>
      <c r="K104" s="296"/>
    </row>
    <row r="105" spans="1:11" x14ac:dyDescent="0.3">
      <c r="A105" s="293">
        <v>18</v>
      </c>
      <c r="B105" s="294" t="s">
        <v>26</v>
      </c>
      <c r="C105" s="295"/>
      <c r="D105" s="295"/>
      <c r="E105" s="295"/>
      <c r="F105" s="295"/>
      <c r="G105" s="295"/>
      <c r="H105" s="295"/>
      <c r="I105" s="295"/>
      <c r="J105" s="295"/>
      <c r="K105" s="295"/>
    </row>
    <row r="106" spans="1:11" x14ac:dyDescent="0.3">
      <c r="A106" s="293">
        <v>19</v>
      </c>
      <c r="B106" s="294" t="s">
        <v>70</v>
      </c>
      <c r="C106" s="295"/>
      <c r="D106" s="295"/>
      <c r="E106" s="295"/>
      <c r="F106" s="295"/>
      <c r="G106" s="295"/>
      <c r="H106" s="295"/>
      <c r="I106" s="296"/>
      <c r="J106" s="296"/>
      <c r="K106" s="296"/>
    </row>
    <row r="107" spans="1:11" x14ac:dyDescent="0.3">
      <c r="A107" s="293">
        <v>20</v>
      </c>
      <c r="B107" s="294" t="s">
        <v>27</v>
      </c>
      <c r="C107" s="295"/>
      <c r="D107" s="295"/>
      <c r="E107" s="295"/>
      <c r="F107" s="295"/>
      <c r="G107" s="295"/>
      <c r="H107" s="295"/>
      <c r="I107" s="295"/>
      <c r="J107" s="295"/>
      <c r="K107" s="295"/>
    </row>
    <row r="108" spans="1:11" x14ac:dyDescent="0.3">
      <c r="A108" s="293">
        <v>21</v>
      </c>
      <c r="B108" s="294" t="s">
        <v>71</v>
      </c>
      <c r="C108" s="295"/>
      <c r="D108" s="295"/>
      <c r="E108" s="295"/>
      <c r="F108" s="295"/>
      <c r="G108" s="295"/>
      <c r="H108" s="295"/>
      <c r="I108" s="295"/>
      <c r="J108" s="295"/>
      <c r="K108" s="295"/>
    </row>
    <row r="109" spans="1:11" x14ac:dyDescent="0.3">
      <c r="A109" s="293">
        <v>22</v>
      </c>
      <c r="B109" s="294" t="s">
        <v>1082</v>
      </c>
      <c r="C109" s="295"/>
      <c r="D109" s="295"/>
      <c r="E109" s="295"/>
      <c r="F109" s="295"/>
      <c r="G109" s="295"/>
      <c r="H109" s="295"/>
      <c r="I109" s="296"/>
      <c r="J109" s="296"/>
      <c r="K109" s="296"/>
    </row>
    <row r="110" spans="1:11" x14ac:dyDescent="0.3">
      <c r="A110" s="293">
        <v>23</v>
      </c>
      <c r="B110" s="294" t="s">
        <v>28</v>
      </c>
      <c r="C110" s="295"/>
      <c r="D110" s="295"/>
      <c r="E110" s="295"/>
      <c r="F110" s="295"/>
      <c r="G110" s="295"/>
      <c r="H110" s="295"/>
      <c r="I110" s="296"/>
      <c r="J110" s="296"/>
      <c r="K110" s="296"/>
    </row>
    <row r="111" spans="1:11" x14ac:dyDescent="0.3">
      <c r="A111" s="293">
        <v>24</v>
      </c>
      <c r="B111" s="294" t="s">
        <v>29</v>
      </c>
      <c r="C111" s="295"/>
      <c r="D111" s="295"/>
      <c r="E111" s="295"/>
      <c r="F111" s="295"/>
      <c r="G111" s="295"/>
      <c r="H111" s="295"/>
      <c r="I111" s="296"/>
      <c r="J111" s="296"/>
      <c r="K111" s="296"/>
    </row>
    <row r="112" spans="1:11" x14ac:dyDescent="0.3">
      <c r="A112" s="293">
        <v>25</v>
      </c>
      <c r="B112" s="294" t="s">
        <v>30</v>
      </c>
      <c r="C112" s="295"/>
      <c r="D112" s="295"/>
      <c r="E112" s="295"/>
      <c r="F112" s="295"/>
      <c r="G112" s="295"/>
      <c r="H112" s="295"/>
      <c r="I112" s="296"/>
      <c r="J112" s="296"/>
      <c r="K112" s="296"/>
    </row>
    <row r="113" spans="1:11" x14ac:dyDescent="0.3">
      <c r="A113" s="293">
        <v>26</v>
      </c>
      <c r="B113" s="294" t="s">
        <v>31</v>
      </c>
      <c r="C113" s="295"/>
      <c r="D113" s="295"/>
      <c r="E113" s="295"/>
      <c r="F113" s="295"/>
      <c r="G113" s="295"/>
      <c r="H113" s="295"/>
      <c r="I113" s="295"/>
      <c r="J113" s="295"/>
      <c r="K113" s="295"/>
    </row>
    <row r="114" spans="1:11" x14ac:dyDescent="0.3">
      <c r="A114" s="293">
        <v>27</v>
      </c>
      <c r="B114" s="294" t="s">
        <v>32</v>
      </c>
      <c r="C114" s="295"/>
      <c r="D114" s="295"/>
      <c r="E114" s="295"/>
      <c r="F114" s="295"/>
      <c r="G114" s="295"/>
      <c r="H114" s="295"/>
      <c r="I114" s="295"/>
      <c r="J114" s="295"/>
      <c r="K114" s="295"/>
    </row>
    <row r="115" spans="1:11" x14ac:dyDescent="0.3">
      <c r="A115" s="293">
        <v>28</v>
      </c>
      <c r="B115" s="294" t="s">
        <v>33</v>
      </c>
      <c r="C115" s="295"/>
      <c r="D115" s="295"/>
      <c r="E115" s="295"/>
      <c r="F115" s="295"/>
      <c r="G115" s="295"/>
      <c r="H115" s="295"/>
      <c r="I115" s="296"/>
      <c r="J115" s="296"/>
      <c r="K115" s="296"/>
    </row>
    <row r="116" spans="1:11" x14ac:dyDescent="0.3">
      <c r="A116" s="293">
        <v>29</v>
      </c>
      <c r="B116" s="294" t="s">
        <v>34</v>
      </c>
      <c r="C116" s="295"/>
      <c r="D116" s="295"/>
      <c r="E116" s="295"/>
      <c r="F116" s="295"/>
      <c r="G116" s="295"/>
      <c r="H116" s="295"/>
      <c r="I116" s="296"/>
      <c r="J116" s="296"/>
      <c r="K116" s="296"/>
    </row>
    <row r="117" spans="1:11" x14ac:dyDescent="0.3">
      <c r="A117" s="293">
        <v>30</v>
      </c>
      <c r="B117" s="294" t="s">
        <v>35</v>
      </c>
      <c r="C117" s="295"/>
      <c r="D117" s="295"/>
      <c r="E117" s="295"/>
      <c r="F117" s="295"/>
      <c r="G117" s="295"/>
      <c r="H117" s="295"/>
      <c r="I117" s="296"/>
      <c r="J117" s="296"/>
      <c r="K117" s="296"/>
    </row>
    <row r="118" spans="1:11" x14ac:dyDescent="0.3">
      <c r="A118" s="293">
        <v>31</v>
      </c>
      <c r="B118" s="294" t="s">
        <v>36</v>
      </c>
      <c r="C118" s="295"/>
      <c r="D118" s="295"/>
      <c r="E118" s="295"/>
      <c r="F118" s="295"/>
      <c r="G118" s="295"/>
      <c r="H118" s="295"/>
      <c r="I118" s="296"/>
      <c r="J118" s="296"/>
      <c r="K118" s="296"/>
    </row>
    <row r="119" spans="1:11" x14ac:dyDescent="0.3">
      <c r="A119" s="293">
        <v>32</v>
      </c>
      <c r="B119" s="294" t="s">
        <v>37</v>
      </c>
      <c r="C119" s="295"/>
      <c r="D119" s="295"/>
      <c r="E119" s="295"/>
      <c r="F119" s="295"/>
      <c r="G119" s="295"/>
      <c r="H119" s="295"/>
      <c r="I119" s="295"/>
      <c r="J119" s="295"/>
      <c r="K119" s="295"/>
    </row>
    <row r="120" spans="1:11" x14ac:dyDescent="0.3">
      <c r="A120" s="293">
        <v>33</v>
      </c>
      <c r="B120" s="294" t="s">
        <v>38</v>
      </c>
      <c r="C120" s="295"/>
      <c r="D120" s="295"/>
      <c r="E120" s="295"/>
      <c r="F120" s="295"/>
      <c r="G120" s="295"/>
      <c r="H120" s="295"/>
      <c r="I120" s="296"/>
      <c r="J120" s="296"/>
      <c r="K120" s="296"/>
    </row>
    <row r="121" spans="1:11" x14ac:dyDescent="0.3">
      <c r="A121" s="293">
        <v>34</v>
      </c>
      <c r="B121" s="294" t="s">
        <v>39</v>
      </c>
      <c r="C121" s="295"/>
      <c r="D121" s="295"/>
      <c r="E121" s="295"/>
      <c r="F121" s="295"/>
      <c r="G121" s="295"/>
      <c r="H121" s="295"/>
      <c r="I121" s="295"/>
      <c r="J121" s="295"/>
      <c r="K121" s="295"/>
    </row>
    <row r="122" spans="1:11" x14ac:dyDescent="0.3">
      <c r="A122" s="293">
        <v>35</v>
      </c>
      <c r="B122" s="294" t="s">
        <v>1114</v>
      </c>
      <c r="C122" s="295"/>
      <c r="D122" s="295"/>
      <c r="E122" s="295"/>
      <c r="F122" s="295"/>
      <c r="G122" s="295"/>
      <c r="H122" s="295"/>
      <c r="I122" s="296"/>
      <c r="J122" s="296"/>
      <c r="K122" s="296"/>
    </row>
    <row r="123" spans="1:11" x14ac:dyDescent="0.3">
      <c r="A123" s="293">
        <v>36</v>
      </c>
      <c r="B123" s="294" t="s">
        <v>40</v>
      </c>
      <c r="C123" s="295"/>
      <c r="D123" s="295"/>
      <c r="E123" s="295"/>
      <c r="F123" s="295"/>
      <c r="G123" s="295"/>
      <c r="H123" s="295"/>
      <c r="I123" s="296"/>
      <c r="J123" s="296"/>
      <c r="K123" s="296"/>
    </row>
    <row r="124" spans="1:11" x14ac:dyDescent="0.3">
      <c r="A124" s="293">
        <v>37</v>
      </c>
      <c r="B124" s="224"/>
      <c r="C124" s="224"/>
      <c r="D124" s="224"/>
      <c r="E124" s="224"/>
      <c r="F124" s="224"/>
      <c r="G124" s="224"/>
      <c r="H124" s="224"/>
      <c r="I124" s="224"/>
      <c r="J124" s="224"/>
      <c r="K124" s="224"/>
    </row>
    <row r="125" spans="1:11" x14ac:dyDescent="0.3">
      <c r="A125" s="293">
        <v>38</v>
      </c>
      <c r="B125" s="224"/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1:11" x14ac:dyDescent="0.3">
      <c r="A126" s="293">
        <v>39</v>
      </c>
      <c r="B126" s="224"/>
      <c r="C126" s="224"/>
      <c r="D126" s="224"/>
      <c r="E126" s="224"/>
      <c r="F126" s="224"/>
      <c r="G126" s="224"/>
      <c r="H126" s="224"/>
      <c r="I126" s="224"/>
      <c r="J126" s="224"/>
      <c r="K126" s="224"/>
    </row>
    <row r="127" spans="1:11" x14ac:dyDescent="0.3">
      <c r="A127" s="293">
        <v>40</v>
      </c>
      <c r="B127" s="224"/>
      <c r="C127" s="224"/>
      <c r="D127" s="224"/>
      <c r="E127" s="224"/>
      <c r="F127" s="224"/>
      <c r="G127" s="224"/>
      <c r="H127" s="224"/>
      <c r="I127" s="224"/>
      <c r="J127" s="224"/>
      <c r="K127" s="224"/>
    </row>
    <row r="128" spans="1:11" x14ac:dyDescent="0.3">
      <c r="A128" s="293">
        <v>41</v>
      </c>
      <c r="B128" s="224"/>
      <c r="C128" s="224"/>
      <c r="D128" s="224"/>
      <c r="E128" s="224"/>
      <c r="F128" s="224"/>
      <c r="G128" s="224"/>
      <c r="H128" s="224"/>
      <c r="I128" s="224"/>
      <c r="J128" s="224"/>
      <c r="K128" s="224"/>
    </row>
    <row r="129" spans="1:11" x14ac:dyDescent="0.3">
      <c r="A129" s="293"/>
      <c r="B129" s="224"/>
      <c r="C129" s="224"/>
      <c r="D129" s="224"/>
      <c r="E129" s="224"/>
      <c r="F129" s="224"/>
      <c r="G129" s="224"/>
      <c r="H129" s="224"/>
      <c r="I129" s="224"/>
      <c r="J129" s="224"/>
      <c r="K129" s="224"/>
    </row>
    <row r="130" spans="1:11" x14ac:dyDescent="0.3">
      <c r="A130" s="224"/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</row>
    <row r="131" spans="1:11" x14ac:dyDescent="0.3">
      <c r="A131" s="224"/>
      <c r="B131" s="224"/>
      <c r="C131" s="224"/>
      <c r="D131" s="224"/>
      <c r="E131" s="224"/>
      <c r="F131" s="224"/>
      <c r="G131" s="224"/>
      <c r="H131" s="224"/>
      <c r="I131" s="224"/>
      <c r="J131" s="224"/>
      <c r="K131" s="224"/>
    </row>
    <row r="132" spans="1:11" x14ac:dyDescent="0.3">
      <c r="A132" s="224">
        <v>2</v>
      </c>
      <c r="B132" s="291">
        <v>42461</v>
      </c>
      <c r="C132" s="292" t="s">
        <v>2</v>
      </c>
      <c r="D132" s="292" t="s">
        <v>3</v>
      </c>
      <c r="E132" s="292" t="s">
        <v>4</v>
      </c>
      <c r="F132" s="292" t="s">
        <v>806</v>
      </c>
      <c r="G132" s="292" t="s">
        <v>5</v>
      </c>
      <c r="H132" s="292" t="s">
        <v>559</v>
      </c>
      <c r="I132" s="292" t="s">
        <v>560</v>
      </c>
      <c r="J132" s="292" t="s">
        <v>569</v>
      </c>
      <c r="K132" s="292" t="s">
        <v>570</v>
      </c>
    </row>
    <row r="133" spans="1:11" x14ac:dyDescent="0.3">
      <c r="A133" s="293">
        <v>3</v>
      </c>
      <c r="B133" s="294" t="s">
        <v>13</v>
      </c>
      <c r="C133" s="295"/>
      <c r="D133" s="295"/>
      <c r="E133" s="295"/>
      <c r="F133" s="295"/>
      <c r="G133" s="295"/>
      <c r="H133" s="295"/>
      <c r="I133" s="296"/>
      <c r="J133" s="296"/>
      <c r="K133" s="296"/>
    </row>
    <row r="134" spans="1:11" x14ac:dyDescent="0.3">
      <c r="A134" s="293">
        <v>4</v>
      </c>
      <c r="B134" s="294" t="s">
        <v>14</v>
      </c>
      <c r="C134" s="295"/>
      <c r="D134" s="295"/>
      <c r="E134" s="295"/>
      <c r="F134" s="295"/>
      <c r="G134" s="295"/>
      <c r="H134" s="295"/>
      <c r="I134" s="296"/>
      <c r="J134" s="296"/>
      <c r="K134" s="296"/>
    </row>
    <row r="135" spans="1:11" x14ac:dyDescent="0.3">
      <c r="A135" s="293">
        <v>5</v>
      </c>
      <c r="B135" s="294" t="s">
        <v>15</v>
      </c>
      <c r="C135" s="295"/>
      <c r="D135" s="295"/>
      <c r="E135" s="295"/>
      <c r="F135" s="295"/>
      <c r="G135" s="295"/>
      <c r="H135" s="295"/>
      <c r="I135" s="296"/>
      <c r="J135" s="296"/>
      <c r="K135" s="296"/>
    </row>
    <row r="136" spans="1:11" x14ac:dyDescent="0.3">
      <c r="A136" s="293">
        <v>6</v>
      </c>
      <c r="B136" s="294" t="s">
        <v>16</v>
      </c>
      <c r="C136" s="295"/>
      <c r="D136" s="295"/>
      <c r="E136" s="295"/>
      <c r="F136" s="295"/>
      <c r="G136" s="295"/>
      <c r="H136" s="295"/>
      <c r="I136" s="296"/>
      <c r="J136" s="296"/>
      <c r="K136" s="296"/>
    </row>
    <row r="137" spans="1:11" x14ac:dyDescent="0.3">
      <c r="A137" s="293">
        <v>7</v>
      </c>
      <c r="B137" s="294" t="s">
        <v>17</v>
      </c>
      <c r="C137" s="295"/>
      <c r="D137" s="295"/>
      <c r="E137" s="295"/>
      <c r="F137" s="295"/>
      <c r="G137" s="295"/>
      <c r="H137" s="295"/>
      <c r="I137" s="296"/>
      <c r="J137" s="296"/>
      <c r="K137" s="296"/>
    </row>
    <row r="138" spans="1:11" x14ac:dyDescent="0.3">
      <c r="A138" s="293">
        <v>8</v>
      </c>
      <c r="B138" s="294" t="s">
        <v>18</v>
      </c>
      <c r="C138" s="295"/>
      <c r="D138" s="295"/>
      <c r="E138" s="295"/>
      <c r="F138" s="295"/>
      <c r="G138" s="295"/>
      <c r="H138" s="295"/>
      <c r="I138" s="296"/>
      <c r="J138" s="296"/>
      <c r="K138" s="296"/>
    </row>
    <row r="139" spans="1:11" x14ac:dyDescent="0.3">
      <c r="A139" s="293">
        <v>9</v>
      </c>
      <c r="B139" s="294" t="s">
        <v>19</v>
      </c>
      <c r="C139" s="295"/>
      <c r="D139" s="295"/>
      <c r="E139" s="295"/>
      <c r="F139" s="295"/>
      <c r="G139" s="295"/>
      <c r="H139" s="295"/>
      <c r="I139" s="296"/>
      <c r="J139" s="296"/>
      <c r="K139" s="296"/>
    </row>
    <row r="140" spans="1:11" x14ac:dyDescent="0.3">
      <c r="A140" s="293">
        <v>10</v>
      </c>
      <c r="B140" s="294" t="s">
        <v>20</v>
      </c>
      <c r="C140" s="295"/>
      <c r="D140" s="295"/>
      <c r="E140" s="295"/>
      <c r="F140" s="295"/>
      <c r="G140" s="295"/>
      <c r="H140" s="295"/>
      <c r="I140" s="295"/>
      <c r="J140" s="295"/>
      <c r="K140" s="295"/>
    </row>
    <row r="141" spans="1:11" x14ac:dyDescent="0.3">
      <c r="A141" s="293">
        <v>11</v>
      </c>
      <c r="B141" s="294" t="s">
        <v>21</v>
      </c>
      <c r="C141" s="295"/>
      <c r="D141" s="295"/>
      <c r="E141" s="295"/>
      <c r="F141" s="295"/>
      <c r="G141" s="295"/>
      <c r="H141" s="295"/>
      <c r="I141" s="296"/>
      <c r="J141" s="296"/>
      <c r="K141" s="296"/>
    </row>
    <row r="142" spans="1:11" x14ac:dyDescent="0.3">
      <c r="A142" s="293">
        <v>12</v>
      </c>
      <c r="B142" s="294" t="s">
        <v>796</v>
      </c>
      <c r="C142" s="295"/>
      <c r="D142" s="295"/>
      <c r="E142" s="295"/>
      <c r="F142" s="295"/>
      <c r="G142" s="295"/>
      <c r="H142" s="295"/>
      <c r="I142" s="295"/>
      <c r="J142" s="295"/>
      <c r="K142" s="295"/>
    </row>
    <row r="143" spans="1:11" x14ac:dyDescent="0.3">
      <c r="A143" s="293">
        <v>13</v>
      </c>
      <c r="B143" s="294" t="s">
        <v>22</v>
      </c>
      <c r="C143" s="295"/>
      <c r="D143" s="295"/>
      <c r="E143" s="295"/>
      <c r="F143" s="295"/>
      <c r="G143" s="295"/>
      <c r="H143" s="295"/>
      <c r="I143" s="296"/>
      <c r="J143" s="296"/>
      <c r="K143" s="296"/>
    </row>
    <row r="144" spans="1:11" x14ac:dyDescent="0.3">
      <c r="A144" s="293">
        <v>14</v>
      </c>
      <c r="B144" s="294" t="s">
        <v>1113</v>
      </c>
      <c r="C144" s="295"/>
      <c r="D144" s="295"/>
      <c r="E144" s="295"/>
      <c r="F144" s="295"/>
      <c r="G144" s="295"/>
      <c r="H144" s="295"/>
      <c r="I144" s="296"/>
      <c r="J144" s="296"/>
      <c r="K144" s="296"/>
    </row>
    <row r="145" spans="1:11" x14ac:dyDescent="0.3">
      <c r="A145" s="293">
        <v>15</v>
      </c>
      <c r="B145" s="294" t="s">
        <v>23</v>
      </c>
      <c r="C145" s="295"/>
      <c r="D145" s="295"/>
      <c r="E145" s="295"/>
      <c r="F145" s="295"/>
      <c r="G145" s="295"/>
      <c r="H145" s="295"/>
      <c r="I145" s="296"/>
      <c r="J145" s="296"/>
      <c r="K145" s="296"/>
    </row>
    <row r="146" spans="1:11" x14ac:dyDescent="0.3">
      <c r="A146" s="293">
        <v>16</v>
      </c>
      <c r="B146" s="294" t="s">
        <v>24</v>
      </c>
      <c r="C146" s="295"/>
      <c r="D146" s="295"/>
      <c r="E146" s="295"/>
      <c r="F146" s="295"/>
      <c r="G146" s="295"/>
      <c r="H146" s="295"/>
      <c r="I146" s="295"/>
      <c r="J146" s="295"/>
      <c r="K146" s="295"/>
    </row>
    <row r="147" spans="1:11" x14ac:dyDescent="0.3">
      <c r="A147" s="293">
        <v>17</v>
      </c>
      <c r="B147" s="294" t="s">
        <v>25</v>
      </c>
      <c r="C147" s="295"/>
      <c r="D147" s="295"/>
      <c r="E147" s="295"/>
      <c r="F147" s="295"/>
      <c r="G147" s="295"/>
      <c r="H147" s="295"/>
      <c r="I147" s="296"/>
      <c r="J147" s="296"/>
      <c r="K147" s="296"/>
    </row>
    <row r="148" spans="1:11" x14ac:dyDescent="0.3">
      <c r="A148" s="293">
        <v>18</v>
      </c>
      <c r="B148" s="294" t="s">
        <v>26</v>
      </c>
      <c r="C148" s="295"/>
      <c r="D148" s="295"/>
      <c r="E148" s="295"/>
      <c r="F148" s="295"/>
      <c r="G148" s="295"/>
      <c r="H148" s="295"/>
      <c r="I148" s="295"/>
      <c r="J148" s="295"/>
      <c r="K148" s="295"/>
    </row>
    <row r="149" spans="1:11" x14ac:dyDescent="0.3">
      <c r="A149" s="293">
        <v>19</v>
      </c>
      <c r="B149" s="294" t="s">
        <v>70</v>
      </c>
      <c r="C149" s="295"/>
      <c r="D149" s="295"/>
      <c r="E149" s="295"/>
      <c r="F149" s="295"/>
      <c r="G149" s="295"/>
      <c r="H149" s="295"/>
      <c r="I149" s="296"/>
      <c r="J149" s="296"/>
      <c r="K149" s="296"/>
    </row>
    <row r="150" spans="1:11" x14ac:dyDescent="0.3">
      <c r="A150" s="293">
        <v>20</v>
      </c>
      <c r="B150" s="294" t="s">
        <v>27</v>
      </c>
      <c r="C150" s="295"/>
      <c r="D150" s="295"/>
      <c r="E150" s="295"/>
      <c r="F150" s="295"/>
      <c r="G150" s="295"/>
      <c r="H150" s="295"/>
      <c r="I150" s="295"/>
      <c r="J150" s="295"/>
      <c r="K150" s="295"/>
    </row>
    <row r="151" spans="1:11" x14ac:dyDescent="0.3">
      <c r="A151" s="293">
        <v>21</v>
      </c>
      <c r="B151" s="294" t="s">
        <v>71</v>
      </c>
      <c r="C151" s="295"/>
      <c r="D151" s="295"/>
      <c r="E151" s="295"/>
      <c r="F151" s="295"/>
      <c r="G151" s="295"/>
      <c r="H151" s="295"/>
      <c r="I151" s="295"/>
      <c r="J151" s="295"/>
      <c r="K151" s="295"/>
    </row>
    <row r="152" spans="1:11" x14ac:dyDescent="0.3">
      <c r="A152" s="293">
        <v>22</v>
      </c>
      <c r="B152" s="294" t="s">
        <v>1082</v>
      </c>
      <c r="C152" s="295"/>
      <c r="D152" s="295"/>
      <c r="E152" s="295"/>
      <c r="F152" s="295"/>
      <c r="G152" s="295"/>
      <c r="H152" s="295"/>
      <c r="I152" s="296"/>
      <c r="J152" s="296"/>
      <c r="K152" s="296"/>
    </row>
    <row r="153" spans="1:11" x14ac:dyDescent="0.3">
      <c r="A153" s="293">
        <v>23</v>
      </c>
      <c r="B153" s="294" t="s">
        <v>28</v>
      </c>
      <c r="C153" s="295"/>
      <c r="D153" s="295"/>
      <c r="E153" s="295"/>
      <c r="F153" s="295"/>
      <c r="G153" s="295"/>
      <c r="H153" s="295"/>
      <c r="I153" s="296"/>
      <c r="J153" s="296"/>
      <c r="K153" s="296"/>
    </row>
    <row r="154" spans="1:11" x14ac:dyDescent="0.3">
      <c r="A154" s="293">
        <v>24</v>
      </c>
      <c r="B154" s="294" t="s">
        <v>29</v>
      </c>
      <c r="C154" s="295"/>
      <c r="D154" s="295"/>
      <c r="E154" s="295"/>
      <c r="F154" s="295"/>
      <c r="G154" s="295"/>
      <c r="H154" s="295"/>
      <c r="I154" s="296"/>
      <c r="J154" s="296"/>
      <c r="K154" s="296"/>
    </row>
    <row r="155" spans="1:11" x14ac:dyDescent="0.3">
      <c r="A155" s="293">
        <v>25</v>
      </c>
      <c r="B155" s="294" t="s">
        <v>30</v>
      </c>
      <c r="C155" s="295"/>
      <c r="D155" s="295"/>
      <c r="E155" s="295"/>
      <c r="F155" s="295"/>
      <c r="G155" s="295"/>
      <c r="H155" s="295"/>
      <c r="I155" s="296"/>
      <c r="J155" s="296"/>
      <c r="K155" s="296"/>
    </row>
    <row r="156" spans="1:11" x14ac:dyDescent="0.3">
      <c r="A156" s="293">
        <v>26</v>
      </c>
      <c r="B156" s="294" t="s">
        <v>31</v>
      </c>
      <c r="C156" s="295"/>
      <c r="D156" s="295"/>
      <c r="E156" s="295"/>
      <c r="F156" s="295"/>
      <c r="G156" s="295"/>
      <c r="H156" s="295"/>
      <c r="I156" s="296"/>
      <c r="J156" s="296"/>
      <c r="K156" s="296"/>
    </row>
    <row r="157" spans="1:11" x14ac:dyDescent="0.3">
      <c r="A157" s="293">
        <v>27</v>
      </c>
      <c r="B157" s="294" t="s">
        <v>32</v>
      </c>
      <c r="C157" s="295"/>
      <c r="D157" s="295"/>
      <c r="E157" s="295"/>
      <c r="F157" s="295"/>
      <c r="G157" s="295"/>
      <c r="H157" s="295"/>
      <c r="I157" s="296"/>
      <c r="J157" s="296"/>
      <c r="K157" s="296"/>
    </row>
    <row r="158" spans="1:11" x14ac:dyDescent="0.3">
      <c r="A158" s="293">
        <v>28</v>
      </c>
      <c r="B158" s="294" t="s">
        <v>33</v>
      </c>
      <c r="C158" s="295"/>
      <c r="D158" s="295"/>
      <c r="E158" s="295"/>
      <c r="F158" s="295"/>
      <c r="G158" s="295"/>
      <c r="H158" s="295"/>
      <c r="I158" s="296"/>
      <c r="J158" s="296"/>
      <c r="K158" s="296"/>
    </row>
    <row r="159" spans="1:11" x14ac:dyDescent="0.3">
      <c r="A159" s="293">
        <v>29</v>
      </c>
      <c r="B159" s="294" t="s">
        <v>34</v>
      </c>
      <c r="C159" s="295"/>
      <c r="D159" s="295"/>
      <c r="E159" s="295"/>
      <c r="F159" s="295"/>
      <c r="G159" s="295"/>
      <c r="H159" s="295"/>
      <c r="I159" s="296"/>
      <c r="J159" s="296"/>
      <c r="K159" s="296"/>
    </row>
    <row r="160" spans="1:11" x14ac:dyDescent="0.3">
      <c r="A160" s="293">
        <v>30</v>
      </c>
      <c r="B160" s="294" t="s">
        <v>35</v>
      </c>
      <c r="C160" s="295"/>
      <c r="D160" s="295"/>
      <c r="E160" s="295"/>
      <c r="F160" s="295"/>
      <c r="G160" s="295"/>
      <c r="H160" s="295"/>
      <c r="I160" s="296"/>
      <c r="J160" s="296"/>
      <c r="K160" s="296"/>
    </row>
    <row r="161" spans="1:11" x14ac:dyDescent="0.3">
      <c r="A161" s="293">
        <v>31</v>
      </c>
      <c r="B161" s="294" t="s">
        <v>36</v>
      </c>
      <c r="C161" s="295"/>
      <c r="D161" s="295"/>
      <c r="E161" s="295"/>
      <c r="F161" s="295"/>
      <c r="G161" s="295"/>
      <c r="H161" s="295"/>
      <c r="I161" s="296"/>
      <c r="J161" s="296"/>
      <c r="K161" s="296"/>
    </row>
    <row r="162" spans="1:11" x14ac:dyDescent="0.3">
      <c r="A162" s="293">
        <v>32</v>
      </c>
      <c r="B162" s="294" t="s">
        <v>37</v>
      </c>
      <c r="C162" s="295"/>
      <c r="D162" s="295"/>
      <c r="E162" s="295"/>
      <c r="F162" s="295"/>
      <c r="G162" s="295"/>
      <c r="H162" s="295"/>
      <c r="I162" s="295"/>
      <c r="J162" s="295"/>
      <c r="K162" s="295"/>
    </row>
    <row r="163" spans="1:11" x14ac:dyDescent="0.3">
      <c r="A163" s="293">
        <v>33</v>
      </c>
      <c r="B163" s="294" t="s">
        <v>38</v>
      </c>
      <c r="C163" s="295"/>
      <c r="D163" s="295"/>
      <c r="E163" s="295"/>
      <c r="F163" s="295"/>
      <c r="G163" s="295"/>
      <c r="H163" s="295"/>
      <c r="I163" s="296"/>
      <c r="J163" s="296"/>
      <c r="K163" s="296"/>
    </row>
    <row r="164" spans="1:11" x14ac:dyDescent="0.3">
      <c r="A164" s="293">
        <v>34</v>
      </c>
      <c r="B164" s="294" t="s">
        <v>39</v>
      </c>
      <c r="C164" s="295"/>
      <c r="D164" s="295"/>
      <c r="E164" s="295"/>
      <c r="F164" s="295"/>
      <c r="G164" s="295"/>
      <c r="H164" s="295"/>
      <c r="I164" s="295"/>
      <c r="J164" s="295"/>
      <c r="K164" s="295"/>
    </row>
    <row r="165" spans="1:11" x14ac:dyDescent="0.3">
      <c r="A165" s="293">
        <v>35</v>
      </c>
      <c r="B165" s="294" t="s">
        <v>1114</v>
      </c>
      <c r="C165" s="295"/>
      <c r="D165" s="295"/>
      <c r="E165" s="295"/>
      <c r="F165" s="295"/>
      <c r="G165" s="295"/>
      <c r="H165" s="295"/>
      <c r="I165" s="296"/>
      <c r="J165" s="296"/>
      <c r="K165" s="296"/>
    </row>
    <row r="166" spans="1:11" x14ac:dyDescent="0.3">
      <c r="A166" s="293">
        <v>36</v>
      </c>
      <c r="B166" s="294" t="s">
        <v>40</v>
      </c>
      <c r="C166" s="295"/>
      <c r="D166" s="295"/>
      <c r="E166" s="295"/>
      <c r="F166" s="295"/>
      <c r="G166" s="295"/>
      <c r="H166" s="295"/>
      <c r="I166" s="296"/>
      <c r="J166" s="296"/>
      <c r="K166" s="296"/>
    </row>
    <row r="167" spans="1:11" x14ac:dyDescent="0.3">
      <c r="A167" s="293">
        <v>37</v>
      </c>
      <c r="B167" s="224"/>
      <c r="C167" s="224"/>
      <c r="D167" s="224"/>
      <c r="E167" s="224"/>
      <c r="F167" s="224"/>
      <c r="G167" s="224"/>
      <c r="H167" s="224"/>
      <c r="I167" s="224"/>
      <c r="J167" s="224"/>
      <c r="K167" s="224"/>
    </row>
    <row r="168" spans="1:11" x14ac:dyDescent="0.3">
      <c r="A168" s="293">
        <v>38</v>
      </c>
      <c r="B168" s="224"/>
      <c r="C168" s="224"/>
      <c r="D168" s="224"/>
      <c r="E168" s="224"/>
      <c r="F168" s="224"/>
      <c r="G168" s="224"/>
      <c r="H168" s="224"/>
      <c r="I168" s="224"/>
      <c r="J168" s="224"/>
      <c r="K168" s="224"/>
    </row>
    <row r="169" spans="1:11" x14ac:dyDescent="0.3">
      <c r="A169" s="293">
        <v>39</v>
      </c>
      <c r="B169" s="224"/>
      <c r="C169" s="224"/>
      <c r="D169" s="224"/>
      <c r="E169" s="224"/>
      <c r="F169" s="224"/>
      <c r="G169" s="224"/>
      <c r="H169" s="224"/>
      <c r="I169" s="224"/>
      <c r="J169" s="224"/>
      <c r="K169" s="224"/>
    </row>
    <row r="170" spans="1:11" x14ac:dyDescent="0.3">
      <c r="A170" s="293">
        <v>40</v>
      </c>
      <c r="B170" s="224"/>
      <c r="C170" s="224"/>
      <c r="D170" s="224"/>
      <c r="E170" s="224"/>
      <c r="F170" s="224"/>
      <c r="G170" s="224"/>
      <c r="H170" s="224"/>
      <c r="I170" s="224"/>
      <c r="J170" s="224"/>
      <c r="K170" s="224"/>
    </row>
    <row r="171" spans="1:11" x14ac:dyDescent="0.3">
      <c r="A171" s="293">
        <v>41</v>
      </c>
      <c r="B171" s="224"/>
      <c r="C171" s="224"/>
      <c r="D171" s="224"/>
      <c r="E171" s="224"/>
      <c r="F171" s="224"/>
      <c r="G171" s="224"/>
      <c r="H171" s="224"/>
      <c r="I171" s="224"/>
      <c r="J171" s="224"/>
      <c r="K171" s="224"/>
    </row>
    <row r="172" spans="1:11" x14ac:dyDescent="0.3">
      <c r="A172" s="293">
        <v>41</v>
      </c>
      <c r="B172" s="224"/>
      <c r="C172" s="224"/>
      <c r="D172" s="224"/>
      <c r="E172" s="224"/>
      <c r="F172" s="224"/>
      <c r="G172" s="224"/>
      <c r="H172" s="224"/>
      <c r="I172" s="224"/>
      <c r="J172" s="224"/>
      <c r="K172" s="224"/>
    </row>
    <row r="173" spans="1:11" x14ac:dyDescent="0.3">
      <c r="A173" s="224"/>
      <c r="B173" s="224"/>
      <c r="C173" s="224"/>
      <c r="D173" s="224"/>
      <c r="E173" s="224"/>
      <c r="F173" s="224"/>
      <c r="G173" s="224"/>
      <c r="H173" s="224"/>
      <c r="I173" s="224"/>
      <c r="J173" s="224"/>
      <c r="K173" s="224"/>
    </row>
    <row r="174" spans="1:11" x14ac:dyDescent="0.3">
      <c r="A174" s="224"/>
      <c r="B174" s="291">
        <v>42491</v>
      </c>
      <c r="C174" s="292" t="s">
        <v>2</v>
      </c>
      <c r="D174" s="292" t="s">
        <v>3</v>
      </c>
      <c r="E174" s="292" t="s">
        <v>4</v>
      </c>
      <c r="F174" s="292" t="s">
        <v>806</v>
      </c>
      <c r="G174" s="292" t="s">
        <v>5</v>
      </c>
      <c r="H174" s="292" t="s">
        <v>559</v>
      </c>
      <c r="I174" s="292" t="s">
        <v>560</v>
      </c>
      <c r="J174" s="292" t="s">
        <v>569</v>
      </c>
      <c r="K174" s="292" t="s">
        <v>570</v>
      </c>
    </row>
    <row r="175" spans="1:11" x14ac:dyDescent="0.3">
      <c r="A175" s="293">
        <v>2</v>
      </c>
      <c r="B175" s="294" t="s">
        <v>13</v>
      </c>
      <c r="C175" s="295"/>
      <c r="D175" s="295"/>
      <c r="E175" s="295"/>
      <c r="F175" s="295"/>
      <c r="G175" s="295"/>
      <c r="H175" s="295"/>
      <c r="I175" s="296"/>
      <c r="J175" s="296"/>
      <c r="K175" s="296"/>
    </row>
    <row r="176" spans="1:11" x14ac:dyDescent="0.3">
      <c r="A176" s="293">
        <v>3</v>
      </c>
      <c r="B176" s="294" t="s">
        <v>14</v>
      </c>
      <c r="C176" s="295"/>
      <c r="D176" s="295"/>
      <c r="E176" s="295"/>
      <c r="F176" s="295"/>
      <c r="G176" s="295"/>
      <c r="H176" s="295"/>
      <c r="I176" s="296"/>
      <c r="J176" s="296"/>
      <c r="K176" s="296"/>
    </row>
    <row r="177" spans="1:11" x14ac:dyDescent="0.3">
      <c r="A177" s="293">
        <v>4</v>
      </c>
      <c r="B177" s="294" t="s">
        <v>15</v>
      </c>
      <c r="C177" s="295"/>
      <c r="D177" s="295"/>
      <c r="E177" s="295"/>
      <c r="F177" s="295"/>
      <c r="G177" s="295"/>
      <c r="H177" s="295"/>
      <c r="I177" s="296"/>
      <c r="J177" s="296"/>
      <c r="K177" s="296"/>
    </row>
    <row r="178" spans="1:11" x14ac:dyDescent="0.3">
      <c r="A178" s="293">
        <v>5</v>
      </c>
      <c r="B178" s="294" t="s">
        <v>16</v>
      </c>
      <c r="C178" s="295"/>
      <c r="D178" s="295"/>
      <c r="E178" s="295"/>
      <c r="F178" s="295"/>
      <c r="G178" s="295"/>
      <c r="H178" s="295"/>
      <c r="I178" s="296"/>
      <c r="J178" s="296"/>
      <c r="K178" s="296"/>
    </row>
    <row r="179" spans="1:11" x14ac:dyDescent="0.3">
      <c r="A179" s="293">
        <v>6</v>
      </c>
      <c r="B179" s="294" t="s">
        <v>17</v>
      </c>
      <c r="C179" s="295"/>
      <c r="D179" s="295"/>
      <c r="E179" s="295"/>
      <c r="F179" s="295"/>
      <c r="G179" s="295"/>
      <c r="H179" s="295"/>
      <c r="I179" s="296"/>
      <c r="J179" s="296"/>
      <c r="K179" s="296"/>
    </row>
    <row r="180" spans="1:11" x14ac:dyDescent="0.3">
      <c r="A180" s="293">
        <v>7</v>
      </c>
      <c r="B180" s="294" t="s">
        <v>18</v>
      </c>
      <c r="C180" s="295"/>
      <c r="D180" s="295"/>
      <c r="E180" s="295"/>
      <c r="F180" s="295"/>
      <c r="G180" s="295"/>
      <c r="H180" s="295"/>
      <c r="I180" s="296"/>
      <c r="J180" s="296"/>
      <c r="K180" s="296"/>
    </row>
    <row r="181" spans="1:11" x14ac:dyDescent="0.3">
      <c r="A181" s="293">
        <v>8</v>
      </c>
      <c r="B181" s="294" t="s">
        <v>19</v>
      </c>
      <c r="C181" s="295"/>
      <c r="D181" s="295"/>
      <c r="E181" s="295"/>
      <c r="F181" s="295"/>
      <c r="G181" s="295"/>
      <c r="H181" s="295"/>
      <c r="I181" s="296"/>
      <c r="J181" s="296"/>
      <c r="K181" s="296"/>
    </row>
    <row r="182" spans="1:11" x14ac:dyDescent="0.3">
      <c r="A182" s="293">
        <v>9</v>
      </c>
      <c r="B182" s="294" t="s">
        <v>20</v>
      </c>
      <c r="C182" s="295"/>
      <c r="D182" s="295"/>
      <c r="E182" s="295"/>
      <c r="F182" s="295"/>
      <c r="G182" s="295"/>
      <c r="H182" s="295"/>
      <c r="I182" s="296"/>
      <c r="J182" s="296"/>
      <c r="K182" s="296"/>
    </row>
    <row r="183" spans="1:11" x14ac:dyDescent="0.3">
      <c r="A183" s="293">
        <v>10</v>
      </c>
      <c r="B183" s="294" t="s">
        <v>21</v>
      </c>
      <c r="C183" s="295"/>
      <c r="D183" s="295"/>
      <c r="E183" s="295"/>
      <c r="F183" s="295"/>
      <c r="G183" s="295"/>
      <c r="H183" s="295"/>
      <c r="I183" s="296"/>
      <c r="J183" s="296"/>
      <c r="K183" s="296"/>
    </row>
    <row r="184" spans="1:11" x14ac:dyDescent="0.3">
      <c r="A184" s="293">
        <v>11</v>
      </c>
      <c r="B184" s="294" t="s">
        <v>796</v>
      </c>
      <c r="C184" s="295"/>
      <c r="D184" s="295"/>
      <c r="E184" s="295"/>
      <c r="F184" s="295"/>
      <c r="G184" s="295"/>
      <c r="H184" s="295"/>
      <c r="I184" s="296"/>
      <c r="J184" s="296"/>
      <c r="K184" s="296"/>
    </row>
    <row r="185" spans="1:11" x14ac:dyDescent="0.3">
      <c r="A185" s="293">
        <v>12</v>
      </c>
      <c r="B185" s="294" t="s">
        <v>22</v>
      </c>
      <c r="C185" s="295"/>
      <c r="D185" s="295"/>
      <c r="E185" s="295"/>
      <c r="F185" s="295"/>
      <c r="G185" s="295"/>
      <c r="H185" s="295"/>
      <c r="I185" s="296"/>
      <c r="J185" s="296"/>
      <c r="K185" s="296"/>
    </row>
    <row r="186" spans="1:11" x14ac:dyDescent="0.3">
      <c r="A186" s="293">
        <v>13</v>
      </c>
      <c r="B186" s="294" t="s">
        <v>1113</v>
      </c>
      <c r="C186" s="295"/>
      <c r="D186" s="295"/>
      <c r="E186" s="295"/>
      <c r="F186" s="295"/>
      <c r="G186" s="295"/>
      <c r="H186" s="295"/>
      <c r="I186" s="296"/>
      <c r="J186" s="296"/>
      <c r="K186" s="296"/>
    </row>
    <row r="187" spans="1:11" x14ac:dyDescent="0.3">
      <c r="A187" s="293">
        <v>14</v>
      </c>
      <c r="B187" s="294" t="s">
        <v>23</v>
      </c>
      <c r="C187" s="295"/>
      <c r="D187" s="295"/>
      <c r="E187" s="295"/>
      <c r="F187" s="295"/>
      <c r="G187" s="295"/>
      <c r="H187" s="295"/>
      <c r="I187" s="296"/>
      <c r="J187" s="296"/>
      <c r="K187" s="296"/>
    </row>
    <row r="188" spans="1:11" x14ac:dyDescent="0.3">
      <c r="A188" s="293">
        <v>15</v>
      </c>
      <c r="B188" s="294" t="s">
        <v>24</v>
      </c>
      <c r="C188" s="295"/>
      <c r="D188" s="295"/>
      <c r="E188" s="295"/>
      <c r="F188" s="295"/>
      <c r="G188" s="295"/>
      <c r="H188" s="295"/>
      <c r="I188" s="296"/>
      <c r="J188" s="296"/>
      <c r="K188" s="296"/>
    </row>
    <row r="189" spans="1:11" x14ac:dyDescent="0.3">
      <c r="A189" s="293">
        <v>16</v>
      </c>
      <c r="B189" s="294" t="s">
        <v>25</v>
      </c>
      <c r="C189" s="295"/>
      <c r="D189" s="295"/>
      <c r="E189" s="295"/>
      <c r="F189" s="295"/>
      <c r="G189" s="295"/>
      <c r="H189" s="295"/>
      <c r="I189" s="296"/>
      <c r="J189" s="296"/>
      <c r="K189" s="296"/>
    </row>
    <row r="190" spans="1:11" x14ac:dyDescent="0.3">
      <c r="A190" s="293">
        <v>17</v>
      </c>
      <c r="B190" s="294" t="s">
        <v>26</v>
      </c>
      <c r="C190" s="295"/>
      <c r="D190" s="295"/>
      <c r="E190" s="295"/>
      <c r="F190" s="295"/>
      <c r="G190" s="295"/>
      <c r="H190" s="295"/>
      <c r="I190" s="295"/>
      <c r="J190" s="295"/>
      <c r="K190" s="295"/>
    </row>
    <row r="191" spans="1:11" x14ac:dyDescent="0.3">
      <c r="A191" s="293">
        <v>18</v>
      </c>
      <c r="B191" s="294" t="s">
        <v>70</v>
      </c>
      <c r="C191" s="295"/>
      <c r="D191" s="295"/>
      <c r="E191" s="295"/>
      <c r="F191" s="295"/>
      <c r="G191" s="295"/>
      <c r="H191" s="295"/>
      <c r="I191" s="296"/>
      <c r="J191" s="296"/>
      <c r="K191" s="296"/>
    </row>
    <row r="192" spans="1:11" x14ac:dyDescent="0.3">
      <c r="A192" s="293">
        <v>19</v>
      </c>
      <c r="B192" s="294" t="s">
        <v>27</v>
      </c>
      <c r="C192" s="295"/>
      <c r="D192" s="295"/>
      <c r="E192" s="295"/>
      <c r="F192" s="295"/>
      <c r="G192" s="295"/>
      <c r="H192" s="295"/>
      <c r="I192" s="295"/>
      <c r="J192" s="295"/>
      <c r="K192" s="295"/>
    </row>
    <row r="193" spans="1:11" x14ac:dyDescent="0.3">
      <c r="A193" s="293">
        <v>20</v>
      </c>
      <c r="B193" s="294" t="s">
        <v>71</v>
      </c>
      <c r="C193" s="295"/>
      <c r="D193" s="295"/>
      <c r="E193" s="295"/>
      <c r="F193" s="295"/>
      <c r="G193" s="295"/>
      <c r="H193" s="295"/>
      <c r="I193" s="295"/>
      <c r="J193" s="295"/>
      <c r="K193" s="295"/>
    </row>
    <row r="194" spans="1:11" x14ac:dyDescent="0.3">
      <c r="A194" s="293">
        <v>21</v>
      </c>
      <c r="B194" s="294" t="s">
        <v>1082</v>
      </c>
      <c r="C194" s="295"/>
      <c r="D194" s="295"/>
      <c r="E194" s="295"/>
      <c r="F194" s="295"/>
      <c r="G194" s="295"/>
      <c r="H194" s="295"/>
      <c r="I194" s="296"/>
      <c r="J194" s="296"/>
      <c r="K194" s="296"/>
    </row>
    <row r="195" spans="1:11" x14ac:dyDescent="0.3">
      <c r="A195" s="293">
        <v>22</v>
      </c>
      <c r="B195" s="294" t="s">
        <v>28</v>
      </c>
      <c r="C195" s="295"/>
      <c r="D195" s="295"/>
      <c r="E195" s="295"/>
      <c r="F195" s="295"/>
      <c r="G195" s="295"/>
      <c r="H195" s="295"/>
      <c r="I195" s="296"/>
      <c r="J195" s="296"/>
      <c r="K195" s="296"/>
    </row>
    <row r="196" spans="1:11" x14ac:dyDescent="0.3">
      <c r="A196" s="293">
        <v>23</v>
      </c>
      <c r="B196" s="294" t="s">
        <v>29</v>
      </c>
      <c r="C196" s="295"/>
      <c r="D196" s="295"/>
      <c r="E196" s="295"/>
      <c r="F196" s="295"/>
      <c r="G196" s="295"/>
      <c r="H196" s="295"/>
      <c r="I196" s="296"/>
      <c r="J196" s="296"/>
      <c r="K196" s="296"/>
    </row>
    <row r="197" spans="1:11" x14ac:dyDescent="0.3">
      <c r="A197" s="293">
        <v>24</v>
      </c>
      <c r="B197" s="294" t="s">
        <v>30</v>
      </c>
      <c r="C197" s="295"/>
      <c r="D197" s="295"/>
      <c r="E197" s="295"/>
      <c r="F197" s="295"/>
      <c r="G197" s="295"/>
      <c r="H197" s="295"/>
      <c r="I197" s="296"/>
      <c r="J197" s="296"/>
      <c r="K197" s="296"/>
    </row>
    <row r="198" spans="1:11" x14ac:dyDescent="0.3">
      <c r="A198" s="293">
        <v>25</v>
      </c>
      <c r="B198" s="294" t="s">
        <v>31</v>
      </c>
      <c r="C198" s="295"/>
      <c r="D198" s="295"/>
      <c r="E198" s="295"/>
      <c r="F198" s="295"/>
      <c r="G198" s="295"/>
      <c r="H198" s="295"/>
      <c r="I198" s="295"/>
      <c r="J198" s="295"/>
      <c r="K198" s="295"/>
    </row>
    <row r="199" spans="1:11" x14ac:dyDescent="0.3">
      <c r="A199" s="293">
        <v>26</v>
      </c>
      <c r="B199" s="294" t="s">
        <v>32</v>
      </c>
      <c r="C199" s="295"/>
      <c r="D199" s="295"/>
      <c r="E199" s="295"/>
      <c r="F199" s="295"/>
      <c r="G199" s="295"/>
      <c r="H199" s="295"/>
      <c r="I199" s="295"/>
      <c r="J199" s="295"/>
      <c r="K199" s="295"/>
    </row>
    <row r="200" spans="1:11" x14ac:dyDescent="0.3">
      <c r="A200" s="293">
        <v>27</v>
      </c>
      <c r="B200" s="294" t="s">
        <v>33</v>
      </c>
      <c r="C200" s="295"/>
      <c r="D200" s="295"/>
      <c r="E200" s="295"/>
      <c r="F200" s="295"/>
      <c r="G200" s="295"/>
      <c r="H200" s="295"/>
      <c r="I200" s="296"/>
      <c r="J200" s="296"/>
      <c r="K200" s="296"/>
    </row>
    <row r="201" spans="1:11" x14ac:dyDescent="0.3">
      <c r="A201" s="293">
        <v>28</v>
      </c>
      <c r="B201" s="294" t="s">
        <v>34</v>
      </c>
      <c r="C201" s="295"/>
      <c r="D201" s="295"/>
      <c r="E201" s="295"/>
      <c r="F201" s="295"/>
      <c r="G201" s="295"/>
      <c r="H201" s="295"/>
      <c r="I201" s="296"/>
      <c r="J201" s="296"/>
      <c r="K201" s="296"/>
    </row>
    <row r="202" spans="1:11" x14ac:dyDescent="0.3">
      <c r="A202" s="293">
        <v>29</v>
      </c>
      <c r="B202" s="294" t="s">
        <v>35</v>
      </c>
      <c r="C202" s="295"/>
      <c r="D202" s="295"/>
      <c r="E202" s="295"/>
      <c r="F202" s="295"/>
      <c r="G202" s="295"/>
      <c r="H202" s="295"/>
      <c r="I202" s="296"/>
      <c r="J202" s="296"/>
      <c r="K202" s="296"/>
    </row>
    <row r="203" spans="1:11" x14ac:dyDescent="0.3">
      <c r="A203" s="293">
        <v>30</v>
      </c>
      <c r="B203" s="294" t="s">
        <v>36</v>
      </c>
      <c r="C203" s="295"/>
      <c r="D203" s="295"/>
      <c r="E203" s="295"/>
      <c r="F203" s="295"/>
      <c r="G203" s="295"/>
      <c r="H203" s="295"/>
      <c r="I203" s="296"/>
      <c r="J203" s="296"/>
      <c r="K203" s="296"/>
    </row>
    <row r="204" spans="1:11" x14ac:dyDescent="0.3">
      <c r="A204" s="293">
        <v>31</v>
      </c>
      <c r="B204" s="294" t="s">
        <v>37</v>
      </c>
      <c r="C204" s="295"/>
      <c r="D204" s="295"/>
      <c r="E204" s="295"/>
      <c r="F204" s="295"/>
      <c r="G204" s="295"/>
      <c r="H204" s="295"/>
      <c r="I204" s="295"/>
      <c r="J204" s="295"/>
      <c r="K204" s="295"/>
    </row>
    <row r="205" spans="1:11" x14ac:dyDescent="0.3">
      <c r="A205" s="293">
        <v>32</v>
      </c>
      <c r="B205" s="294" t="s">
        <v>38</v>
      </c>
      <c r="C205" s="295"/>
      <c r="D205" s="295"/>
      <c r="E205" s="295"/>
      <c r="F205" s="295"/>
      <c r="G205" s="295"/>
      <c r="H205" s="295"/>
      <c r="I205" s="296"/>
      <c r="J205" s="296"/>
      <c r="K205" s="296"/>
    </row>
    <row r="206" spans="1:11" x14ac:dyDescent="0.3">
      <c r="A206" s="293">
        <v>33</v>
      </c>
      <c r="B206" s="294" t="s">
        <v>39</v>
      </c>
      <c r="C206" s="295"/>
      <c r="D206" s="295"/>
      <c r="E206" s="295"/>
      <c r="F206" s="295"/>
      <c r="G206" s="295"/>
      <c r="H206" s="295"/>
      <c r="I206" s="295"/>
      <c r="J206" s="295"/>
      <c r="K206" s="295"/>
    </row>
    <row r="207" spans="1:11" x14ac:dyDescent="0.3">
      <c r="A207" s="293">
        <v>34</v>
      </c>
      <c r="B207" s="294" t="s">
        <v>1114</v>
      </c>
      <c r="C207" s="295"/>
      <c r="D207" s="295"/>
      <c r="E207" s="295"/>
      <c r="F207" s="295"/>
      <c r="G207" s="295"/>
      <c r="H207" s="295"/>
      <c r="I207" s="296"/>
      <c r="J207" s="296"/>
      <c r="K207" s="296"/>
    </row>
    <row r="208" spans="1:11" x14ac:dyDescent="0.3">
      <c r="A208" s="293">
        <v>35</v>
      </c>
      <c r="B208" s="294" t="s">
        <v>40</v>
      </c>
      <c r="C208" s="295"/>
      <c r="D208" s="295"/>
      <c r="E208" s="295"/>
      <c r="F208" s="295"/>
      <c r="G208" s="295"/>
      <c r="H208" s="295"/>
      <c r="I208" s="296"/>
      <c r="J208" s="296"/>
      <c r="K208" s="296"/>
    </row>
    <row r="209" spans="1:11" x14ac:dyDescent="0.3">
      <c r="A209" s="293">
        <v>36</v>
      </c>
      <c r="B209" s="224"/>
      <c r="C209" s="224"/>
      <c r="D209" s="224"/>
      <c r="E209" s="224"/>
      <c r="F209" s="224"/>
      <c r="G209" s="224"/>
      <c r="H209" s="224"/>
      <c r="I209" s="224"/>
      <c r="J209" s="224"/>
      <c r="K209" s="224"/>
    </row>
    <row r="210" spans="1:11" x14ac:dyDescent="0.3">
      <c r="A210" s="293">
        <v>37</v>
      </c>
      <c r="B210" s="224"/>
      <c r="C210" s="224"/>
      <c r="D210" s="224"/>
      <c r="E210" s="224"/>
      <c r="F210" s="224"/>
      <c r="G210" s="224"/>
      <c r="H210" s="224"/>
      <c r="I210" s="224"/>
      <c r="J210" s="224"/>
      <c r="K210" s="224"/>
    </row>
    <row r="211" spans="1:11" x14ac:dyDescent="0.3">
      <c r="A211" s="293">
        <v>38</v>
      </c>
      <c r="B211" s="224"/>
      <c r="C211" s="224"/>
      <c r="D211" s="224"/>
      <c r="E211" s="224"/>
      <c r="F211" s="224"/>
      <c r="G211" s="224"/>
      <c r="H211" s="224"/>
      <c r="I211" s="224"/>
      <c r="J211" s="224"/>
      <c r="K211" s="224"/>
    </row>
    <row r="212" spans="1:11" x14ac:dyDescent="0.3">
      <c r="A212" s="293">
        <v>39</v>
      </c>
      <c r="B212" s="224"/>
      <c r="C212" s="224"/>
      <c r="D212" s="224"/>
      <c r="E212" s="224"/>
      <c r="F212" s="224"/>
      <c r="G212" s="224"/>
      <c r="H212" s="224"/>
      <c r="I212" s="224"/>
      <c r="J212" s="224"/>
      <c r="K212" s="224"/>
    </row>
    <row r="213" spans="1:11" x14ac:dyDescent="0.3">
      <c r="A213" s="293">
        <v>40</v>
      </c>
      <c r="B213" s="224"/>
      <c r="C213" s="224"/>
      <c r="D213" s="224"/>
      <c r="E213" s="224"/>
      <c r="F213" s="224"/>
      <c r="G213" s="224"/>
      <c r="H213" s="224"/>
      <c r="I213" s="224"/>
      <c r="J213" s="224"/>
      <c r="K213" s="224"/>
    </row>
    <row r="214" spans="1:11" x14ac:dyDescent="0.3">
      <c r="A214" s="293">
        <v>41</v>
      </c>
      <c r="B214" s="224"/>
      <c r="C214" s="224"/>
      <c r="D214" s="224"/>
      <c r="E214" s="224"/>
      <c r="F214" s="224"/>
      <c r="G214" s="224"/>
      <c r="H214" s="224"/>
      <c r="I214" s="224"/>
      <c r="J214" s="224"/>
      <c r="K214" s="224"/>
    </row>
    <row r="215" spans="1:11" x14ac:dyDescent="0.3">
      <c r="A215" s="224"/>
      <c r="B215" s="224"/>
      <c r="C215" s="224"/>
      <c r="D215" s="224"/>
      <c r="E215" s="224"/>
      <c r="F215" s="224"/>
      <c r="G215" s="224"/>
      <c r="H215" s="224"/>
      <c r="I215" s="224"/>
      <c r="J215" s="224"/>
      <c r="K215" s="224"/>
    </row>
    <row r="216" spans="1:11" x14ac:dyDescent="0.3">
      <c r="A216" s="224"/>
      <c r="B216" s="291">
        <v>42522</v>
      </c>
      <c r="C216" s="292" t="s">
        <v>2</v>
      </c>
      <c r="D216" s="292" t="s">
        <v>3</v>
      </c>
      <c r="E216" s="292" t="s">
        <v>4</v>
      </c>
      <c r="F216" s="292" t="s">
        <v>806</v>
      </c>
      <c r="G216" s="292" t="s">
        <v>5</v>
      </c>
      <c r="H216" s="292" t="s">
        <v>559</v>
      </c>
      <c r="I216" s="292" t="s">
        <v>560</v>
      </c>
      <c r="J216" s="292" t="s">
        <v>569</v>
      </c>
      <c r="K216" s="292" t="s">
        <v>570</v>
      </c>
    </row>
    <row r="217" spans="1:11" x14ac:dyDescent="0.3">
      <c r="A217" s="293">
        <v>2</v>
      </c>
      <c r="B217" s="294" t="s">
        <v>13</v>
      </c>
      <c r="C217" s="295"/>
      <c r="D217" s="295"/>
      <c r="E217" s="295"/>
      <c r="F217" s="295"/>
      <c r="G217" s="295"/>
      <c r="H217" s="295"/>
      <c r="I217" s="296"/>
      <c r="J217" s="296"/>
      <c r="K217" s="296"/>
    </row>
    <row r="218" spans="1:11" x14ac:dyDescent="0.3">
      <c r="A218" s="293">
        <v>3</v>
      </c>
      <c r="B218" s="294" t="s">
        <v>14</v>
      </c>
      <c r="C218" s="295"/>
      <c r="D218" s="295"/>
      <c r="E218" s="295"/>
      <c r="F218" s="295"/>
      <c r="G218" s="295"/>
      <c r="H218" s="295"/>
      <c r="I218" s="296"/>
      <c r="J218" s="296"/>
      <c r="K218" s="296"/>
    </row>
    <row r="219" spans="1:11" x14ac:dyDescent="0.3">
      <c r="A219" s="293">
        <v>4</v>
      </c>
      <c r="B219" s="294" t="s">
        <v>15</v>
      </c>
      <c r="C219" s="295"/>
      <c r="D219" s="295"/>
      <c r="E219" s="295"/>
      <c r="F219" s="295"/>
      <c r="G219" s="295"/>
      <c r="H219" s="295"/>
      <c r="I219" s="296"/>
      <c r="J219" s="296"/>
      <c r="K219" s="296"/>
    </row>
    <row r="220" spans="1:11" x14ac:dyDescent="0.3">
      <c r="A220" s="293">
        <v>5</v>
      </c>
      <c r="B220" s="294" t="s">
        <v>16</v>
      </c>
      <c r="C220" s="295"/>
      <c r="D220" s="295"/>
      <c r="E220" s="295"/>
      <c r="F220" s="295"/>
      <c r="G220" s="295"/>
      <c r="H220" s="295"/>
      <c r="I220" s="296"/>
      <c r="J220" s="296"/>
      <c r="K220" s="296"/>
    </row>
    <row r="221" spans="1:11" x14ac:dyDescent="0.3">
      <c r="A221" s="293">
        <v>6</v>
      </c>
      <c r="B221" s="294" t="s">
        <v>17</v>
      </c>
      <c r="C221" s="295"/>
      <c r="D221" s="295"/>
      <c r="E221" s="295"/>
      <c r="F221" s="295"/>
      <c r="G221" s="295"/>
      <c r="H221" s="295"/>
      <c r="I221" s="296"/>
      <c r="J221" s="296"/>
      <c r="K221" s="296"/>
    </row>
    <row r="222" spans="1:11" x14ac:dyDescent="0.3">
      <c r="A222" s="293">
        <v>7</v>
      </c>
      <c r="B222" s="294" t="s">
        <v>18</v>
      </c>
      <c r="C222" s="295"/>
      <c r="D222" s="295"/>
      <c r="E222" s="295"/>
      <c r="F222" s="295"/>
      <c r="G222" s="295"/>
      <c r="H222" s="295"/>
      <c r="I222" s="296"/>
      <c r="J222" s="296"/>
      <c r="K222" s="296"/>
    </row>
    <row r="223" spans="1:11" x14ac:dyDescent="0.3">
      <c r="A223" s="293">
        <v>8</v>
      </c>
      <c r="B223" s="294" t="s">
        <v>19</v>
      </c>
      <c r="C223" s="295"/>
      <c r="D223" s="295"/>
      <c r="E223" s="295"/>
      <c r="F223" s="295"/>
      <c r="G223" s="295"/>
      <c r="H223" s="295"/>
      <c r="I223" s="296"/>
      <c r="J223" s="296"/>
      <c r="K223" s="296"/>
    </row>
    <row r="224" spans="1:11" x14ac:dyDescent="0.3">
      <c r="A224" s="293">
        <v>9</v>
      </c>
      <c r="B224" s="294" t="s">
        <v>20</v>
      </c>
      <c r="C224" s="295"/>
      <c r="D224" s="295"/>
      <c r="E224" s="295"/>
      <c r="F224" s="295"/>
      <c r="G224" s="295"/>
      <c r="H224" s="295"/>
      <c r="I224" s="296"/>
      <c r="J224" s="296"/>
      <c r="K224" s="296"/>
    </row>
    <row r="225" spans="1:11" x14ac:dyDescent="0.3">
      <c r="A225" s="293">
        <v>10</v>
      </c>
      <c r="B225" s="294" t="s">
        <v>21</v>
      </c>
      <c r="C225" s="295"/>
      <c r="D225" s="295"/>
      <c r="E225" s="295"/>
      <c r="F225" s="295"/>
      <c r="G225" s="295"/>
      <c r="H225" s="295"/>
      <c r="I225" s="296"/>
      <c r="J225" s="296"/>
      <c r="K225" s="296"/>
    </row>
    <row r="226" spans="1:11" x14ac:dyDescent="0.3">
      <c r="A226" s="293">
        <v>11</v>
      </c>
      <c r="B226" s="294" t="s">
        <v>796</v>
      </c>
      <c r="C226" s="295"/>
      <c r="D226" s="295"/>
      <c r="E226" s="295"/>
      <c r="F226" s="295"/>
      <c r="G226" s="295"/>
      <c r="H226" s="295"/>
      <c r="I226" s="296"/>
      <c r="J226" s="296"/>
      <c r="K226" s="296"/>
    </row>
    <row r="227" spans="1:11" x14ac:dyDescent="0.3">
      <c r="A227" s="293">
        <v>12</v>
      </c>
      <c r="B227" s="294" t="s">
        <v>22</v>
      </c>
      <c r="C227" s="295"/>
      <c r="D227" s="295"/>
      <c r="E227" s="295"/>
      <c r="F227" s="295"/>
      <c r="G227" s="295"/>
      <c r="H227" s="295"/>
      <c r="I227" s="296"/>
      <c r="J227" s="296"/>
      <c r="K227" s="296"/>
    </row>
    <row r="228" spans="1:11" x14ac:dyDescent="0.3">
      <c r="A228" s="293">
        <v>13</v>
      </c>
      <c r="B228" s="294" t="s">
        <v>1113</v>
      </c>
      <c r="C228" s="295"/>
      <c r="D228" s="295"/>
      <c r="E228" s="295"/>
      <c r="F228" s="295"/>
      <c r="G228" s="295"/>
      <c r="H228" s="295"/>
      <c r="I228" s="296"/>
      <c r="J228" s="296"/>
      <c r="K228" s="296"/>
    </row>
    <row r="229" spans="1:11" x14ac:dyDescent="0.3">
      <c r="A229" s="293">
        <v>14</v>
      </c>
      <c r="B229" s="294" t="s">
        <v>23</v>
      </c>
      <c r="C229" s="295"/>
      <c r="D229" s="295"/>
      <c r="E229" s="295"/>
      <c r="F229" s="295"/>
      <c r="G229" s="295"/>
      <c r="H229" s="295"/>
      <c r="I229" s="296"/>
      <c r="J229" s="296"/>
      <c r="K229" s="296"/>
    </row>
    <row r="230" spans="1:11" x14ac:dyDescent="0.3">
      <c r="A230" s="293">
        <v>15</v>
      </c>
      <c r="B230" s="294" t="s">
        <v>24</v>
      </c>
      <c r="C230" s="295"/>
      <c r="D230" s="295"/>
      <c r="E230" s="295"/>
      <c r="F230" s="295"/>
      <c r="G230" s="295"/>
      <c r="H230" s="295"/>
      <c r="I230" s="296"/>
      <c r="J230" s="296"/>
      <c r="K230" s="296"/>
    </row>
    <row r="231" spans="1:11" x14ac:dyDescent="0.3">
      <c r="A231" s="293">
        <v>16</v>
      </c>
      <c r="B231" s="294" t="s">
        <v>25</v>
      </c>
      <c r="C231" s="295"/>
      <c r="D231" s="295"/>
      <c r="E231" s="295"/>
      <c r="F231" s="295"/>
      <c r="G231" s="295"/>
      <c r="H231" s="295"/>
      <c r="I231" s="296"/>
      <c r="J231" s="296"/>
      <c r="K231" s="296"/>
    </row>
    <row r="232" spans="1:11" x14ac:dyDescent="0.3">
      <c r="A232" s="293">
        <v>17</v>
      </c>
      <c r="B232" s="294" t="s">
        <v>26</v>
      </c>
      <c r="C232" s="295"/>
      <c r="D232" s="295"/>
      <c r="E232" s="295"/>
      <c r="F232" s="295"/>
      <c r="G232" s="295"/>
      <c r="H232" s="295"/>
      <c r="I232" s="295"/>
      <c r="J232" s="295"/>
      <c r="K232" s="295"/>
    </row>
    <row r="233" spans="1:11" x14ac:dyDescent="0.3">
      <c r="A233" s="293">
        <v>18</v>
      </c>
      <c r="B233" s="294" t="s">
        <v>70</v>
      </c>
      <c r="C233" s="295"/>
      <c r="D233" s="295"/>
      <c r="E233" s="295"/>
      <c r="F233" s="295"/>
      <c r="G233" s="295"/>
      <c r="H233" s="295"/>
      <c r="I233" s="296"/>
      <c r="J233" s="296"/>
      <c r="K233" s="296"/>
    </row>
    <row r="234" spans="1:11" x14ac:dyDescent="0.3">
      <c r="A234" s="293">
        <v>19</v>
      </c>
      <c r="B234" s="294" t="s">
        <v>27</v>
      </c>
      <c r="C234" s="295"/>
      <c r="D234" s="295"/>
      <c r="E234" s="295"/>
      <c r="F234" s="295"/>
      <c r="G234" s="295"/>
      <c r="H234" s="295"/>
      <c r="I234" s="295"/>
      <c r="J234" s="295"/>
      <c r="K234" s="295"/>
    </row>
    <row r="235" spans="1:11" x14ac:dyDescent="0.3">
      <c r="A235" s="293">
        <v>20</v>
      </c>
      <c r="B235" s="294" t="s">
        <v>71</v>
      </c>
      <c r="C235" s="295"/>
      <c r="D235" s="295"/>
      <c r="E235" s="295"/>
      <c r="F235" s="295"/>
      <c r="G235" s="295"/>
      <c r="H235" s="295"/>
      <c r="I235" s="295"/>
      <c r="J235" s="295"/>
      <c r="K235" s="295"/>
    </row>
    <row r="236" spans="1:11" x14ac:dyDescent="0.3">
      <c r="A236" s="293">
        <v>21</v>
      </c>
      <c r="B236" s="294" t="s">
        <v>1082</v>
      </c>
      <c r="C236" s="295"/>
      <c r="D236" s="295"/>
      <c r="E236" s="295"/>
      <c r="F236" s="295"/>
      <c r="G236" s="295"/>
      <c r="H236" s="295"/>
      <c r="I236" s="296"/>
      <c r="J236" s="296"/>
      <c r="K236" s="296"/>
    </row>
    <row r="237" spans="1:11" x14ac:dyDescent="0.3">
      <c r="A237" s="293">
        <v>22</v>
      </c>
      <c r="B237" s="294" t="s">
        <v>28</v>
      </c>
      <c r="C237" s="295"/>
      <c r="D237" s="295"/>
      <c r="E237" s="295"/>
      <c r="F237" s="295"/>
      <c r="G237" s="295"/>
      <c r="H237" s="295"/>
      <c r="I237" s="296"/>
      <c r="J237" s="296"/>
      <c r="K237" s="296"/>
    </row>
    <row r="238" spans="1:11" x14ac:dyDescent="0.3">
      <c r="A238" s="293">
        <v>23</v>
      </c>
      <c r="B238" s="294" t="s">
        <v>29</v>
      </c>
      <c r="C238" s="295"/>
      <c r="D238" s="295"/>
      <c r="E238" s="295"/>
      <c r="F238" s="295"/>
      <c r="G238" s="295"/>
      <c r="H238" s="295"/>
      <c r="I238" s="296"/>
      <c r="J238" s="296"/>
      <c r="K238" s="296"/>
    </row>
    <row r="239" spans="1:11" x14ac:dyDescent="0.3">
      <c r="A239" s="293">
        <v>24</v>
      </c>
      <c r="B239" s="294" t="s">
        <v>30</v>
      </c>
      <c r="C239" s="295"/>
      <c r="D239" s="295"/>
      <c r="E239" s="295"/>
      <c r="F239" s="295"/>
      <c r="G239" s="295"/>
      <c r="H239" s="295"/>
      <c r="I239" s="296"/>
      <c r="J239" s="296"/>
      <c r="K239" s="296"/>
    </row>
    <row r="240" spans="1:11" x14ac:dyDescent="0.3">
      <c r="A240" s="293">
        <v>25</v>
      </c>
      <c r="B240" s="294" t="s">
        <v>31</v>
      </c>
      <c r="C240" s="295"/>
      <c r="D240" s="295"/>
      <c r="E240" s="295"/>
      <c r="F240" s="295"/>
      <c r="G240" s="295"/>
      <c r="H240" s="295"/>
      <c r="I240" s="295"/>
      <c r="J240" s="295"/>
      <c r="K240" s="295"/>
    </row>
    <row r="241" spans="1:11" x14ac:dyDescent="0.3">
      <c r="A241" s="293">
        <v>26</v>
      </c>
      <c r="B241" s="294" t="s">
        <v>32</v>
      </c>
      <c r="C241" s="295"/>
      <c r="D241" s="295"/>
      <c r="E241" s="295"/>
      <c r="F241" s="295"/>
      <c r="G241" s="295"/>
      <c r="H241" s="295"/>
      <c r="I241" s="295"/>
      <c r="J241" s="295"/>
      <c r="K241" s="295"/>
    </row>
    <row r="242" spans="1:11" x14ac:dyDescent="0.3">
      <c r="A242" s="293">
        <v>27</v>
      </c>
      <c r="B242" s="294" t="s">
        <v>33</v>
      </c>
      <c r="C242" s="295"/>
      <c r="D242" s="295"/>
      <c r="E242" s="295"/>
      <c r="F242" s="295"/>
      <c r="G242" s="295"/>
      <c r="H242" s="295"/>
      <c r="I242" s="296"/>
      <c r="J242" s="296"/>
      <c r="K242" s="296"/>
    </row>
    <row r="243" spans="1:11" x14ac:dyDescent="0.3">
      <c r="A243" s="293">
        <v>28</v>
      </c>
      <c r="B243" s="294" t="s">
        <v>34</v>
      </c>
      <c r="C243" s="295"/>
      <c r="D243" s="295"/>
      <c r="E243" s="295"/>
      <c r="F243" s="295"/>
      <c r="G243" s="295"/>
      <c r="H243" s="295"/>
      <c r="I243" s="296"/>
      <c r="J243" s="296"/>
      <c r="K243" s="296"/>
    </row>
    <row r="244" spans="1:11" x14ac:dyDescent="0.3">
      <c r="A244" s="293">
        <v>29</v>
      </c>
      <c r="B244" s="294" t="s">
        <v>35</v>
      </c>
      <c r="C244" s="295"/>
      <c r="D244" s="295"/>
      <c r="E244" s="295"/>
      <c r="F244" s="295"/>
      <c r="G244" s="295"/>
      <c r="H244" s="295"/>
      <c r="I244" s="296"/>
      <c r="J244" s="296"/>
      <c r="K244" s="296"/>
    </row>
    <row r="245" spans="1:11" x14ac:dyDescent="0.3">
      <c r="A245" s="293">
        <v>30</v>
      </c>
      <c r="B245" s="294" t="s">
        <v>36</v>
      </c>
      <c r="C245" s="295"/>
      <c r="D245" s="295"/>
      <c r="E245" s="295"/>
      <c r="F245" s="295"/>
      <c r="G245" s="295"/>
      <c r="H245" s="295"/>
      <c r="I245" s="296"/>
      <c r="J245" s="296"/>
      <c r="K245" s="296"/>
    </row>
    <row r="246" spans="1:11" x14ac:dyDescent="0.3">
      <c r="A246" s="293">
        <v>31</v>
      </c>
      <c r="B246" s="294" t="s">
        <v>37</v>
      </c>
      <c r="C246" s="295"/>
      <c r="D246" s="295"/>
      <c r="E246" s="295"/>
      <c r="F246" s="295"/>
      <c r="G246" s="295"/>
      <c r="H246" s="295"/>
      <c r="I246" s="295"/>
      <c r="J246" s="295"/>
      <c r="K246" s="295"/>
    </row>
    <row r="247" spans="1:11" x14ac:dyDescent="0.3">
      <c r="A247" s="293">
        <v>32</v>
      </c>
      <c r="B247" s="294" t="s">
        <v>38</v>
      </c>
      <c r="C247" s="295"/>
      <c r="D247" s="295"/>
      <c r="E247" s="295"/>
      <c r="F247" s="295"/>
      <c r="G247" s="295"/>
      <c r="H247" s="295"/>
      <c r="I247" s="296"/>
      <c r="J247" s="296"/>
      <c r="K247" s="296"/>
    </row>
    <row r="248" spans="1:11" x14ac:dyDescent="0.3">
      <c r="A248" s="293">
        <v>33</v>
      </c>
      <c r="B248" s="294" t="s">
        <v>39</v>
      </c>
      <c r="C248" s="295"/>
      <c r="D248" s="295"/>
      <c r="E248" s="295"/>
      <c r="F248" s="295"/>
      <c r="G248" s="295"/>
      <c r="H248" s="295"/>
      <c r="I248" s="295"/>
      <c r="J248" s="295"/>
      <c r="K248" s="295"/>
    </row>
    <row r="249" spans="1:11" x14ac:dyDescent="0.3">
      <c r="A249" s="293">
        <v>34</v>
      </c>
      <c r="B249" s="294" t="s">
        <v>1114</v>
      </c>
      <c r="C249" s="295"/>
      <c r="D249" s="295"/>
      <c r="E249" s="295"/>
      <c r="F249" s="295"/>
      <c r="G249" s="295"/>
      <c r="H249" s="295"/>
      <c r="I249" s="296"/>
      <c r="J249" s="296"/>
      <c r="K249" s="296"/>
    </row>
    <row r="250" spans="1:11" x14ac:dyDescent="0.3">
      <c r="A250" s="293">
        <v>35</v>
      </c>
      <c r="B250" s="294" t="s">
        <v>40</v>
      </c>
      <c r="C250" s="295"/>
      <c r="D250" s="295"/>
      <c r="E250" s="295"/>
      <c r="F250" s="295"/>
      <c r="G250" s="295"/>
      <c r="H250" s="295"/>
      <c r="I250" s="296"/>
      <c r="J250" s="296"/>
      <c r="K250" s="296"/>
    </row>
    <row r="251" spans="1:11" x14ac:dyDescent="0.3">
      <c r="A251" s="293">
        <v>36</v>
      </c>
      <c r="B251" s="224"/>
      <c r="C251" s="224"/>
      <c r="D251" s="224"/>
      <c r="E251" s="224"/>
      <c r="F251" s="224"/>
      <c r="G251" s="224"/>
      <c r="H251" s="224"/>
      <c r="I251" s="224"/>
      <c r="J251" s="224"/>
      <c r="K251" s="224"/>
    </row>
    <row r="252" spans="1:11" x14ac:dyDescent="0.3">
      <c r="A252" s="293">
        <v>37</v>
      </c>
      <c r="B252" s="224"/>
      <c r="C252" s="224"/>
      <c r="D252" s="224"/>
      <c r="E252" s="224"/>
      <c r="F252" s="224"/>
      <c r="G252" s="224"/>
      <c r="H252" s="224"/>
      <c r="I252" s="224"/>
      <c r="J252" s="224"/>
      <c r="K252" s="224"/>
    </row>
    <row r="253" spans="1:11" x14ac:dyDescent="0.3">
      <c r="A253" s="293">
        <v>38</v>
      </c>
      <c r="B253" s="224"/>
      <c r="C253" s="224"/>
      <c r="D253" s="224"/>
      <c r="E253" s="224"/>
      <c r="F253" s="224"/>
      <c r="G253" s="224"/>
      <c r="H253" s="224"/>
      <c r="I253" s="224"/>
      <c r="J253" s="224"/>
      <c r="K253" s="224"/>
    </row>
    <row r="254" spans="1:11" x14ac:dyDescent="0.3">
      <c r="A254" s="293">
        <v>39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</row>
    <row r="255" spans="1:11" x14ac:dyDescent="0.3">
      <c r="A255" s="293">
        <v>40</v>
      </c>
      <c r="B255" s="224"/>
      <c r="C255" s="224"/>
      <c r="D255" s="224"/>
      <c r="E255" s="224"/>
      <c r="F255" s="224"/>
      <c r="G255" s="224"/>
      <c r="H255" s="224"/>
      <c r="I255" s="224"/>
      <c r="J255" s="224"/>
      <c r="K255" s="224"/>
    </row>
    <row r="256" spans="1:11" x14ac:dyDescent="0.3">
      <c r="A256" s="293">
        <v>41</v>
      </c>
      <c r="B256" s="224"/>
      <c r="C256" s="224"/>
      <c r="D256" s="224"/>
      <c r="E256" s="224"/>
      <c r="F256" s="224"/>
      <c r="G256" s="224"/>
      <c r="H256" s="224"/>
      <c r="I256" s="224"/>
      <c r="J256" s="224"/>
      <c r="K256" s="224"/>
    </row>
    <row r="257" spans="1:11" x14ac:dyDescent="0.3">
      <c r="A257" s="224"/>
      <c r="B257" s="224"/>
      <c r="C257" s="224"/>
      <c r="D257" s="224"/>
      <c r="E257" s="224"/>
      <c r="F257" s="224"/>
      <c r="G257" s="224"/>
      <c r="H257" s="224"/>
      <c r="I257" s="224"/>
      <c r="J257" s="224"/>
      <c r="K257" s="224"/>
    </row>
    <row r="258" spans="1:11" x14ac:dyDescent="0.3">
      <c r="A258" s="224"/>
      <c r="B258" s="291">
        <v>42552</v>
      </c>
      <c r="C258" s="292" t="s">
        <v>2</v>
      </c>
      <c r="D258" s="292" t="s">
        <v>3</v>
      </c>
      <c r="E258" s="292" t="s">
        <v>4</v>
      </c>
      <c r="F258" s="292" t="s">
        <v>806</v>
      </c>
      <c r="G258" s="292" t="s">
        <v>5</v>
      </c>
      <c r="H258" s="292" t="s">
        <v>559</v>
      </c>
      <c r="I258" s="292" t="s">
        <v>560</v>
      </c>
      <c r="J258" s="292" t="s">
        <v>569</v>
      </c>
      <c r="K258" s="292" t="s">
        <v>570</v>
      </c>
    </row>
    <row r="259" spans="1:11" x14ac:dyDescent="0.3">
      <c r="A259" s="293">
        <v>2</v>
      </c>
      <c r="B259" s="294" t="s">
        <v>13</v>
      </c>
      <c r="C259" s="295"/>
      <c r="D259" s="295"/>
      <c r="E259" s="295"/>
      <c r="F259" s="295"/>
      <c r="G259" s="295"/>
      <c r="H259" s="295"/>
      <c r="I259" s="296"/>
      <c r="J259" s="296"/>
      <c r="K259" s="296"/>
    </row>
    <row r="260" spans="1:11" x14ac:dyDescent="0.3">
      <c r="A260" s="293">
        <v>3</v>
      </c>
      <c r="B260" s="294" t="s">
        <v>14</v>
      </c>
      <c r="C260" s="295"/>
      <c r="D260" s="295"/>
      <c r="E260" s="295"/>
      <c r="F260" s="295"/>
      <c r="G260" s="295"/>
      <c r="H260" s="295"/>
      <c r="I260" s="296"/>
      <c r="J260" s="296"/>
      <c r="K260" s="296"/>
    </row>
    <row r="261" spans="1:11" x14ac:dyDescent="0.3">
      <c r="A261" s="293">
        <v>4</v>
      </c>
      <c r="B261" s="294" t="s">
        <v>15</v>
      </c>
      <c r="C261" s="295"/>
      <c r="D261" s="295"/>
      <c r="E261" s="295"/>
      <c r="F261" s="295"/>
      <c r="G261" s="295"/>
      <c r="H261" s="295"/>
      <c r="I261" s="296"/>
      <c r="J261" s="296"/>
      <c r="K261" s="296"/>
    </row>
    <row r="262" spans="1:11" x14ac:dyDescent="0.3">
      <c r="A262" s="293">
        <v>5</v>
      </c>
      <c r="B262" s="294" t="s">
        <v>16</v>
      </c>
      <c r="C262" s="295"/>
      <c r="D262" s="295"/>
      <c r="E262" s="295"/>
      <c r="F262" s="295"/>
      <c r="G262" s="295"/>
      <c r="H262" s="295"/>
      <c r="I262" s="296"/>
      <c r="J262" s="296"/>
      <c r="K262" s="296"/>
    </row>
    <row r="263" spans="1:11" x14ac:dyDescent="0.3">
      <c r="A263" s="293">
        <v>6</v>
      </c>
      <c r="B263" s="294" t="s">
        <v>17</v>
      </c>
      <c r="C263" s="295"/>
      <c r="D263" s="295"/>
      <c r="E263" s="295"/>
      <c r="F263" s="295"/>
      <c r="G263" s="295"/>
      <c r="H263" s="295"/>
      <c r="I263" s="296"/>
      <c r="J263" s="296"/>
      <c r="K263" s="296"/>
    </row>
    <row r="264" spans="1:11" x14ac:dyDescent="0.3">
      <c r="A264" s="293">
        <v>7</v>
      </c>
      <c r="B264" s="294" t="s">
        <v>18</v>
      </c>
      <c r="C264" s="295"/>
      <c r="D264" s="295"/>
      <c r="E264" s="295"/>
      <c r="F264" s="295"/>
      <c r="G264" s="295"/>
      <c r="H264" s="295"/>
      <c r="I264" s="296"/>
      <c r="J264" s="296"/>
      <c r="K264" s="296"/>
    </row>
    <row r="265" spans="1:11" x14ac:dyDescent="0.3">
      <c r="A265" s="293">
        <v>8</v>
      </c>
      <c r="B265" s="294" t="s">
        <v>19</v>
      </c>
      <c r="C265" s="295"/>
      <c r="D265" s="295"/>
      <c r="E265" s="295"/>
      <c r="F265" s="295"/>
      <c r="G265" s="295"/>
      <c r="H265" s="295"/>
      <c r="I265" s="296"/>
      <c r="J265" s="296"/>
      <c r="K265" s="296"/>
    </row>
    <row r="266" spans="1:11" x14ac:dyDescent="0.3">
      <c r="A266" s="293">
        <v>9</v>
      </c>
      <c r="B266" s="294" t="s">
        <v>20</v>
      </c>
      <c r="C266" s="295"/>
      <c r="D266" s="295"/>
      <c r="E266" s="295"/>
      <c r="F266" s="295"/>
      <c r="G266" s="295"/>
      <c r="H266" s="295"/>
      <c r="I266" s="296"/>
      <c r="J266" s="296"/>
      <c r="K266" s="296"/>
    </row>
    <row r="267" spans="1:11" x14ac:dyDescent="0.3">
      <c r="A267" s="293">
        <v>10</v>
      </c>
      <c r="B267" s="294" t="s">
        <v>21</v>
      </c>
      <c r="C267" s="295"/>
      <c r="D267" s="295"/>
      <c r="E267" s="295"/>
      <c r="F267" s="295"/>
      <c r="G267" s="295"/>
      <c r="H267" s="295"/>
      <c r="I267" s="296"/>
      <c r="J267" s="296"/>
      <c r="K267" s="296"/>
    </row>
    <row r="268" spans="1:11" x14ac:dyDescent="0.3">
      <c r="A268" s="293">
        <v>11</v>
      </c>
      <c r="B268" s="294" t="s">
        <v>796</v>
      </c>
      <c r="C268" s="295"/>
      <c r="D268" s="295"/>
      <c r="E268" s="295"/>
      <c r="F268" s="295"/>
      <c r="G268" s="295"/>
      <c r="H268" s="295"/>
      <c r="I268" s="296"/>
      <c r="J268" s="296"/>
      <c r="K268" s="296"/>
    </row>
    <row r="269" spans="1:11" x14ac:dyDescent="0.3">
      <c r="A269" s="293">
        <v>12</v>
      </c>
      <c r="B269" s="294" t="s">
        <v>22</v>
      </c>
      <c r="C269" s="295"/>
      <c r="D269" s="295"/>
      <c r="E269" s="295"/>
      <c r="F269" s="295"/>
      <c r="G269" s="295"/>
      <c r="H269" s="295"/>
      <c r="I269" s="296"/>
      <c r="J269" s="296"/>
      <c r="K269" s="296"/>
    </row>
    <row r="270" spans="1:11" x14ac:dyDescent="0.3">
      <c r="A270" s="293">
        <v>13</v>
      </c>
      <c r="B270" s="294" t="s">
        <v>1113</v>
      </c>
      <c r="C270" s="295"/>
      <c r="D270" s="295"/>
      <c r="E270" s="295"/>
      <c r="F270" s="295"/>
      <c r="G270" s="295"/>
      <c r="H270" s="295"/>
      <c r="I270" s="296"/>
      <c r="J270" s="296"/>
      <c r="K270" s="296"/>
    </row>
    <row r="271" spans="1:11" x14ac:dyDescent="0.3">
      <c r="A271" s="293">
        <v>14</v>
      </c>
      <c r="B271" s="294" t="s">
        <v>23</v>
      </c>
      <c r="C271" s="295"/>
      <c r="D271" s="295"/>
      <c r="E271" s="295"/>
      <c r="F271" s="295"/>
      <c r="G271" s="295"/>
      <c r="H271" s="295"/>
      <c r="I271" s="296"/>
      <c r="J271" s="296"/>
      <c r="K271" s="296"/>
    </row>
    <row r="272" spans="1:11" x14ac:dyDescent="0.3">
      <c r="A272" s="293">
        <v>15</v>
      </c>
      <c r="B272" s="294" t="s">
        <v>24</v>
      </c>
      <c r="C272" s="295"/>
      <c r="D272" s="295"/>
      <c r="E272" s="295"/>
      <c r="F272" s="295"/>
      <c r="G272" s="295"/>
      <c r="H272" s="295"/>
      <c r="I272" s="296"/>
      <c r="J272" s="296"/>
      <c r="K272" s="296"/>
    </row>
    <row r="273" spans="1:11" x14ac:dyDescent="0.3">
      <c r="A273" s="293">
        <v>16</v>
      </c>
      <c r="B273" s="294" t="s">
        <v>25</v>
      </c>
      <c r="C273" s="295"/>
      <c r="D273" s="295"/>
      <c r="E273" s="295"/>
      <c r="F273" s="295"/>
      <c r="G273" s="295"/>
      <c r="H273" s="295"/>
      <c r="I273" s="296"/>
      <c r="J273" s="296"/>
      <c r="K273" s="296"/>
    </row>
    <row r="274" spans="1:11" x14ac:dyDescent="0.3">
      <c r="A274" s="293">
        <v>17</v>
      </c>
      <c r="B274" s="294" t="s">
        <v>26</v>
      </c>
      <c r="C274" s="295"/>
      <c r="D274" s="295"/>
      <c r="E274" s="295"/>
      <c r="F274" s="295"/>
      <c r="G274" s="295"/>
      <c r="H274" s="295"/>
      <c r="I274" s="295"/>
      <c r="J274" s="295"/>
      <c r="K274" s="295"/>
    </row>
    <row r="275" spans="1:11" x14ac:dyDescent="0.3">
      <c r="A275" s="293">
        <v>18</v>
      </c>
      <c r="B275" s="294" t="s">
        <v>70</v>
      </c>
      <c r="C275" s="295"/>
      <c r="D275" s="295"/>
      <c r="E275" s="295"/>
      <c r="F275" s="295"/>
      <c r="G275" s="295"/>
      <c r="H275" s="295"/>
      <c r="I275" s="296"/>
      <c r="J275" s="296"/>
      <c r="K275" s="296"/>
    </row>
    <row r="276" spans="1:11" x14ac:dyDescent="0.3">
      <c r="A276" s="293">
        <v>19</v>
      </c>
      <c r="B276" s="294" t="s">
        <v>27</v>
      </c>
      <c r="C276" s="295"/>
      <c r="D276" s="295"/>
      <c r="E276" s="295"/>
      <c r="F276" s="295"/>
      <c r="G276" s="295"/>
      <c r="H276" s="295"/>
      <c r="I276" s="295"/>
      <c r="J276" s="295"/>
      <c r="K276" s="295"/>
    </row>
    <row r="277" spans="1:11" x14ac:dyDescent="0.3">
      <c r="A277" s="293">
        <v>20</v>
      </c>
      <c r="B277" s="294" t="s">
        <v>71</v>
      </c>
      <c r="C277" s="295"/>
      <c r="D277" s="295"/>
      <c r="E277" s="295"/>
      <c r="F277" s="295"/>
      <c r="G277" s="295"/>
      <c r="H277" s="295"/>
      <c r="I277" s="295"/>
      <c r="J277" s="295"/>
      <c r="K277" s="295"/>
    </row>
    <row r="278" spans="1:11" x14ac:dyDescent="0.3">
      <c r="A278" s="293">
        <v>21</v>
      </c>
      <c r="B278" s="294" t="s">
        <v>1082</v>
      </c>
      <c r="C278" s="295"/>
      <c r="D278" s="295"/>
      <c r="E278" s="295"/>
      <c r="F278" s="295"/>
      <c r="G278" s="295"/>
      <c r="H278" s="295"/>
      <c r="I278" s="296"/>
      <c r="J278" s="296"/>
      <c r="K278" s="296"/>
    </row>
    <row r="279" spans="1:11" x14ac:dyDescent="0.3">
      <c r="A279" s="293">
        <v>22</v>
      </c>
      <c r="B279" s="294" t="s">
        <v>28</v>
      </c>
      <c r="C279" s="295"/>
      <c r="D279" s="295"/>
      <c r="E279" s="295"/>
      <c r="F279" s="295"/>
      <c r="G279" s="295"/>
      <c r="H279" s="295"/>
      <c r="I279" s="296"/>
      <c r="J279" s="296"/>
      <c r="K279" s="296"/>
    </row>
    <row r="280" spans="1:11" x14ac:dyDescent="0.3">
      <c r="A280" s="293">
        <v>23</v>
      </c>
      <c r="B280" s="294" t="s">
        <v>29</v>
      </c>
      <c r="C280" s="295"/>
      <c r="D280" s="295"/>
      <c r="E280" s="295"/>
      <c r="F280" s="295"/>
      <c r="G280" s="295"/>
      <c r="H280" s="295"/>
      <c r="I280" s="296"/>
      <c r="J280" s="296"/>
      <c r="K280" s="296"/>
    </row>
    <row r="281" spans="1:11" x14ac:dyDescent="0.3">
      <c r="A281" s="293">
        <v>24</v>
      </c>
      <c r="B281" s="294" t="s">
        <v>30</v>
      </c>
      <c r="C281" s="295"/>
      <c r="D281" s="295"/>
      <c r="E281" s="295"/>
      <c r="F281" s="295"/>
      <c r="G281" s="295"/>
      <c r="H281" s="295"/>
      <c r="I281" s="296"/>
      <c r="J281" s="296"/>
      <c r="K281" s="296"/>
    </row>
    <row r="282" spans="1:11" x14ac:dyDescent="0.3">
      <c r="A282" s="293">
        <v>25</v>
      </c>
      <c r="B282" s="294" t="s">
        <v>31</v>
      </c>
      <c r="C282" s="295"/>
      <c r="D282" s="295"/>
      <c r="E282" s="295"/>
      <c r="F282" s="295"/>
      <c r="G282" s="295"/>
      <c r="H282" s="295"/>
      <c r="I282" s="295"/>
      <c r="J282" s="295"/>
      <c r="K282" s="295"/>
    </row>
    <row r="283" spans="1:11" x14ac:dyDescent="0.3">
      <c r="A283" s="293">
        <v>26</v>
      </c>
      <c r="B283" s="294" t="s">
        <v>32</v>
      </c>
      <c r="C283" s="295"/>
      <c r="D283" s="295"/>
      <c r="E283" s="295"/>
      <c r="F283" s="295"/>
      <c r="G283" s="295"/>
      <c r="H283" s="295"/>
      <c r="I283" s="295"/>
      <c r="J283" s="295"/>
      <c r="K283" s="295"/>
    </row>
    <row r="284" spans="1:11" x14ac:dyDescent="0.3">
      <c r="A284" s="293">
        <v>27</v>
      </c>
      <c r="B284" s="294" t="s">
        <v>33</v>
      </c>
      <c r="C284" s="295"/>
      <c r="D284" s="295"/>
      <c r="E284" s="295"/>
      <c r="F284" s="295"/>
      <c r="G284" s="295"/>
      <c r="H284" s="295"/>
      <c r="I284" s="296"/>
      <c r="J284" s="296"/>
      <c r="K284" s="296"/>
    </row>
    <row r="285" spans="1:11" x14ac:dyDescent="0.3">
      <c r="A285" s="293">
        <v>28</v>
      </c>
      <c r="B285" s="294" t="s">
        <v>34</v>
      </c>
      <c r="C285" s="295"/>
      <c r="D285" s="295"/>
      <c r="E285" s="295"/>
      <c r="F285" s="295"/>
      <c r="G285" s="295"/>
      <c r="H285" s="295"/>
      <c r="I285" s="296"/>
      <c r="J285" s="296"/>
      <c r="K285" s="296"/>
    </row>
    <row r="286" spans="1:11" x14ac:dyDescent="0.3">
      <c r="A286" s="293">
        <v>29</v>
      </c>
      <c r="B286" s="294" t="s">
        <v>35</v>
      </c>
      <c r="C286" s="295"/>
      <c r="D286" s="295"/>
      <c r="E286" s="295"/>
      <c r="F286" s="295"/>
      <c r="G286" s="295"/>
      <c r="H286" s="295"/>
      <c r="I286" s="296"/>
      <c r="J286" s="296"/>
      <c r="K286" s="296"/>
    </row>
    <row r="287" spans="1:11" x14ac:dyDescent="0.3">
      <c r="A287" s="293">
        <v>30</v>
      </c>
      <c r="B287" s="294" t="s">
        <v>36</v>
      </c>
      <c r="C287" s="295"/>
      <c r="D287" s="295"/>
      <c r="E287" s="295"/>
      <c r="F287" s="295"/>
      <c r="G287" s="295"/>
      <c r="H287" s="295"/>
      <c r="I287" s="296"/>
      <c r="J287" s="296"/>
      <c r="K287" s="296"/>
    </row>
    <row r="288" spans="1:11" x14ac:dyDescent="0.3">
      <c r="A288" s="293">
        <v>31</v>
      </c>
      <c r="B288" s="294" t="s">
        <v>37</v>
      </c>
      <c r="C288" s="295"/>
      <c r="D288" s="295"/>
      <c r="E288" s="295"/>
      <c r="F288" s="295"/>
      <c r="G288" s="295"/>
      <c r="H288" s="295"/>
      <c r="I288" s="295"/>
      <c r="J288" s="295"/>
      <c r="K288" s="295"/>
    </row>
    <row r="289" spans="1:11" x14ac:dyDescent="0.3">
      <c r="A289" s="293">
        <v>32</v>
      </c>
      <c r="B289" s="294" t="s">
        <v>38</v>
      </c>
      <c r="C289" s="295"/>
      <c r="D289" s="295"/>
      <c r="E289" s="295"/>
      <c r="F289" s="295"/>
      <c r="G289" s="295"/>
      <c r="H289" s="295"/>
      <c r="I289" s="296"/>
      <c r="J289" s="296"/>
      <c r="K289" s="296"/>
    </row>
    <row r="290" spans="1:11" x14ac:dyDescent="0.3">
      <c r="A290" s="293">
        <v>33</v>
      </c>
      <c r="B290" s="294" t="s">
        <v>39</v>
      </c>
      <c r="C290" s="295"/>
      <c r="D290" s="295"/>
      <c r="E290" s="295"/>
      <c r="F290" s="295"/>
      <c r="G290" s="295"/>
      <c r="H290" s="295"/>
      <c r="I290" s="295"/>
      <c r="J290" s="295"/>
      <c r="K290" s="295"/>
    </row>
    <row r="291" spans="1:11" x14ac:dyDescent="0.3">
      <c r="A291" s="293">
        <v>34</v>
      </c>
      <c r="B291" s="294" t="s">
        <v>1114</v>
      </c>
      <c r="C291" s="295"/>
      <c r="D291" s="295"/>
      <c r="E291" s="295"/>
      <c r="F291" s="295"/>
      <c r="G291" s="295"/>
      <c r="H291" s="295"/>
      <c r="I291" s="296"/>
      <c r="J291" s="296"/>
      <c r="K291" s="296"/>
    </row>
    <row r="292" spans="1:11" x14ac:dyDescent="0.3">
      <c r="A292" s="293">
        <v>35</v>
      </c>
      <c r="B292" s="294" t="s">
        <v>40</v>
      </c>
      <c r="C292" s="295"/>
      <c r="D292" s="295"/>
      <c r="E292" s="295"/>
      <c r="F292" s="295"/>
      <c r="G292" s="295"/>
      <c r="H292" s="295"/>
      <c r="I292" s="296"/>
      <c r="J292" s="296"/>
      <c r="K292" s="296"/>
    </row>
    <row r="293" spans="1:11" x14ac:dyDescent="0.3">
      <c r="A293" s="293">
        <v>36</v>
      </c>
      <c r="B293" s="224"/>
      <c r="C293" s="224"/>
      <c r="D293" s="224"/>
      <c r="E293" s="224"/>
      <c r="F293" s="224"/>
      <c r="G293" s="224"/>
      <c r="H293" s="224"/>
      <c r="I293" s="224"/>
      <c r="J293" s="224"/>
      <c r="K293" s="224"/>
    </row>
    <row r="294" spans="1:11" x14ac:dyDescent="0.3">
      <c r="A294" s="293">
        <v>37</v>
      </c>
      <c r="B294" s="224"/>
      <c r="C294" s="224"/>
      <c r="D294" s="224"/>
      <c r="E294" s="224"/>
      <c r="F294" s="224"/>
      <c r="G294" s="224"/>
      <c r="H294" s="224"/>
      <c r="I294" s="224"/>
      <c r="J294" s="224"/>
      <c r="K294" s="224"/>
    </row>
    <row r="295" spans="1:11" x14ac:dyDescent="0.3">
      <c r="A295" s="293">
        <v>38</v>
      </c>
      <c r="B295" s="224"/>
      <c r="C295" s="224"/>
      <c r="D295" s="224"/>
      <c r="E295" s="224"/>
      <c r="F295" s="224"/>
      <c r="G295" s="224"/>
      <c r="H295" s="224"/>
      <c r="I295" s="224"/>
      <c r="J295" s="224"/>
      <c r="K295" s="224"/>
    </row>
    <row r="296" spans="1:11" x14ac:dyDescent="0.3">
      <c r="A296" s="293">
        <v>39</v>
      </c>
      <c r="B296" s="224"/>
      <c r="C296" s="224"/>
      <c r="D296" s="224"/>
      <c r="E296" s="224"/>
      <c r="F296" s="224"/>
      <c r="G296" s="224"/>
      <c r="H296" s="224"/>
      <c r="I296" s="224"/>
      <c r="J296" s="224"/>
      <c r="K296" s="224"/>
    </row>
    <row r="297" spans="1:11" x14ac:dyDescent="0.3">
      <c r="A297" s="293">
        <v>40</v>
      </c>
      <c r="B297" s="224"/>
      <c r="C297" s="224"/>
      <c r="D297" s="224"/>
      <c r="E297" s="224"/>
      <c r="F297" s="224"/>
      <c r="G297" s="224"/>
      <c r="H297" s="224"/>
      <c r="I297" s="224"/>
      <c r="J297" s="224"/>
      <c r="K297" s="224"/>
    </row>
    <row r="298" spans="1:11" x14ac:dyDescent="0.3">
      <c r="A298" s="293">
        <v>41</v>
      </c>
      <c r="B298" s="224"/>
      <c r="C298" s="224"/>
      <c r="D298" s="224"/>
      <c r="E298" s="224"/>
      <c r="F298" s="224"/>
      <c r="G298" s="224"/>
      <c r="H298" s="224"/>
      <c r="I298" s="224"/>
      <c r="J298" s="224"/>
      <c r="K298" s="224"/>
    </row>
    <row r="299" spans="1:11" x14ac:dyDescent="0.3">
      <c r="A299" s="224"/>
      <c r="B299" s="224"/>
      <c r="C299" s="224"/>
      <c r="D299" s="224"/>
      <c r="E299" s="224"/>
      <c r="F299" s="224"/>
      <c r="G299" s="224"/>
      <c r="H299" s="224"/>
      <c r="I299" s="224"/>
      <c r="J299" s="224"/>
      <c r="K299" s="224"/>
    </row>
    <row r="300" spans="1:11" x14ac:dyDescent="0.3">
      <c r="A300" s="224"/>
      <c r="B300" s="291">
        <v>42583</v>
      </c>
      <c r="C300" s="292" t="s">
        <v>2</v>
      </c>
      <c r="D300" s="292" t="s">
        <v>3</v>
      </c>
      <c r="E300" s="292" t="s">
        <v>4</v>
      </c>
      <c r="F300" s="292" t="s">
        <v>806</v>
      </c>
      <c r="G300" s="292" t="s">
        <v>5</v>
      </c>
      <c r="H300" s="292" t="s">
        <v>559</v>
      </c>
      <c r="I300" s="292" t="s">
        <v>560</v>
      </c>
      <c r="J300" s="292" t="s">
        <v>569</v>
      </c>
      <c r="K300" s="292" t="s">
        <v>570</v>
      </c>
    </row>
    <row r="301" spans="1:11" x14ac:dyDescent="0.3">
      <c r="A301" s="293">
        <v>2</v>
      </c>
      <c r="B301" s="294" t="s">
        <v>13</v>
      </c>
      <c r="C301" s="295"/>
      <c r="D301" s="295"/>
      <c r="E301" s="295"/>
      <c r="F301" s="295"/>
      <c r="G301" s="295"/>
      <c r="H301" s="295"/>
      <c r="I301" s="296"/>
      <c r="J301" s="296"/>
      <c r="K301" s="296"/>
    </row>
    <row r="302" spans="1:11" x14ac:dyDescent="0.3">
      <c r="A302" s="293">
        <v>3</v>
      </c>
      <c r="B302" s="294" t="s">
        <v>14</v>
      </c>
      <c r="C302" s="295"/>
      <c r="D302" s="295"/>
      <c r="E302" s="295"/>
      <c r="F302" s="295"/>
      <c r="G302" s="295"/>
      <c r="H302" s="295"/>
      <c r="I302" s="296"/>
      <c r="J302" s="296"/>
      <c r="K302" s="296"/>
    </row>
    <row r="303" spans="1:11" x14ac:dyDescent="0.3">
      <c r="A303" s="293">
        <v>4</v>
      </c>
      <c r="B303" s="294" t="s">
        <v>15</v>
      </c>
      <c r="C303" s="295"/>
      <c r="D303" s="295"/>
      <c r="E303" s="295"/>
      <c r="F303" s="295"/>
      <c r="G303" s="295"/>
      <c r="H303" s="295"/>
      <c r="I303" s="296"/>
      <c r="J303" s="296"/>
      <c r="K303" s="296"/>
    </row>
    <row r="304" spans="1:11" x14ac:dyDescent="0.3">
      <c r="A304" s="293">
        <v>5</v>
      </c>
      <c r="B304" s="294" t="s">
        <v>16</v>
      </c>
      <c r="C304" s="295"/>
      <c r="D304" s="295"/>
      <c r="E304" s="295"/>
      <c r="F304" s="295"/>
      <c r="G304" s="295"/>
      <c r="H304" s="295"/>
      <c r="I304" s="296"/>
      <c r="J304" s="296"/>
      <c r="K304" s="296"/>
    </row>
    <row r="305" spans="1:11" x14ac:dyDescent="0.3">
      <c r="A305" s="293">
        <v>6</v>
      </c>
      <c r="B305" s="294" t="s">
        <v>17</v>
      </c>
      <c r="C305" s="295"/>
      <c r="D305" s="295"/>
      <c r="E305" s="295"/>
      <c r="F305" s="295"/>
      <c r="G305" s="295"/>
      <c r="H305" s="295"/>
      <c r="I305" s="296"/>
      <c r="J305" s="296"/>
      <c r="K305" s="296"/>
    </row>
    <row r="306" spans="1:11" x14ac:dyDescent="0.3">
      <c r="A306" s="293">
        <v>7</v>
      </c>
      <c r="B306" s="294" t="s">
        <v>18</v>
      </c>
      <c r="C306" s="295"/>
      <c r="D306" s="295"/>
      <c r="E306" s="295"/>
      <c r="F306" s="295"/>
      <c r="G306" s="295"/>
      <c r="H306" s="295"/>
      <c r="I306" s="296"/>
      <c r="J306" s="296"/>
      <c r="K306" s="296"/>
    </row>
    <row r="307" spans="1:11" x14ac:dyDescent="0.3">
      <c r="A307" s="293">
        <v>8</v>
      </c>
      <c r="B307" s="294" t="s">
        <v>19</v>
      </c>
      <c r="C307" s="295"/>
      <c r="D307" s="295"/>
      <c r="E307" s="295"/>
      <c r="F307" s="295"/>
      <c r="G307" s="295"/>
      <c r="H307" s="295"/>
      <c r="I307" s="296"/>
      <c r="J307" s="296"/>
      <c r="K307" s="296"/>
    </row>
    <row r="308" spans="1:11" x14ac:dyDescent="0.3">
      <c r="A308" s="293">
        <v>9</v>
      </c>
      <c r="B308" s="294" t="s">
        <v>20</v>
      </c>
      <c r="C308" s="295"/>
      <c r="D308" s="295"/>
      <c r="E308" s="295"/>
      <c r="F308" s="295"/>
      <c r="G308" s="295"/>
      <c r="H308" s="295"/>
      <c r="I308" s="296"/>
      <c r="J308" s="296"/>
      <c r="K308" s="296"/>
    </row>
    <row r="309" spans="1:11" x14ac:dyDescent="0.3">
      <c r="A309" s="293">
        <v>10</v>
      </c>
      <c r="B309" s="294" t="s">
        <v>21</v>
      </c>
      <c r="C309" s="295"/>
      <c r="D309" s="295"/>
      <c r="E309" s="295"/>
      <c r="F309" s="295"/>
      <c r="G309" s="295"/>
      <c r="H309" s="295"/>
      <c r="I309" s="296"/>
      <c r="J309" s="296"/>
      <c r="K309" s="296"/>
    </row>
    <row r="310" spans="1:11" x14ac:dyDescent="0.3">
      <c r="A310" s="293">
        <v>11</v>
      </c>
      <c r="B310" s="294" t="s">
        <v>796</v>
      </c>
      <c r="C310" s="295"/>
      <c r="D310" s="295"/>
      <c r="E310" s="295"/>
      <c r="F310" s="295"/>
      <c r="G310" s="295"/>
      <c r="H310" s="295"/>
      <c r="I310" s="296"/>
      <c r="J310" s="296"/>
      <c r="K310" s="296"/>
    </row>
    <row r="311" spans="1:11" x14ac:dyDescent="0.3">
      <c r="A311" s="293">
        <v>12</v>
      </c>
      <c r="B311" s="294" t="s">
        <v>22</v>
      </c>
      <c r="C311" s="295"/>
      <c r="D311" s="295"/>
      <c r="E311" s="295"/>
      <c r="F311" s="295"/>
      <c r="G311" s="295"/>
      <c r="H311" s="295"/>
      <c r="I311" s="296"/>
      <c r="J311" s="296"/>
      <c r="K311" s="296"/>
    </row>
    <row r="312" spans="1:11" x14ac:dyDescent="0.3">
      <c r="A312" s="293">
        <v>13</v>
      </c>
      <c r="B312" s="294" t="s">
        <v>1113</v>
      </c>
      <c r="C312" s="295"/>
      <c r="D312" s="295"/>
      <c r="E312" s="295"/>
      <c r="F312" s="295"/>
      <c r="G312" s="295"/>
      <c r="H312" s="295"/>
      <c r="I312" s="296"/>
      <c r="J312" s="296"/>
      <c r="K312" s="296"/>
    </row>
    <row r="313" spans="1:11" x14ac:dyDescent="0.3">
      <c r="A313" s="293">
        <v>14</v>
      </c>
      <c r="B313" s="294" t="s">
        <v>23</v>
      </c>
      <c r="C313" s="295"/>
      <c r="D313" s="295"/>
      <c r="E313" s="295"/>
      <c r="F313" s="295"/>
      <c r="G313" s="295"/>
      <c r="H313" s="295"/>
      <c r="I313" s="296"/>
      <c r="J313" s="296"/>
      <c r="K313" s="296"/>
    </row>
    <row r="314" spans="1:11" x14ac:dyDescent="0.3">
      <c r="A314" s="293">
        <v>15</v>
      </c>
      <c r="B314" s="294" t="s">
        <v>24</v>
      </c>
      <c r="C314" s="295"/>
      <c r="D314" s="295"/>
      <c r="E314" s="295"/>
      <c r="F314" s="295"/>
      <c r="G314" s="295"/>
      <c r="H314" s="295"/>
      <c r="I314" s="296"/>
      <c r="J314" s="296"/>
      <c r="K314" s="296"/>
    </row>
    <row r="315" spans="1:11" x14ac:dyDescent="0.3">
      <c r="A315" s="293">
        <v>16</v>
      </c>
      <c r="B315" s="294" t="s">
        <v>25</v>
      </c>
      <c r="C315" s="295"/>
      <c r="D315" s="295"/>
      <c r="E315" s="295"/>
      <c r="F315" s="295"/>
      <c r="G315" s="295"/>
      <c r="H315" s="295"/>
      <c r="I315" s="296"/>
      <c r="J315" s="296"/>
      <c r="K315" s="296"/>
    </row>
    <row r="316" spans="1:11" x14ac:dyDescent="0.3">
      <c r="A316" s="293">
        <v>17</v>
      </c>
      <c r="B316" s="294" t="s">
        <v>26</v>
      </c>
      <c r="C316" s="295"/>
      <c r="D316" s="295"/>
      <c r="E316" s="295"/>
      <c r="F316" s="295"/>
      <c r="G316" s="295"/>
      <c r="H316" s="295"/>
      <c r="I316" s="295"/>
      <c r="J316" s="295"/>
      <c r="K316" s="295"/>
    </row>
    <row r="317" spans="1:11" x14ac:dyDescent="0.3">
      <c r="A317" s="293">
        <v>18</v>
      </c>
      <c r="B317" s="294" t="s">
        <v>70</v>
      </c>
      <c r="C317" s="295"/>
      <c r="D317" s="295"/>
      <c r="E317" s="295"/>
      <c r="F317" s="295"/>
      <c r="G317" s="295"/>
      <c r="H317" s="295"/>
      <c r="I317" s="296"/>
      <c r="J317" s="296"/>
      <c r="K317" s="296"/>
    </row>
    <row r="318" spans="1:11" x14ac:dyDescent="0.3">
      <c r="A318" s="293">
        <v>19</v>
      </c>
      <c r="B318" s="294" t="s">
        <v>27</v>
      </c>
      <c r="C318" s="295"/>
      <c r="D318" s="295"/>
      <c r="E318" s="295"/>
      <c r="F318" s="295"/>
      <c r="G318" s="295"/>
      <c r="H318" s="295"/>
      <c r="I318" s="295"/>
      <c r="J318" s="295"/>
      <c r="K318" s="295"/>
    </row>
    <row r="319" spans="1:11" x14ac:dyDescent="0.3">
      <c r="A319" s="293">
        <v>20</v>
      </c>
      <c r="B319" s="294" t="s">
        <v>71</v>
      </c>
      <c r="C319" s="295"/>
      <c r="D319" s="295"/>
      <c r="E319" s="295"/>
      <c r="F319" s="295"/>
      <c r="G319" s="295"/>
      <c r="H319" s="295"/>
      <c r="I319" s="295"/>
      <c r="J319" s="295"/>
      <c r="K319" s="295"/>
    </row>
    <row r="320" spans="1:11" x14ac:dyDescent="0.3">
      <c r="A320" s="293">
        <v>21</v>
      </c>
      <c r="B320" s="294" t="s">
        <v>1082</v>
      </c>
      <c r="C320" s="295"/>
      <c r="D320" s="295"/>
      <c r="E320" s="295"/>
      <c r="F320" s="295"/>
      <c r="G320" s="295"/>
      <c r="H320" s="295"/>
      <c r="I320" s="296"/>
      <c r="J320" s="296"/>
      <c r="K320" s="296"/>
    </row>
    <row r="321" spans="1:11" x14ac:dyDescent="0.3">
      <c r="A321" s="293">
        <v>22</v>
      </c>
      <c r="B321" s="294" t="s">
        <v>28</v>
      </c>
      <c r="C321" s="295"/>
      <c r="D321" s="295"/>
      <c r="E321" s="295"/>
      <c r="F321" s="295"/>
      <c r="G321" s="295"/>
      <c r="H321" s="295"/>
      <c r="I321" s="296"/>
      <c r="J321" s="296"/>
      <c r="K321" s="296"/>
    </row>
    <row r="322" spans="1:11" x14ac:dyDescent="0.3">
      <c r="A322" s="293">
        <v>23</v>
      </c>
      <c r="B322" s="294" t="s">
        <v>29</v>
      </c>
      <c r="C322" s="295"/>
      <c r="D322" s="295"/>
      <c r="E322" s="295"/>
      <c r="F322" s="295"/>
      <c r="G322" s="295"/>
      <c r="H322" s="295"/>
      <c r="I322" s="296"/>
      <c r="J322" s="296"/>
      <c r="K322" s="296"/>
    </row>
    <row r="323" spans="1:11" x14ac:dyDescent="0.3">
      <c r="A323" s="293">
        <v>24</v>
      </c>
      <c r="B323" s="294" t="s">
        <v>30</v>
      </c>
      <c r="C323" s="295"/>
      <c r="D323" s="295"/>
      <c r="E323" s="295"/>
      <c r="F323" s="295"/>
      <c r="G323" s="295"/>
      <c r="H323" s="295"/>
      <c r="I323" s="296"/>
      <c r="J323" s="296"/>
      <c r="K323" s="296"/>
    </row>
    <row r="324" spans="1:11" x14ac:dyDescent="0.3">
      <c r="A324" s="293">
        <v>25</v>
      </c>
      <c r="B324" s="294" t="s">
        <v>31</v>
      </c>
      <c r="C324" s="295"/>
      <c r="D324" s="295"/>
      <c r="E324" s="295"/>
      <c r="F324" s="295"/>
      <c r="G324" s="295"/>
      <c r="H324" s="295"/>
      <c r="I324" s="295"/>
      <c r="J324" s="295"/>
      <c r="K324" s="295"/>
    </row>
    <row r="325" spans="1:11" x14ac:dyDescent="0.3">
      <c r="A325" s="293">
        <v>26</v>
      </c>
      <c r="B325" s="294" t="s">
        <v>32</v>
      </c>
      <c r="C325" s="295"/>
      <c r="D325" s="295"/>
      <c r="E325" s="295"/>
      <c r="F325" s="295"/>
      <c r="G325" s="295"/>
      <c r="H325" s="295"/>
      <c r="I325" s="295"/>
      <c r="J325" s="295"/>
      <c r="K325" s="295"/>
    </row>
    <row r="326" spans="1:11" x14ac:dyDescent="0.3">
      <c r="A326" s="293">
        <v>27</v>
      </c>
      <c r="B326" s="294" t="s">
        <v>33</v>
      </c>
      <c r="C326" s="295"/>
      <c r="D326" s="295"/>
      <c r="E326" s="295"/>
      <c r="F326" s="295"/>
      <c r="G326" s="295"/>
      <c r="H326" s="295"/>
      <c r="I326" s="296"/>
      <c r="J326" s="296"/>
      <c r="K326" s="296"/>
    </row>
    <row r="327" spans="1:11" x14ac:dyDescent="0.3">
      <c r="A327" s="293">
        <v>28</v>
      </c>
      <c r="B327" s="294" t="s">
        <v>34</v>
      </c>
      <c r="C327" s="295"/>
      <c r="D327" s="295"/>
      <c r="E327" s="295"/>
      <c r="F327" s="295"/>
      <c r="G327" s="295"/>
      <c r="H327" s="295"/>
      <c r="I327" s="296"/>
      <c r="J327" s="296"/>
      <c r="K327" s="296"/>
    </row>
    <row r="328" spans="1:11" x14ac:dyDescent="0.3">
      <c r="A328" s="293">
        <v>29</v>
      </c>
      <c r="B328" s="294" t="s">
        <v>35</v>
      </c>
      <c r="C328" s="295"/>
      <c r="D328" s="295"/>
      <c r="E328" s="295"/>
      <c r="F328" s="295"/>
      <c r="G328" s="295"/>
      <c r="H328" s="295"/>
      <c r="I328" s="296"/>
      <c r="J328" s="296"/>
      <c r="K328" s="296"/>
    </row>
    <row r="329" spans="1:11" x14ac:dyDescent="0.3">
      <c r="A329" s="293">
        <v>30</v>
      </c>
      <c r="B329" s="294" t="s">
        <v>36</v>
      </c>
      <c r="C329" s="295"/>
      <c r="D329" s="295"/>
      <c r="E329" s="295"/>
      <c r="F329" s="295"/>
      <c r="G329" s="295"/>
      <c r="H329" s="295"/>
      <c r="I329" s="296"/>
      <c r="J329" s="296"/>
      <c r="K329" s="296"/>
    </row>
    <row r="330" spans="1:11" x14ac:dyDescent="0.3">
      <c r="A330" s="293">
        <v>31</v>
      </c>
      <c r="B330" s="294" t="s">
        <v>37</v>
      </c>
      <c r="C330" s="295"/>
      <c r="D330" s="295"/>
      <c r="E330" s="295"/>
      <c r="F330" s="295"/>
      <c r="G330" s="295"/>
      <c r="H330" s="295"/>
      <c r="I330" s="295"/>
      <c r="J330" s="295"/>
      <c r="K330" s="295"/>
    </row>
    <row r="331" spans="1:11" x14ac:dyDescent="0.3">
      <c r="A331" s="293">
        <v>32</v>
      </c>
      <c r="B331" s="294" t="s">
        <v>38</v>
      </c>
      <c r="C331" s="295"/>
      <c r="D331" s="295"/>
      <c r="E331" s="295"/>
      <c r="F331" s="295"/>
      <c r="G331" s="295"/>
      <c r="H331" s="295"/>
      <c r="I331" s="296"/>
      <c r="J331" s="296"/>
      <c r="K331" s="296"/>
    </row>
    <row r="332" spans="1:11" x14ac:dyDescent="0.3">
      <c r="A332" s="293">
        <v>33</v>
      </c>
      <c r="B332" s="294" t="s">
        <v>39</v>
      </c>
      <c r="C332" s="295"/>
      <c r="D332" s="295"/>
      <c r="E332" s="295"/>
      <c r="F332" s="295"/>
      <c r="G332" s="295"/>
      <c r="H332" s="295"/>
      <c r="I332" s="295"/>
      <c r="J332" s="295"/>
      <c r="K332" s="295"/>
    </row>
    <row r="333" spans="1:11" x14ac:dyDescent="0.3">
      <c r="A333" s="293">
        <v>34</v>
      </c>
      <c r="B333" s="294" t="s">
        <v>1114</v>
      </c>
      <c r="C333" s="295"/>
      <c r="D333" s="295"/>
      <c r="E333" s="295"/>
      <c r="F333" s="295"/>
      <c r="G333" s="295"/>
      <c r="H333" s="295"/>
      <c r="I333" s="296"/>
      <c r="J333" s="296"/>
      <c r="K333" s="296"/>
    </row>
    <row r="334" spans="1:11" x14ac:dyDescent="0.3">
      <c r="A334" s="293">
        <v>35</v>
      </c>
      <c r="B334" s="294" t="s">
        <v>40</v>
      </c>
      <c r="C334" s="295"/>
      <c r="D334" s="295"/>
      <c r="E334" s="295"/>
      <c r="F334" s="295"/>
      <c r="G334" s="295"/>
      <c r="H334" s="295"/>
      <c r="I334" s="296"/>
      <c r="J334" s="296"/>
      <c r="K334" s="296"/>
    </row>
    <row r="335" spans="1:11" x14ac:dyDescent="0.3">
      <c r="A335" s="293">
        <v>36</v>
      </c>
      <c r="B335" s="224"/>
      <c r="C335" s="224"/>
      <c r="D335" s="224"/>
      <c r="E335" s="224"/>
      <c r="F335" s="224"/>
      <c r="G335" s="224"/>
      <c r="H335" s="224"/>
      <c r="I335" s="224"/>
      <c r="J335" s="224"/>
      <c r="K335" s="224"/>
    </row>
    <row r="336" spans="1:11" x14ac:dyDescent="0.3">
      <c r="A336" s="293">
        <v>37</v>
      </c>
      <c r="B336" s="224"/>
      <c r="C336" s="224"/>
      <c r="D336" s="224"/>
      <c r="E336" s="224"/>
      <c r="F336" s="224"/>
      <c r="G336" s="224"/>
      <c r="H336" s="224"/>
      <c r="I336" s="224"/>
      <c r="J336" s="224"/>
      <c r="K336" s="224"/>
    </row>
    <row r="337" spans="1:11" x14ac:dyDescent="0.3">
      <c r="A337" s="293">
        <v>38</v>
      </c>
      <c r="B337" s="224"/>
      <c r="C337" s="224"/>
      <c r="D337" s="224"/>
      <c r="E337" s="224"/>
      <c r="F337" s="224"/>
      <c r="G337" s="224"/>
      <c r="H337" s="224"/>
      <c r="I337" s="224"/>
      <c r="J337" s="224"/>
      <c r="K337" s="224"/>
    </row>
    <row r="338" spans="1:11" x14ac:dyDescent="0.3">
      <c r="A338" s="293">
        <v>39</v>
      </c>
      <c r="B338" s="224"/>
      <c r="C338" s="224"/>
      <c r="D338" s="224"/>
      <c r="E338" s="224"/>
      <c r="F338" s="224"/>
      <c r="G338" s="224"/>
      <c r="H338" s="224"/>
      <c r="I338" s="224"/>
      <c r="J338" s="224"/>
      <c r="K338" s="224"/>
    </row>
    <row r="339" spans="1:11" x14ac:dyDescent="0.3">
      <c r="A339" s="293">
        <v>40</v>
      </c>
      <c r="B339" s="224"/>
      <c r="C339" s="224"/>
      <c r="D339" s="224"/>
      <c r="E339" s="224"/>
      <c r="F339" s="224"/>
      <c r="G339" s="224"/>
      <c r="H339" s="224"/>
      <c r="I339" s="224"/>
      <c r="J339" s="224"/>
      <c r="K339" s="224"/>
    </row>
    <row r="340" spans="1:11" x14ac:dyDescent="0.3">
      <c r="A340" s="293">
        <v>41</v>
      </c>
      <c r="B340" s="224"/>
      <c r="C340" s="224"/>
      <c r="D340" s="224"/>
      <c r="E340" s="224"/>
      <c r="F340" s="224"/>
      <c r="G340" s="224"/>
      <c r="H340" s="224"/>
      <c r="I340" s="224"/>
      <c r="J340" s="224"/>
      <c r="K340" s="224"/>
    </row>
    <row r="341" spans="1:11" x14ac:dyDescent="0.3">
      <c r="A341" s="224"/>
      <c r="B341" s="224"/>
      <c r="C341" s="224"/>
      <c r="D341" s="224"/>
      <c r="E341" s="224"/>
      <c r="F341" s="224"/>
      <c r="G341" s="224"/>
      <c r="H341" s="224"/>
      <c r="I341" s="224"/>
      <c r="J341" s="224"/>
      <c r="K341" s="224"/>
    </row>
    <row r="342" spans="1:11" x14ac:dyDescent="0.3">
      <c r="A342" s="224"/>
      <c r="B342" s="291">
        <v>42614</v>
      </c>
      <c r="C342" s="292" t="s">
        <v>2</v>
      </c>
      <c r="D342" s="292" t="s">
        <v>3</v>
      </c>
      <c r="E342" s="292" t="s">
        <v>4</v>
      </c>
      <c r="F342" s="292" t="s">
        <v>806</v>
      </c>
      <c r="G342" s="292" t="s">
        <v>5</v>
      </c>
      <c r="H342" s="292" t="s">
        <v>559</v>
      </c>
      <c r="I342" s="292" t="s">
        <v>560</v>
      </c>
      <c r="J342" s="292" t="s">
        <v>569</v>
      </c>
      <c r="K342" s="292" t="s">
        <v>570</v>
      </c>
    </row>
    <row r="343" spans="1:11" x14ac:dyDescent="0.3">
      <c r="A343" s="293">
        <v>2</v>
      </c>
      <c r="B343" s="294" t="s">
        <v>13</v>
      </c>
      <c r="C343" s="295"/>
      <c r="D343" s="295"/>
      <c r="E343" s="295"/>
      <c r="F343" s="295"/>
      <c r="G343" s="295"/>
      <c r="H343" s="295"/>
      <c r="I343" s="296"/>
      <c r="J343" s="296"/>
      <c r="K343" s="296"/>
    </row>
    <row r="344" spans="1:11" x14ac:dyDescent="0.3">
      <c r="A344" s="293">
        <v>3</v>
      </c>
      <c r="B344" s="294" t="s">
        <v>14</v>
      </c>
      <c r="C344" s="295"/>
      <c r="D344" s="295"/>
      <c r="E344" s="295"/>
      <c r="F344" s="295"/>
      <c r="G344" s="295"/>
      <c r="H344" s="295"/>
      <c r="I344" s="296"/>
      <c r="J344" s="296"/>
      <c r="K344" s="296"/>
    </row>
    <row r="345" spans="1:11" x14ac:dyDescent="0.3">
      <c r="A345" s="293">
        <v>4</v>
      </c>
      <c r="B345" s="294" t="s">
        <v>15</v>
      </c>
      <c r="C345" s="295"/>
      <c r="D345" s="295"/>
      <c r="E345" s="295"/>
      <c r="F345" s="295"/>
      <c r="G345" s="295"/>
      <c r="H345" s="295"/>
      <c r="I345" s="296"/>
      <c r="J345" s="296"/>
      <c r="K345" s="296"/>
    </row>
    <row r="346" spans="1:11" x14ac:dyDescent="0.3">
      <c r="A346" s="293">
        <v>5</v>
      </c>
      <c r="B346" s="294" t="s">
        <v>16</v>
      </c>
      <c r="C346" s="295"/>
      <c r="D346" s="295"/>
      <c r="E346" s="295"/>
      <c r="F346" s="295"/>
      <c r="G346" s="295"/>
      <c r="H346" s="295"/>
      <c r="I346" s="296"/>
      <c r="J346" s="296"/>
      <c r="K346" s="296"/>
    </row>
    <row r="347" spans="1:11" x14ac:dyDescent="0.3">
      <c r="A347" s="293">
        <v>6</v>
      </c>
      <c r="B347" s="294" t="s">
        <v>17</v>
      </c>
      <c r="C347" s="295"/>
      <c r="D347" s="295"/>
      <c r="E347" s="295"/>
      <c r="F347" s="295"/>
      <c r="G347" s="295"/>
      <c r="H347" s="295"/>
      <c r="I347" s="296"/>
      <c r="J347" s="296"/>
      <c r="K347" s="296"/>
    </row>
    <row r="348" spans="1:11" x14ac:dyDescent="0.3">
      <c r="A348" s="293">
        <v>7</v>
      </c>
      <c r="B348" s="294" t="s">
        <v>18</v>
      </c>
      <c r="C348" s="295"/>
      <c r="D348" s="295"/>
      <c r="E348" s="295"/>
      <c r="F348" s="295"/>
      <c r="G348" s="295"/>
      <c r="H348" s="295"/>
      <c r="I348" s="296"/>
      <c r="J348" s="296"/>
      <c r="K348" s="296"/>
    </row>
    <row r="349" spans="1:11" x14ac:dyDescent="0.3">
      <c r="A349" s="293">
        <v>8</v>
      </c>
      <c r="B349" s="294" t="s">
        <v>19</v>
      </c>
      <c r="C349" s="295"/>
      <c r="D349" s="295"/>
      <c r="E349" s="295"/>
      <c r="F349" s="295"/>
      <c r="G349" s="295"/>
      <c r="H349" s="295"/>
      <c r="I349" s="296"/>
      <c r="J349" s="296"/>
      <c r="K349" s="296"/>
    </row>
    <row r="350" spans="1:11" x14ac:dyDescent="0.3">
      <c r="A350" s="293">
        <v>9</v>
      </c>
      <c r="B350" s="294" t="s">
        <v>20</v>
      </c>
      <c r="C350" s="295"/>
      <c r="D350" s="295"/>
      <c r="E350" s="295"/>
      <c r="F350" s="295"/>
      <c r="G350" s="295"/>
      <c r="H350" s="295"/>
      <c r="I350" s="296"/>
      <c r="J350" s="296"/>
      <c r="K350" s="296"/>
    </row>
    <row r="351" spans="1:11" x14ac:dyDescent="0.3">
      <c r="A351" s="293">
        <v>10</v>
      </c>
      <c r="B351" s="294" t="s">
        <v>21</v>
      </c>
      <c r="C351" s="295"/>
      <c r="D351" s="295"/>
      <c r="E351" s="295"/>
      <c r="F351" s="295"/>
      <c r="G351" s="295"/>
      <c r="H351" s="295"/>
      <c r="I351" s="296"/>
      <c r="J351" s="296"/>
      <c r="K351" s="296"/>
    </row>
    <row r="352" spans="1:11" x14ac:dyDescent="0.3">
      <c r="A352" s="293">
        <v>11</v>
      </c>
      <c r="B352" s="294" t="s">
        <v>796</v>
      </c>
      <c r="C352" s="295"/>
      <c r="D352" s="295"/>
      <c r="E352" s="295"/>
      <c r="F352" s="295"/>
      <c r="G352" s="295"/>
      <c r="H352" s="295"/>
      <c r="I352" s="296"/>
      <c r="J352" s="296"/>
      <c r="K352" s="296"/>
    </row>
    <row r="353" spans="1:11" x14ac:dyDescent="0.3">
      <c r="A353" s="293">
        <v>12</v>
      </c>
      <c r="B353" s="294" t="s">
        <v>22</v>
      </c>
      <c r="C353" s="295"/>
      <c r="D353" s="295"/>
      <c r="E353" s="295"/>
      <c r="F353" s="295"/>
      <c r="G353" s="295"/>
      <c r="H353" s="295"/>
      <c r="I353" s="296"/>
      <c r="J353" s="296"/>
      <c r="K353" s="296"/>
    </row>
    <row r="354" spans="1:11" x14ac:dyDescent="0.3">
      <c r="A354" s="293">
        <v>13</v>
      </c>
      <c r="B354" s="294" t="s">
        <v>1113</v>
      </c>
      <c r="C354" s="295"/>
      <c r="D354" s="295"/>
      <c r="E354" s="295"/>
      <c r="F354" s="295"/>
      <c r="G354" s="295"/>
      <c r="H354" s="295"/>
      <c r="I354" s="296"/>
      <c r="J354" s="296"/>
      <c r="K354" s="296"/>
    </row>
    <row r="355" spans="1:11" x14ac:dyDescent="0.3">
      <c r="A355" s="293">
        <v>14</v>
      </c>
      <c r="B355" s="294" t="s">
        <v>23</v>
      </c>
      <c r="C355" s="295"/>
      <c r="D355" s="295"/>
      <c r="E355" s="295"/>
      <c r="F355" s="295"/>
      <c r="G355" s="295"/>
      <c r="H355" s="295"/>
      <c r="I355" s="296"/>
      <c r="J355" s="296"/>
      <c r="K355" s="296"/>
    </row>
    <row r="356" spans="1:11" x14ac:dyDescent="0.3">
      <c r="A356" s="293">
        <v>15</v>
      </c>
      <c r="B356" s="294" t="s">
        <v>24</v>
      </c>
      <c r="C356" s="295"/>
      <c r="D356" s="295"/>
      <c r="E356" s="295"/>
      <c r="F356" s="295"/>
      <c r="G356" s="295"/>
      <c r="H356" s="295"/>
      <c r="I356" s="296"/>
      <c r="J356" s="296"/>
      <c r="K356" s="296"/>
    </row>
    <row r="357" spans="1:11" x14ac:dyDescent="0.3">
      <c r="A357" s="293">
        <v>16</v>
      </c>
      <c r="B357" s="294" t="s">
        <v>25</v>
      </c>
      <c r="C357" s="295"/>
      <c r="D357" s="295"/>
      <c r="E357" s="295"/>
      <c r="F357" s="295"/>
      <c r="G357" s="295"/>
      <c r="H357" s="295"/>
      <c r="I357" s="296"/>
      <c r="J357" s="296"/>
      <c r="K357" s="296"/>
    </row>
    <row r="358" spans="1:11" x14ac:dyDescent="0.3">
      <c r="A358" s="293">
        <v>17</v>
      </c>
      <c r="B358" s="294" t="s">
        <v>26</v>
      </c>
      <c r="C358" s="295"/>
      <c r="D358" s="295"/>
      <c r="E358" s="295"/>
      <c r="F358" s="295"/>
      <c r="G358" s="295"/>
      <c r="H358" s="295"/>
      <c r="I358" s="295"/>
      <c r="J358" s="295"/>
      <c r="K358" s="295"/>
    </row>
    <row r="359" spans="1:11" x14ac:dyDescent="0.3">
      <c r="A359" s="293">
        <v>18</v>
      </c>
      <c r="B359" s="294" t="s">
        <v>70</v>
      </c>
      <c r="C359" s="295"/>
      <c r="D359" s="295"/>
      <c r="E359" s="295"/>
      <c r="F359" s="295"/>
      <c r="G359" s="295"/>
      <c r="H359" s="295"/>
      <c r="I359" s="296"/>
      <c r="J359" s="296"/>
      <c r="K359" s="296"/>
    </row>
    <row r="360" spans="1:11" x14ac:dyDescent="0.3">
      <c r="A360" s="293">
        <v>19</v>
      </c>
      <c r="B360" s="294" t="s">
        <v>27</v>
      </c>
      <c r="C360" s="295"/>
      <c r="D360" s="295"/>
      <c r="E360" s="295"/>
      <c r="F360" s="295"/>
      <c r="G360" s="295"/>
      <c r="H360" s="295"/>
      <c r="I360" s="295"/>
      <c r="J360" s="295"/>
      <c r="K360" s="295"/>
    </row>
    <row r="361" spans="1:11" x14ac:dyDescent="0.3">
      <c r="A361" s="293">
        <v>20</v>
      </c>
      <c r="B361" s="294" t="s">
        <v>71</v>
      </c>
      <c r="C361" s="295"/>
      <c r="D361" s="295"/>
      <c r="E361" s="295"/>
      <c r="F361" s="295"/>
      <c r="G361" s="295"/>
      <c r="H361" s="295"/>
      <c r="I361" s="295"/>
      <c r="J361" s="295"/>
      <c r="K361" s="295"/>
    </row>
    <row r="362" spans="1:11" x14ac:dyDescent="0.3">
      <c r="A362" s="293">
        <v>21</v>
      </c>
      <c r="B362" s="294" t="s">
        <v>1082</v>
      </c>
      <c r="C362" s="295"/>
      <c r="D362" s="295"/>
      <c r="E362" s="295"/>
      <c r="F362" s="295"/>
      <c r="G362" s="295"/>
      <c r="H362" s="295"/>
      <c r="I362" s="296"/>
      <c r="J362" s="296"/>
      <c r="K362" s="296"/>
    </row>
    <row r="363" spans="1:11" x14ac:dyDescent="0.3">
      <c r="A363" s="293">
        <v>22</v>
      </c>
      <c r="B363" s="294" t="s">
        <v>28</v>
      </c>
      <c r="C363" s="295"/>
      <c r="D363" s="295"/>
      <c r="E363" s="295"/>
      <c r="F363" s="295"/>
      <c r="G363" s="295"/>
      <c r="H363" s="295"/>
      <c r="I363" s="296"/>
      <c r="J363" s="296"/>
      <c r="K363" s="296"/>
    </row>
    <row r="364" spans="1:11" x14ac:dyDescent="0.3">
      <c r="A364" s="293">
        <v>23</v>
      </c>
      <c r="B364" s="294" t="s">
        <v>29</v>
      </c>
      <c r="C364" s="295"/>
      <c r="D364" s="295"/>
      <c r="E364" s="295"/>
      <c r="F364" s="295"/>
      <c r="G364" s="295"/>
      <c r="H364" s="295"/>
      <c r="I364" s="296"/>
      <c r="J364" s="296"/>
      <c r="K364" s="296"/>
    </row>
    <row r="365" spans="1:11" x14ac:dyDescent="0.3">
      <c r="A365" s="293">
        <v>24</v>
      </c>
      <c r="B365" s="294" t="s">
        <v>30</v>
      </c>
      <c r="C365" s="295"/>
      <c r="D365" s="295"/>
      <c r="E365" s="295"/>
      <c r="F365" s="295"/>
      <c r="G365" s="295"/>
      <c r="H365" s="295"/>
      <c r="I365" s="296"/>
      <c r="J365" s="296"/>
      <c r="K365" s="296"/>
    </row>
    <row r="366" spans="1:11" x14ac:dyDescent="0.3">
      <c r="A366" s="293">
        <v>25</v>
      </c>
      <c r="B366" s="294" t="s">
        <v>31</v>
      </c>
      <c r="C366" s="295"/>
      <c r="D366" s="295"/>
      <c r="E366" s="295"/>
      <c r="F366" s="295"/>
      <c r="G366" s="295"/>
      <c r="H366" s="295"/>
      <c r="I366" s="295"/>
      <c r="J366" s="295"/>
      <c r="K366" s="295"/>
    </row>
    <row r="367" spans="1:11" x14ac:dyDescent="0.3">
      <c r="A367" s="293">
        <v>26</v>
      </c>
      <c r="B367" s="294" t="s">
        <v>32</v>
      </c>
      <c r="C367" s="295"/>
      <c r="D367" s="295"/>
      <c r="E367" s="295"/>
      <c r="F367" s="295"/>
      <c r="G367" s="295"/>
      <c r="H367" s="295"/>
      <c r="I367" s="295"/>
      <c r="J367" s="295"/>
      <c r="K367" s="295"/>
    </row>
    <row r="368" spans="1:11" x14ac:dyDescent="0.3">
      <c r="A368" s="293">
        <v>27</v>
      </c>
      <c r="B368" s="294" t="s">
        <v>33</v>
      </c>
      <c r="C368" s="295"/>
      <c r="D368" s="295"/>
      <c r="E368" s="295"/>
      <c r="F368" s="295"/>
      <c r="G368" s="295"/>
      <c r="H368" s="295"/>
      <c r="I368" s="296"/>
      <c r="J368" s="296"/>
      <c r="K368" s="296"/>
    </row>
    <row r="369" spans="1:11" x14ac:dyDescent="0.3">
      <c r="A369" s="293">
        <v>28</v>
      </c>
      <c r="B369" s="294" t="s">
        <v>34</v>
      </c>
      <c r="C369" s="295"/>
      <c r="D369" s="295"/>
      <c r="E369" s="295"/>
      <c r="F369" s="295"/>
      <c r="G369" s="295"/>
      <c r="H369" s="295"/>
      <c r="I369" s="296"/>
      <c r="J369" s="296"/>
      <c r="K369" s="296"/>
    </row>
    <row r="370" spans="1:11" x14ac:dyDescent="0.3">
      <c r="A370" s="293">
        <v>29</v>
      </c>
      <c r="B370" s="294" t="s">
        <v>35</v>
      </c>
      <c r="C370" s="295"/>
      <c r="D370" s="295"/>
      <c r="E370" s="295"/>
      <c r="F370" s="295"/>
      <c r="G370" s="295"/>
      <c r="H370" s="295"/>
      <c r="I370" s="296"/>
      <c r="J370" s="296"/>
      <c r="K370" s="296"/>
    </row>
    <row r="371" spans="1:11" x14ac:dyDescent="0.3">
      <c r="A371" s="293">
        <v>30</v>
      </c>
      <c r="B371" s="294" t="s">
        <v>36</v>
      </c>
      <c r="C371" s="295"/>
      <c r="D371" s="295"/>
      <c r="E371" s="295"/>
      <c r="F371" s="295"/>
      <c r="G371" s="295"/>
      <c r="H371" s="295"/>
      <c r="I371" s="296"/>
      <c r="J371" s="296"/>
      <c r="K371" s="296"/>
    </row>
    <row r="372" spans="1:11" x14ac:dyDescent="0.3">
      <c r="A372" s="293">
        <v>31</v>
      </c>
      <c r="B372" s="294" t="s">
        <v>37</v>
      </c>
      <c r="C372" s="295"/>
      <c r="D372" s="295"/>
      <c r="E372" s="295"/>
      <c r="F372" s="295"/>
      <c r="G372" s="295"/>
      <c r="H372" s="295"/>
      <c r="I372" s="295"/>
      <c r="J372" s="295"/>
      <c r="K372" s="295"/>
    </row>
    <row r="373" spans="1:11" x14ac:dyDescent="0.3">
      <c r="A373" s="293">
        <v>32</v>
      </c>
      <c r="B373" s="294" t="s">
        <v>38</v>
      </c>
      <c r="C373" s="295"/>
      <c r="D373" s="295"/>
      <c r="E373" s="295"/>
      <c r="F373" s="295"/>
      <c r="G373" s="295"/>
      <c r="H373" s="295"/>
      <c r="I373" s="296"/>
      <c r="J373" s="296"/>
      <c r="K373" s="296"/>
    </row>
    <row r="374" spans="1:11" x14ac:dyDescent="0.3">
      <c r="A374" s="293">
        <v>33</v>
      </c>
      <c r="B374" s="294" t="s">
        <v>39</v>
      </c>
      <c r="C374" s="295"/>
      <c r="D374" s="295"/>
      <c r="E374" s="295"/>
      <c r="F374" s="295"/>
      <c r="G374" s="295"/>
      <c r="H374" s="295"/>
      <c r="I374" s="295"/>
      <c r="J374" s="295"/>
      <c r="K374" s="295"/>
    </row>
    <row r="375" spans="1:11" x14ac:dyDescent="0.3">
      <c r="A375" s="293">
        <v>34</v>
      </c>
      <c r="B375" s="294" t="s">
        <v>1114</v>
      </c>
      <c r="C375" s="295"/>
      <c r="D375" s="295"/>
      <c r="E375" s="295"/>
      <c r="F375" s="295"/>
      <c r="G375" s="295"/>
      <c r="H375" s="295"/>
      <c r="I375" s="296"/>
      <c r="J375" s="296"/>
      <c r="K375" s="296"/>
    </row>
    <row r="376" spans="1:11" x14ac:dyDescent="0.3">
      <c r="A376" s="293">
        <v>35</v>
      </c>
      <c r="B376" s="294" t="s">
        <v>40</v>
      </c>
      <c r="C376" s="295"/>
      <c r="D376" s="295"/>
      <c r="E376" s="295"/>
      <c r="F376" s="295"/>
      <c r="G376" s="295"/>
      <c r="H376" s="295"/>
      <c r="I376" s="296"/>
      <c r="J376" s="296"/>
      <c r="K376" s="296"/>
    </row>
    <row r="377" spans="1:11" x14ac:dyDescent="0.3">
      <c r="A377" s="293">
        <v>36</v>
      </c>
      <c r="B377" s="224"/>
      <c r="C377" s="224"/>
      <c r="D377" s="224"/>
      <c r="E377" s="224"/>
      <c r="F377" s="224"/>
      <c r="G377" s="224"/>
      <c r="H377" s="224"/>
      <c r="I377" s="224"/>
      <c r="J377" s="224"/>
      <c r="K377" s="224"/>
    </row>
    <row r="378" spans="1:11" x14ac:dyDescent="0.3">
      <c r="A378" s="293">
        <v>37</v>
      </c>
      <c r="B378" s="224"/>
      <c r="C378" s="224"/>
      <c r="D378" s="224"/>
      <c r="E378" s="224"/>
      <c r="F378" s="224"/>
      <c r="G378" s="224"/>
      <c r="H378" s="224"/>
      <c r="I378" s="224"/>
      <c r="J378" s="224"/>
      <c r="K378" s="224"/>
    </row>
    <row r="379" spans="1:11" x14ac:dyDescent="0.3">
      <c r="A379" s="293">
        <v>38</v>
      </c>
      <c r="B379" s="224"/>
      <c r="C379" s="224"/>
      <c r="D379" s="224"/>
      <c r="E379" s="224"/>
      <c r="F379" s="224"/>
      <c r="G379" s="224"/>
      <c r="H379" s="224"/>
      <c r="I379" s="224"/>
      <c r="J379" s="224"/>
      <c r="K379" s="224"/>
    </row>
    <row r="380" spans="1:11" x14ac:dyDescent="0.3">
      <c r="A380" s="293">
        <v>39</v>
      </c>
      <c r="B380" s="224"/>
      <c r="C380" s="224"/>
      <c r="D380" s="224"/>
      <c r="E380" s="224"/>
      <c r="F380" s="224"/>
      <c r="G380" s="224"/>
      <c r="H380" s="224"/>
      <c r="I380" s="224"/>
      <c r="J380" s="224"/>
      <c r="K380" s="224"/>
    </row>
    <row r="381" spans="1:11" x14ac:dyDescent="0.3">
      <c r="A381" s="293">
        <v>40</v>
      </c>
      <c r="B381" s="224"/>
      <c r="C381" s="224"/>
      <c r="D381" s="224"/>
      <c r="E381" s="224"/>
      <c r="F381" s="224"/>
      <c r="G381" s="224"/>
      <c r="H381" s="224"/>
      <c r="I381" s="224"/>
      <c r="J381" s="224"/>
      <c r="K381" s="224"/>
    </row>
    <row r="382" spans="1:11" x14ac:dyDescent="0.3">
      <c r="A382" s="293">
        <v>41</v>
      </c>
      <c r="B382" s="224"/>
      <c r="C382" s="224"/>
      <c r="D382" s="224"/>
      <c r="E382" s="224"/>
      <c r="F382" s="224"/>
      <c r="G382" s="224"/>
      <c r="H382" s="224"/>
      <c r="I382" s="224"/>
      <c r="J382" s="224"/>
      <c r="K382" s="224"/>
    </row>
    <row r="383" spans="1:11" x14ac:dyDescent="0.3">
      <c r="A383" s="224"/>
      <c r="B383" s="224"/>
      <c r="C383" s="224"/>
      <c r="D383" s="224"/>
      <c r="E383" s="224"/>
      <c r="F383" s="224"/>
      <c r="G383" s="224"/>
      <c r="H383" s="224"/>
      <c r="I383" s="224"/>
      <c r="J383" s="224"/>
      <c r="K383" s="224"/>
    </row>
    <row r="384" spans="1:11" x14ac:dyDescent="0.3">
      <c r="A384" s="224"/>
      <c r="B384" s="291">
        <v>42644</v>
      </c>
      <c r="C384" s="292" t="s">
        <v>2</v>
      </c>
      <c r="D384" s="292" t="s">
        <v>3</v>
      </c>
      <c r="E384" s="292" t="s">
        <v>4</v>
      </c>
      <c r="F384" s="292" t="s">
        <v>806</v>
      </c>
      <c r="G384" s="292" t="s">
        <v>5</v>
      </c>
      <c r="H384" s="292" t="s">
        <v>559</v>
      </c>
      <c r="I384" s="292" t="s">
        <v>560</v>
      </c>
      <c r="J384" s="292" t="s">
        <v>569</v>
      </c>
      <c r="K384" s="292" t="s">
        <v>570</v>
      </c>
    </row>
    <row r="385" spans="1:11" x14ac:dyDescent="0.3">
      <c r="A385" s="293">
        <v>2</v>
      </c>
      <c r="B385" s="294" t="s">
        <v>13</v>
      </c>
      <c r="C385" s="295"/>
      <c r="D385" s="295"/>
      <c r="E385" s="295"/>
      <c r="F385" s="295"/>
      <c r="G385" s="295"/>
      <c r="H385" s="295"/>
      <c r="I385" s="296"/>
      <c r="J385" s="296"/>
      <c r="K385" s="296"/>
    </row>
    <row r="386" spans="1:11" x14ac:dyDescent="0.3">
      <c r="A386" s="293">
        <v>3</v>
      </c>
      <c r="B386" s="294" t="s">
        <v>14</v>
      </c>
      <c r="C386" s="295"/>
      <c r="D386" s="295"/>
      <c r="E386" s="295"/>
      <c r="F386" s="295"/>
      <c r="G386" s="295"/>
      <c r="H386" s="295"/>
      <c r="I386" s="296"/>
      <c r="J386" s="296"/>
      <c r="K386" s="296"/>
    </row>
    <row r="387" spans="1:11" x14ac:dyDescent="0.3">
      <c r="A387" s="293">
        <v>4</v>
      </c>
      <c r="B387" s="294" t="s">
        <v>15</v>
      </c>
      <c r="C387" s="295"/>
      <c r="D387" s="295"/>
      <c r="E387" s="295"/>
      <c r="F387" s="295"/>
      <c r="G387" s="295"/>
      <c r="H387" s="295"/>
      <c r="I387" s="296"/>
      <c r="J387" s="296"/>
      <c r="K387" s="296"/>
    </row>
    <row r="388" spans="1:11" x14ac:dyDescent="0.3">
      <c r="A388" s="293">
        <v>5</v>
      </c>
      <c r="B388" s="294" t="s">
        <v>16</v>
      </c>
      <c r="C388" s="295"/>
      <c r="D388" s="295"/>
      <c r="E388" s="295"/>
      <c r="F388" s="295"/>
      <c r="G388" s="295"/>
      <c r="H388" s="295"/>
      <c r="I388" s="296"/>
      <c r="J388" s="296"/>
      <c r="K388" s="296"/>
    </row>
    <row r="389" spans="1:11" x14ac:dyDescent="0.3">
      <c r="A389" s="293">
        <v>6</v>
      </c>
      <c r="B389" s="294" t="s">
        <v>17</v>
      </c>
      <c r="C389" s="295"/>
      <c r="D389" s="295"/>
      <c r="E389" s="295"/>
      <c r="F389" s="295"/>
      <c r="G389" s="295"/>
      <c r="H389" s="295"/>
      <c r="I389" s="296"/>
      <c r="J389" s="296"/>
      <c r="K389" s="296"/>
    </row>
    <row r="390" spans="1:11" x14ac:dyDescent="0.3">
      <c r="A390" s="293">
        <v>7</v>
      </c>
      <c r="B390" s="294" t="s">
        <v>18</v>
      </c>
      <c r="C390" s="295"/>
      <c r="D390" s="295"/>
      <c r="E390" s="295"/>
      <c r="F390" s="295"/>
      <c r="G390" s="295"/>
      <c r="H390" s="295"/>
      <c r="I390" s="296"/>
      <c r="J390" s="296"/>
      <c r="K390" s="296"/>
    </row>
    <row r="391" spans="1:11" x14ac:dyDescent="0.3">
      <c r="A391" s="293">
        <v>8</v>
      </c>
      <c r="B391" s="294" t="s">
        <v>19</v>
      </c>
      <c r="C391" s="295"/>
      <c r="D391" s="295"/>
      <c r="E391" s="295"/>
      <c r="F391" s="295"/>
      <c r="G391" s="295"/>
      <c r="H391" s="295"/>
      <c r="I391" s="296"/>
      <c r="J391" s="296"/>
      <c r="K391" s="296"/>
    </row>
    <row r="392" spans="1:11" x14ac:dyDescent="0.3">
      <c r="A392" s="293">
        <v>9</v>
      </c>
      <c r="B392" s="294" t="s">
        <v>20</v>
      </c>
      <c r="C392" s="295"/>
      <c r="D392" s="295"/>
      <c r="E392" s="295"/>
      <c r="F392" s="295"/>
      <c r="G392" s="295"/>
      <c r="H392" s="295"/>
      <c r="I392" s="296"/>
      <c r="J392" s="296"/>
      <c r="K392" s="296"/>
    </row>
    <row r="393" spans="1:11" x14ac:dyDescent="0.3">
      <c r="A393" s="293">
        <v>10</v>
      </c>
      <c r="B393" s="294" t="s">
        <v>21</v>
      </c>
      <c r="C393" s="295"/>
      <c r="D393" s="295"/>
      <c r="E393" s="295"/>
      <c r="F393" s="295"/>
      <c r="G393" s="295"/>
      <c r="H393" s="295"/>
      <c r="I393" s="296"/>
      <c r="J393" s="296"/>
      <c r="K393" s="296"/>
    </row>
    <row r="394" spans="1:11" x14ac:dyDescent="0.3">
      <c r="A394" s="293">
        <v>11</v>
      </c>
      <c r="B394" s="294" t="s">
        <v>796</v>
      </c>
      <c r="C394" s="295"/>
      <c r="D394" s="295"/>
      <c r="E394" s="295"/>
      <c r="F394" s="295"/>
      <c r="G394" s="295"/>
      <c r="H394" s="295"/>
      <c r="I394" s="296"/>
      <c r="J394" s="296"/>
      <c r="K394" s="296"/>
    </row>
    <row r="395" spans="1:11" x14ac:dyDescent="0.3">
      <c r="A395" s="293">
        <v>12</v>
      </c>
      <c r="B395" s="294" t="s">
        <v>22</v>
      </c>
      <c r="C395" s="295"/>
      <c r="D395" s="295"/>
      <c r="E395" s="295"/>
      <c r="F395" s="295"/>
      <c r="G395" s="295"/>
      <c r="H395" s="295"/>
      <c r="I395" s="296"/>
      <c r="J395" s="296"/>
      <c r="K395" s="296"/>
    </row>
    <row r="396" spans="1:11" x14ac:dyDescent="0.3">
      <c r="A396" s="293">
        <v>13</v>
      </c>
      <c r="B396" s="294" t="s">
        <v>1113</v>
      </c>
      <c r="C396" s="295"/>
      <c r="D396" s="295"/>
      <c r="E396" s="295"/>
      <c r="F396" s="295"/>
      <c r="G396" s="295"/>
      <c r="H396" s="295"/>
      <c r="I396" s="296"/>
      <c r="J396" s="296"/>
      <c r="K396" s="296"/>
    </row>
    <row r="397" spans="1:11" x14ac:dyDescent="0.3">
      <c r="A397" s="293">
        <v>14</v>
      </c>
      <c r="B397" s="294" t="s">
        <v>23</v>
      </c>
      <c r="C397" s="295"/>
      <c r="D397" s="295"/>
      <c r="E397" s="295"/>
      <c r="F397" s="295"/>
      <c r="G397" s="295"/>
      <c r="H397" s="295"/>
      <c r="I397" s="296"/>
      <c r="J397" s="296"/>
      <c r="K397" s="296"/>
    </row>
    <row r="398" spans="1:11" x14ac:dyDescent="0.3">
      <c r="A398" s="293">
        <v>15</v>
      </c>
      <c r="B398" s="294" t="s">
        <v>24</v>
      </c>
      <c r="C398" s="295"/>
      <c r="D398" s="295"/>
      <c r="E398" s="295"/>
      <c r="F398" s="295"/>
      <c r="G398" s="295"/>
      <c r="H398" s="295"/>
      <c r="I398" s="296"/>
      <c r="J398" s="296"/>
      <c r="K398" s="296"/>
    </row>
    <row r="399" spans="1:11" x14ac:dyDescent="0.3">
      <c r="A399" s="293">
        <v>16</v>
      </c>
      <c r="B399" s="294" t="s">
        <v>25</v>
      </c>
      <c r="C399" s="295"/>
      <c r="D399" s="295"/>
      <c r="E399" s="295"/>
      <c r="F399" s="295"/>
      <c r="G399" s="295"/>
      <c r="H399" s="295"/>
      <c r="I399" s="296"/>
      <c r="J399" s="296"/>
      <c r="K399" s="296"/>
    </row>
    <row r="400" spans="1:11" x14ac:dyDescent="0.3">
      <c r="A400" s="293">
        <v>17</v>
      </c>
      <c r="B400" s="294" t="s">
        <v>26</v>
      </c>
      <c r="C400" s="295"/>
      <c r="D400" s="295"/>
      <c r="E400" s="295"/>
      <c r="F400" s="295"/>
      <c r="G400" s="295"/>
      <c r="H400" s="295"/>
      <c r="I400" s="295"/>
      <c r="J400" s="295"/>
      <c r="K400" s="295"/>
    </row>
    <row r="401" spans="1:11" x14ac:dyDescent="0.3">
      <c r="A401" s="293">
        <v>18</v>
      </c>
      <c r="B401" s="294" t="s">
        <v>70</v>
      </c>
      <c r="C401" s="295"/>
      <c r="D401" s="295"/>
      <c r="E401" s="295"/>
      <c r="F401" s="295"/>
      <c r="G401" s="295"/>
      <c r="H401" s="295"/>
      <c r="I401" s="296"/>
      <c r="J401" s="296"/>
      <c r="K401" s="296"/>
    </row>
    <row r="402" spans="1:11" x14ac:dyDescent="0.3">
      <c r="A402" s="293">
        <v>19</v>
      </c>
      <c r="B402" s="294" t="s">
        <v>27</v>
      </c>
      <c r="C402" s="295"/>
      <c r="D402" s="295"/>
      <c r="E402" s="295"/>
      <c r="F402" s="295"/>
      <c r="G402" s="295"/>
      <c r="H402" s="295"/>
      <c r="I402" s="295"/>
      <c r="J402" s="295"/>
      <c r="K402" s="295"/>
    </row>
    <row r="403" spans="1:11" x14ac:dyDescent="0.3">
      <c r="A403" s="293">
        <v>20</v>
      </c>
      <c r="B403" s="294" t="s">
        <v>71</v>
      </c>
      <c r="C403" s="295"/>
      <c r="D403" s="295"/>
      <c r="E403" s="295"/>
      <c r="F403" s="295"/>
      <c r="G403" s="295"/>
      <c r="H403" s="295"/>
      <c r="I403" s="295"/>
      <c r="J403" s="295"/>
      <c r="K403" s="295"/>
    </row>
    <row r="404" spans="1:11" x14ac:dyDescent="0.3">
      <c r="A404" s="293">
        <v>21</v>
      </c>
      <c r="B404" s="294" t="s">
        <v>1082</v>
      </c>
      <c r="C404" s="295"/>
      <c r="D404" s="295"/>
      <c r="E404" s="295"/>
      <c r="F404" s="295"/>
      <c r="G404" s="295"/>
      <c r="H404" s="295"/>
      <c r="I404" s="296"/>
      <c r="J404" s="296"/>
      <c r="K404" s="296"/>
    </row>
    <row r="405" spans="1:11" x14ac:dyDescent="0.3">
      <c r="A405" s="293">
        <v>22</v>
      </c>
      <c r="B405" s="294" t="s">
        <v>28</v>
      </c>
      <c r="C405" s="295"/>
      <c r="D405" s="295"/>
      <c r="E405" s="295"/>
      <c r="F405" s="295"/>
      <c r="G405" s="295"/>
      <c r="H405" s="295"/>
      <c r="I405" s="296"/>
      <c r="J405" s="296"/>
      <c r="K405" s="296"/>
    </row>
    <row r="406" spans="1:11" x14ac:dyDescent="0.3">
      <c r="A406" s="293">
        <v>23</v>
      </c>
      <c r="B406" s="294" t="s">
        <v>29</v>
      </c>
      <c r="C406" s="295"/>
      <c r="D406" s="295"/>
      <c r="E406" s="295"/>
      <c r="F406" s="295"/>
      <c r="G406" s="295"/>
      <c r="H406" s="295"/>
      <c r="I406" s="296"/>
      <c r="J406" s="296"/>
      <c r="K406" s="296"/>
    </row>
    <row r="407" spans="1:11" x14ac:dyDescent="0.3">
      <c r="A407" s="293">
        <v>24</v>
      </c>
      <c r="B407" s="294" t="s">
        <v>30</v>
      </c>
      <c r="C407" s="295"/>
      <c r="D407" s="295"/>
      <c r="E407" s="295"/>
      <c r="F407" s="295"/>
      <c r="G407" s="295"/>
      <c r="H407" s="295"/>
      <c r="I407" s="296"/>
      <c r="J407" s="296"/>
      <c r="K407" s="296"/>
    </row>
    <row r="408" spans="1:11" x14ac:dyDescent="0.3">
      <c r="A408" s="293">
        <v>25</v>
      </c>
      <c r="B408" s="294" t="s">
        <v>31</v>
      </c>
      <c r="C408" s="295"/>
      <c r="D408" s="295"/>
      <c r="E408" s="295"/>
      <c r="F408" s="295"/>
      <c r="G408" s="295"/>
      <c r="H408" s="295"/>
      <c r="I408" s="295"/>
      <c r="J408" s="295"/>
      <c r="K408" s="295"/>
    </row>
    <row r="409" spans="1:11" x14ac:dyDescent="0.3">
      <c r="A409" s="293">
        <v>26</v>
      </c>
      <c r="B409" s="294" t="s">
        <v>32</v>
      </c>
      <c r="C409" s="295"/>
      <c r="D409" s="295"/>
      <c r="E409" s="295"/>
      <c r="F409" s="295"/>
      <c r="G409" s="295"/>
      <c r="H409" s="295"/>
      <c r="I409" s="295"/>
      <c r="J409" s="295"/>
      <c r="K409" s="295"/>
    </row>
    <row r="410" spans="1:11" x14ac:dyDescent="0.3">
      <c r="A410" s="293">
        <v>27</v>
      </c>
      <c r="B410" s="294" t="s">
        <v>33</v>
      </c>
      <c r="C410" s="295"/>
      <c r="D410" s="295"/>
      <c r="E410" s="295"/>
      <c r="F410" s="295"/>
      <c r="G410" s="295"/>
      <c r="H410" s="295"/>
      <c r="I410" s="296"/>
      <c r="J410" s="296"/>
      <c r="K410" s="296"/>
    </row>
    <row r="411" spans="1:11" x14ac:dyDescent="0.3">
      <c r="A411" s="293">
        <v>28</v>
      </c>
      <c r="B411" s="294" t="s">
        <v>34</v>
      </c>
      <c r="C411" s="295"/>
      <c r="D411" s="295"/>
      <c r="E411" s="295"/>
      <c r="F411" s="295"/>
      <c r="G411" s="295"/>
      <c r="H411" s="295"/>
      <c r="I411" s="296"/>
      <c r="J411" s="296"/>
      <c r="K411" s="296"/>
    </row>
    <row r="412" spans="1:11" x14ac:dyDescent="0.3">
      <c r="A412" s="293">
        <v>29</v>
      </c>
      <c r="B412" s="294" t="s">
        <v>35</v>
      </c>
      <c r="C412" s="295"/>
      <c r="D412" s="295"/>
      <c r="E412" s="295"/>
      <c r="F412" s="295"/>
      <c r="G412" s="295"/>
      <c r="H412" s="295"/>
      <c r="I412" s="296"/>
      <c r="J412" s="296"/>
      <c r="K412" s="296"/>
    </row>
    <row r="413" spans="1:11" x14ac:dyDescent="0.3">
      <c r="A413" s="293">
        <v>30</v>
      </c>
      <c r="B413" s="294" t="s">
        <v>36</v>
      </c>
      <c r="C413" s="295"/>
      <c r="D413" s="295"/>
      <c r="E413" s="295"/>
      <c r="F413" s="295"/>
      <c r="G413" s="295"/>
      <c r="H413" s="295"/>
      <c r="I413" s="296"/>
      <c r="J413" s="296"/>
      <c r="K413" s="296"/>
    </row>
    <row r="414" spans="1:11" x14ac:dyDescent="0.3">
      <c r="A414" s="293">
        <v>31</v>
      </c>
      <c r="B414" s="294" t="s">
        <v>37</v>
      </c>
      <c r="C414" s="295"/>
      <c r="D414" s="295"/>
      <c r="E414" s="295"/>
      <c r="F414" s="295"/>
      <c r="G414" s="295"/>
      <c r="H414" s="295"/>
      <c r="I414" s="295"/>
      <c r="J414" s="295"/>
      <c r="K414" s="295"/>
    </row>
    <row r="415" spans="1:11" x14ac:dyDescent="0.3">
      <c r="A415" s="293">
        <v>32</v>
      </c>
      <c r="B415" s="294" t="s">
        <v>38</v>
      </c>
      <c r="C415" s="295"/>
      <c r="D415" s="295"/>
      <c r="E415" s="295"/>
      <c r="F415" s="295"/>
      <c r="G415" s="295"/>
      <c r="H415" s="295"/>
      <c r="I415" s="296"/>
      <c r="J415" s="296"/>
      <c r="K415" s="296"/>
    </row>
    <row r="416" spans="1:11" x14ac:dyDescent="0.3">
      <c r="A416" s="293">
        <v>33</v>
      </c>
      <c r="B416" s="294" t="s">
        <v>39</v>
      </c>
      <c r="C416" s="295"/>
      <c r="D416" s="295"/>
      <c r="E416" s="295"/>
      <c r="F416" s="295"/>
      <c r="G416" s="295"/>
      <c r="H416" s="295"/>
      <c r="I416" s="295"/>
      <c r="J416" s="295"/>
      <c r="K416" s="295"/>
    </row>
    <row r="417" spans="1:11" x14ac:dyDescent="0.3">
      <c r="A417" s="293">
        <v>34</v>
      </c>
      <c r="B417" s="294" t="s">
        <v>1114</v>
      </c>
      <c r="C417" s="295"/>
      <c r="D417" s="295"/>
      <c r="E417" s="295"/>
      <c r="F417" s="295"/>
      <c r="G417" s="295"/>
      <c r="H417" s="295"/>
      <c r="I417" s="296"/>
      <c r="J417" s="296"/>
      <c r="K417" s="296"/>
    </row>
    <row r="418" spans="1:11" x14ac:dyDescent="0.3">
      <c r="A418" s="293">
        <v>35</v>
      </c>
      <c r="B418" s="294" t="s">
        <v>40</v>
      </c>
      <c r="C418" s="295"/>
      <c r="D418" s="295"/>
      <c r="E418" s="295"/>
      <c r="F418" s="295"/>
      <c r="G418" s="295"/>
      <c r="H418" s="295"/>
      <c r="I418" s="296"/>
      <c r="J418" s="296"/>
      <c r="K418" s="296"/>
    </row>
    <row r="419" spans="1:11" x14ac:dyDescent="0.3">
      <c r="A419" s="293">
        <v>36</v>
      </c>
      <c r="B419" s="224"/>
      <c r="C419" s="224"/>
      <c r="D419" s="224"/>
      <c r="E419" s="224"/>
      <c r="F419" s="224"/>
      <c r="G419" s="224"/>
      <c r="H419" s="224"/>
      <c r="I419" s="224"/>
      <c r="J419" s="224"/>
      <c r="K419" s="224"/>
    </row>
    <row r="420" spans="1:11" x14ac:dyDescent="0.3">
      <c r="A420" s="293">
        <v>37</v>
      </c>
      <c r="B420" s="224"/>
      <c r="C420" s="224"/>
      <c r="D420" s="224"/>
      <c r="E420" s="224"/>
      <c r="F420" s="224"/>
      <c r="G420" s="224"/>
      <c r="H420" s="224"/>
      <c r="I420" s="224"/>
      <c r="J420" s="224"/>
      <c r="K420" s="224"/>
    </row>
    <row r="421" spans="1:11" x14ac:dyDescent="0.3">
      <c r="A421" s="293">
        <v>38</v>
      </c>
      <c r="B421" s="224"/>
      <c r="C421" s="224"/>
      <c r="D421" s="224"/>
      <c r="E421" s="224"/>
      <c r="F421" s="224"/>
      <c r="G421" s="224"/>
      <c r="H421" s="224"/>
      <c r="I421" s="224"/>
      <c r="J421" s="224"/>
      <c r="K421" s="224"/>
    </row>
    <row r="422" spans="1:11" x14ac:dyDescent="0.3">
      <c r="A422" s="293">
        <v>39</v>
      </c>
      <c r="B422" s="224"/>
      <c r="C422" s="224"/>
      <c r="D422" s="224"/>
      <c r="E422" s="224"/>
      <c r="F422" s="224"/>
      <c r="G422" s="224"/>
      <c r="H422" s="224"/>
      <c r="I422" s="224"/>
      <c r="J422" s="224"/>
      <c r="K422" s="224"/>
    </row>
    <row r="423" spans="1:11" x14ac:dyDescent="0.3">
      <c r="A423" s="293">
        <v>40</v>
      </c>
      <c r="B423" s="224"/>
      <c r="C423" s="224"/>
      <c r="D423" s="224"/>
      <c r="E423" s="224"/>
      <c r="F423" s="224"/>
      <c r="G423" s="224"/>
      <c r="H423" s="224"/>
      <c r="I423" s="224"/>
      <c r="J423" s="224"/>
      <c r="K423" s="224"/>
    </row>
    <row r="424" spans="1:11" x14ac:dyDescent="0.3">
      <c r="A424" s="293">
        <v>41</v>
      </c>
      <c r="B424" s="224"/>
      <c r="C424" s="224"/>
      <c r="D424" s="224"/>
      <c r="E424" s="224"/>
      <c r="F424" s="224"/>
      <c r="G424" s="224"/>
      <c r="H424" s="224"/>
      <c r="I424" s="224"/>
      <c r="J424" s="224"/>
      <c r="K424" s="224"/>
    </row>
    <row r="425" spans="1:11" x14ac:dyDescent="0.3">
      <c r="A425" s="224"/>
      <c r="B425" s="224"/>
      <c r="C425" s="224"/>
      <c r="D425" s="224"/>
      <c r="E425" s="224"/>
      <c r="F425" s="224"/>
      <c r="G425" s="224"/>
      <c r="H425" s="224"/>
      <c r="I425" s="224"/>
      <c r="J425" s="224"/>
      <c r="K425" s="224"/>
    </row>
    <row r="426" spans="1:11" x14ac:dyDescent="0.3">
      <c r="A426" s="224"/>
      <c r="B426" s="291">
        <v>42675</v>
      </c>
      <c r="C426" s="292" t="s">
        <v>2</v>
      </c>
      <c r="D426" s="292" t="s">
        <v>3</v>
      </c>
      <c r="E426" s="292" t="s">
        <v>4</v>
      </c>
      <c r="F426" s="292" t="s">
        <v>806</v>
      </c>
      <c r="G426" s="292" t="s">
        <v>5</v>
      </c>
      <c r="H426" s="292" t="s">
        <v>559</v>
      </c>
      <c r="I426" s="292" t="s">
        <v>560</v>
      </c>
      <c r="J426" s="292" t="s">
        <v>569</v>
      </c>
      <c r="K426" s="292" t="s">
        <v>570</v>
      </c>
    </row>
    <row r="427" spans="1:11" x14ac:dyDescent="0.3">
      <c r="A427" s="293">
        <v>2</v>
      </c>
      <c r="B427" s="294" t="s">
        <v>13</v>
      </c>
      <c r="C427" s="295"/>
      <c r="D427" s="295"/>
      <c r="E427" s="295"/>
      <c r="F427" s="295"/>
      <c r="G427" s="295"/>
      <c r="H427" s="295"/>
      <c r="I427" s="296"/>
      <c r="J427" s="296"/>
      <c r="K427" s="296"/>
    </row>
    <row r="428" spans="1:11" x14ac:dyDescent="0.3">
      <c r="A428" s="293">
        <v>3</v>
      </c>
      <c r="B428" s="294" t="s">
        <v>14</v>
      </c>
      <c r="C428" s="295"/>
      <c r="D428" s="295"/>
      <c r="E428" s="295"/>
      <c r="F428" s="295"/>
      <c r="G428" s="295"/>
      <c r="H428" s="295"/>
      <c r="I428" s="296"/>
      <c r="J428" s="296"/>
      <c r="K428" s="296"/>
    </row>
    <row r="429" spans="1:11" x14ac:dyDescent="0.3">
      <c r="A429" s="293">
        <v>4</v>
      </c>
      <c r="B429" s="294" t="s">
        <v>15</v>
      </c>
      <c r="C429" s="295"/>
      <c r="D429" s="295"/>
      <c r="E429" s="295"/>
      <c r="F429" s="295"/>
      <c r="G429" s="295"/>
      <c r="H429" s="295"/>
      <c r="I429" s="296"/>
      <c r="J429" s="296"/>
      <c r="K429" s="296"/>
    </row>
    <row r="430" spans="1:11" x14ac:dyDescent="0.3">
      <c r="A430" s="293">
        <v>5</v>
      </c>
      <c r="B430" s="294" t="s">
        <v>16</v>
      </c>
      <c r="C430" s="295"/>
      <c r="D430" s="295"/>
      <c r="E430" s="295"/>
      <c r="F430" s="295"/>
      <c r="G430" s="295"/>
      <c r="H430" s="295"/>
      <c r="I430" s="296"/>
      <c r="J430" s="296"/>
      <c r="K430" s="296"/>
    </row>
    <row r="431" spans="1:11" x14ac:dyDescent="0.3">
      <c r="A431" s="293">
        <v>6</v>
      </c>
      <c r="B431" s="294" t="s">
        <v>17</v>
      </c>
      <c r="C431" s="295"/>
      <c r="D431" s="295"/>
      <c r="E431" s="295"/>
      <c r="F431" s="295"/>
      <c r="G431" s="295"/>
      <c r="H431" s="295"/>
      <c r="I431" s="296"/>
      <c r="J431" s="296"/>
      <c r="K431" s="296"/>
    </row>
    <row r="432" spans="1:11" x14ac:dyDescent="0.3">
      <c r="A432" s="293">
        <v>7</v>
      </c>
      <c r="B432" s="294" t="s">
        <v>18</v>
      </c>
      <c r="C432" s="295"/>
      <c r="D432" s="295"/>
      <c r="E432" s="295"/>
      <c r="F432" s="295"/>
      <c r="G432" s="295"/>
      <c r="H432" s="295"/>
      <c r="I432" s="296"/>
      <c r="J432" s="296"/>
      <c r="K432" s="296"/>
    </row>
    <row r="433" spans="1:11" x14ac:dyDescent="0.3">
      <c r="A433" s="293">
        <v>8</v>
      </c>
      <c r="B433" s="294" t="s">
        <v>19</v>
      </c>
      <c r="C433" s="295"/>
      <c r="D433" s="295"/>
      <c r="E433" s="295"/>
      <c r="F433" s="295"/>
      <c r="G433" s="295"/>
      <c r="H433" s="295"/>
      <c r="I433" s="296"/>
      <c r="J433" s="296"/>
      <c r="K433" s="296"/>
    </row>
    <row r="434" spans="1:11" x14ac:dyDescent="0.3">
      <c r="A434" s="293">
        <v>9</v>
      </c>
      <c r="B434" s="294" t="s">
        <v>20</v>
      </c>
      <c r="C434" s="295"/>
      <c r="D434" s="295"/>
      <c r="E434" s="295"/>
      <c r="F434" s="295"/>
      <c r="G434" s="295"/>
      <c r="H434" s="295"/>
      <c r="I434" s="296"/>
      <c r="J434" s="296"/>
      <c r="K434" s="296"/>
    </row>
    <row r="435" spans="1:11" x14ac:dyDescent="0.3">
      <c r="A435" s="293">
        <v>10</v>
      </c>
      <c r="B435" s="294" t="s">
        <v>21</v>
      </c>
      <c r="C435" s="295"/>
      <c r="D435" s="295"/>
      <c r="E435" s="295"/>
      <c r="F435" s="295"/>
      <c r="G435" s="295"/>
      <c r="H435" s="295"/>
      <c r="I435" s="296"/>
      <c r="J435" s="296"/>
      <c r="K435" s="296"/>
    </row>
    <row r="436" spans="1:11" x14ac:dyDescent="0.3">
      <c r="A436" s="293">
        <v>11</v>
      </c>
      <c r="B436" s="294" t="s">
        <v>796</v>
      </c>
      <c r="C436" s="295"/>
      <c r="D436" s="295"/>
      <c r="E436" s="295"/>
      <c r="F436" s="295"/>
      <c r="G436" s="295"/>
      <c r="H436" s="295"/>
      <c r="I436" s="296"/>
      <c r="J436" s="296"/>
      <c r="K436" s="296"/>
    </row>
    <row r="437" spans="1:11" x14ac:dyDescent="0.3">
      <c r="A437" s="293">
        <v>12</v>
      </c>
      <c r="B437" s="294" t="s">
        <v>22</v>
      </c>
      <c r="C437" s="295"/>
      <c r="D437" s="295"/>
      <c r="E437" s="295"/>
      <c r="F437" s="295"/>
      <c r="G437" s="295"/>
      <c r="H437" s="295"/>
      <c r="I437" s="296"/>
      <c r="J437" s="296"/>
      <c r="K437" s="296"/>
    </row>
    <row r="438" spans="1:11" x14ac:dyDescent="0.3">
      <c r="A438" s="293">
        <v>13</v>
      </c>
      <c r="B438" s="294" t="s">
        <v>1113</v>
      </c>
      <c r="C438" s="295"/>
      <c r="D438" s="295"/>
      <c r="E438" s="295"/>
      <c r="F438" s="295"/>
      <c r="G438" s="295"/>
      <c r="H438" s="295"/>
      <c r="I438" s="296"/>
      <c r="J438" s="296"/>
      <c r="K438" s="296"/>
    </row>
    <row r="439" spans="1:11" x14ac:dyDescent="0.3">
      <c r="A439" s="293">
        <v>14</v>
      </c>
      <c r="B439" s="294" t="s">
        <v>23</v>
      </c>
      <c r="C439" s="295"/>
      <c r="D439" s="295"/>
      <c r="E439" s="295"/>
      <c r="F439" s="295"/>
      <c r="G439" s="295"/>
      <c r="H439" s="295"/>
      <c r="I439" s="296"/>
      <c r="J439" s="296"/>
      <c r="K439" s="296"/>
    </row>
    <row r="440" spans="1:11" x14ac:dyDescent="0.3">
      <c r="A440" s="293">
        <v>15</v>
      </c>
      <c r="B440" s="294" t="s">
        <v>24</v>
      </c>
      <c r="C440" s="295"/>
      <c r="D440" s="295"/>
      <c r="E440" s="295"/>
      <c r="F440" s="295"/>
      <c r="G440" s="295"/>
      <c r="H440" s="295"/>
      <c r="I440" s="296"/>
      <c r="J440" s="296"/>
      <c r="K440" s="296"/>
    </row>
    <row r="441" spans="1:11" x14ac:dyDescent="0.3">
      <c r="A441" s="293">
        <v>16</v>
      </c>
      <c r="B441" s="294" t="s">
        <v>25</v>
      </c>
      <c r="C441" s="295"/>
      <c r="D441" s="295"/>
      <c r="E441" s="295"/>
      <c r="F441" s="295"/>
      <c r="G441" s="295"/>
      <c r="H441" s="295"/>
      <c r="I441" s="296"/>
      <c r="J441" s="296"/>
      <c r="K441" s="296"/>
    </row>
    <row r="442" spans="1:11" x14ac:dyDescent="0.3">
      <c r="A442" s="293">
        <v>17</v>
      </c>
      <c r="B442" s="294" t="s">
        <v>26</v>
      </c>
      <c r="C442" s="295"/>
      <c r="D442" s="295"/>
      <c r="E442" s="295"/>
      <c r="F442" s="295"/>
      <c r="G442" s="295"/>
      <c r="H442" s="295"/>
      <c r="I442" s="295"/>
      <c r="J442" s="295"/>
      <c r="K442" s="295"/>
    </row>
    <row r="443" spans="1:11" x14ac:dyDescent="0.3">
      <c r="A443" s="293">
        <v>18</v>
      </c>
      <c r="B443" s="294" t="s">
        <v>70</v>
      </c>
      <c r="C443" s="295"/>
      <c r="D443" s="295"/>
      <c r="E443" s="295"/>
      <c r="F443" s="295"/>
      <c r="G443" s="295"/>
      <c r="H443" s="295"/>
      <c r="I443" s="296"/>
      <c r="J443" s="296"/>
      <c r="K443" s="296"/>
    </row>
    <row r="444" spans="1:11" x14ac:dyDescent="0.3">
      <c r="A444" s="293">
        <v>19</v>
      </c>
      <c r="B444" s="294" t="s">
        <v>27</v>
      </c>
      <c r="C444" s="295"/>
      <c r="D444" s="295"/>
      <c r="E444" s="295"/>
      <c r="F444" s="295"/>
      <c r="G444" s="295"/>
      <c r="H444" s="295"/>
      <c r="I444" s="295"/>
      <c r="J444" s="295"/>
      <c r="K444" s="295"/>
    </row>
    <row r="445" spans="1:11" x14ac:dyDescent="0.3">
      <c r="A445" s="293">
        <v>20</v>
      </c>
      <c r="B445" s="294" t="s">
        <v>71</v>
      </c>
      <c r="C445" s="295"/>
      <c r="D445" s="295"/>
      <c r="E445" s="295"/>
      <c r="F445" s="295"/>
      <c r="G445" s="295"/>
      <c r="H445" s="295"/>
      <c r="I445" s="295"/>
      <c r="J445" s="295"/>
      <c r="K445" s="295"/>
    </row>
    <row r="446" spans="1:11" x14ac:dyDescent="0.3">
      <c r="A446" s="293">
        <v>21</v>
      </c>
      <c r="B446" s="294" t="s">
        <v>1082</v>
      </c>
      <c r="C446" s="295"/>
      <c r="D446" s="295"/>
      <c r="E446" s="295"/>
      <c r="F446" s="295"/>
      <c r="G446" s="295"/>
      <c r="H446" s="295"/>
      <c r="I446" s="296"/>
      <c r="J446" s="296"/>
      <c r="K446" s="296"/>
    </row>
    <row r="447" spans="1:11" x14ac:dyDescent="0.3">
      <c r="A447" s="293">
        <v>22</v>
      </c>
      <c r="B447" s="294" t="s">
        <v>28</v>
      </c>
      <c r="C447" s="295"/>
      <c r="D447" s="295"/>
      <c r="E447" s="295"/>
      <c r="F447" s="295"/>
      <c r="G447" s="295"/>
      <c r="H447" s="295"/>
      <c r="I447" s="296"/>
      <c r="J447" s="296"/>
      <c r="K447" s="296"/>
    </row>
    <row r="448" spans="1:11" x14ac:dyDescent="0.3">
      <c r="A448" s="293">
        <v>23</v>
      </c>
      <c r="B448" s="294" t="s">
        <v>29</v>
      </c>
      <c r="C448" s="295"/>
      <c r="D448" s="295"/>
      <c r="E448" s="295"/>
      <c r="F448" s="295"/>
      <c r="G448" s="295"/>
      <c r="H448" s="295"/>
      <c r="I448" s="296"/>
      <c r="J448" s="296"/>
      <c r="K448" s="296"/>
    </row>
    <row r="449" spans="1:11" x14ac:dyDescent="0.3">
      <c r="A449" s="293">
        <v>24</v>
      </c>
      <c r="B449" s="294" t="s">
        <v>30</v>
      </c>
      <c r="C449" s="295"/>
      <c r="D449" s="295"/>
      <c r="E449" s="295"/>
      <c r="F449" s="295"/>
      <c r="G449" s="295"/>
      <c r="H449" s="295"/>
      <c r="I449" s="296"/>
      <c r="J449" s="296"/>
      <c r="K449" s="296"/>
    </row>
    <row r="450" spans="1:11" x14ac:dyDescent="0.3">
      <c r="A450" s="293">
        <v>25</v>
      </c>
      <c r="B450" s="294" t="s">
        <v>31</v>
      </c>
      <c r="C450" s="295"/>
      <c r="D450" s="295"/>
      <c r="E450" s="295"/>
      <c r="F450" s="295"/>
      <c r="G450" s="295"/>
      <c r="H450" s="295"/>
      <c r="I450" s="295"/>
      <c r="J450" s="295"/>
      <c r="K450" s="295"/>
    </row>
    <row r="451" spans="1:11" x14ac:dyDescent="0.3">
      <c r="A451" s="293">
        <v>26</v>
      </c>
      <c r="B451" s="294" t="s">
        <v>32</v>
      </c>
      <c r="C451" s="295"/>
      <c r="D451" s="295"/>
      <c r="E451" s="295"/>
      <c r="F451" s="295"/>
      <c r="G451" s="295"/>
      <c r="H451" s="295"/>
      <c r="I451" s="295"/>
      <c r="J451" s="295"/>
      <c r="K451" s="295"/>
    </row>
    <row r="452" spans="1:11" x14ac:dyDescent="0.3">
      <c r="A452" s="293">
        <v>27</v>
      </c>
      <c r="B452" s="294" t="s">
        <v>33</v>
      </c>
      <c r="C452" s="295"/>
      <c r="D452" s="295"/>
      <c r="E452" s="295"/>
      <c r="F452" s="295"/>
      <c r="G452" s="295"/>
      <c r="H452" s="295"/>
      <c r="I452" s="296"/>
      <c r="J452" s="296"/>
      <c r="K452" s="296"/>
    </row>
    <row r="453" spans="1:11" x14ac:dyDescent="0.3">
      <c r="A453" s="293">
        <v>28</v>
      </c>
      <c r="B453" s="294" t="s">
        <v>34</v>
      </c>
      <c r="C453" s="295"/>
      <c r="D453" s="295"/>
      <c r="E453" s="295"/>
      <c r="F453" s="295"/>
      <c r="G453" s="295"/>
      <c r="H453" s="295"/>
      <c r="I453" s="296"/>
      <c r="J453" s="296"/>
      <c r="K453" s="296"/>
    </row>
    <row r="454" spans="1:11" x14ac:dyDescent="0.3">
      <c r="A454" s="293">
        <v>29</v>
      </c>
      <c r="B454" s="294" t="s">
        <v>35</v>
      </c>
      <c r="C454" s="295"/>
      <c r="D454" s="295"/>
      <c r="E454" s="295"/>
      <c r="F454" s="295"/>
      <c r="G454" s="295"/>
      <c r="H454" s="295"/>
      <c r="I454" s="296"/>
      <c r="J454" s="296"/>
      <c r="K454" s="296"/>
    </row>
    <row r="455" spans="1:11" x14ac:dyDescent="0.3">
      <c r="A455" s="293">
        <v>30</v>
      </c>
      <c r="B455" s="294" t="s">
        <v>36</v>
      </c>
      <c r="C455" s="295"/>
      <c r="D455" s="295"/>
      <c r="E455" s="295"/>
      <c r="F455" s="295"/>
      <c r="G455" s="295"/>
      <c r="H455" s="295"/>
      <c r="I455" s="296"/>
      <c r="J455" s="296"/>
      <c r="K455" s="296"/>
    </row>
    <row r="456" spans="1:11" x14ac:dyDescent="0.3">
      <c r="A456" s="293">
        <v>31</v>
      </c>
      <c r="B456" s="294" t="s">
        <v>37</v>
      </c>
      <c r="C456" s="295"/>
      <c r="D456" s="295"/>
      <c r="E456" s="295"/>
      <c r="F456" s="295"/>
      <c r="G456" s="295"/>
      <c r="H456" s="295"/>
      <c r="I456" s="295"/>
      <c r="J456" s="295"/>
      <c r="K456" s="295"/>
    </row>
    <row r="457" spans="1:11" x14ac:dyDescent="0.3">
      <c r="A457" s="293">
        <v>32</v>
      </c>
      <c r="B457" s="294" t="s">
        <v>38</v>
      </c>
      <c r="C457" s="295"/>
      <c r="D457" s="295"/>
      <c r="E457" s="295"/>
      <c r="F457" s="295"/>
      <c r="G457" s="295"/>
      <c r="H457" s="295"/>
      <c r="I457" s="296"/>
      <c r="J457" s="296"/>
      <c r="K457" s="296"/>
    </row>
    <row r="458" spans="1:11" x14ac:dyDescent="0.3">
      <c r="A458" s="293">
        <v>33</v>
      </c>
      <c r="B458" s="294" t="s">
        <v>39</v>
      </c>
      <c r="C458" s="295"/>
      <c r="D458" s="295"/>
      <c r="E458" s="295"/>
      <c r="F458" s="295"/>
      <c r="G458" s="295"/>
      <c r="H458" s="295"/>
      <c r="I458" s="295"/>
      <c r="J458" s="295"/>
      <c r="K458" s="295"/>
    </row>
    <row r="459" spans="1:11" x14ac:dyDescent="0.3">
      <c r="A459" s="293">
        <v>34</v>
      </c>
      <c r="B459" s="294" t="s">
        <v>1114</v>
      </c>
      <c r="C459" s="295"/>
      <c r="D459" s="295"/>
      <c r="E459" s="295"/>
      <c r="F459" s="295"/>
      <c r="G459" s="295"/>
      <c r="H459" s="295"/>
      <c r="I459" s="296"/>
      <c r="J459" s="296"/>
      <c r="K459" s="296"/>
    </row>
    <row r="460" spans="1:11" x14ac:dyDescent="0.3">
      <c r="A460" s="293">
        <v>35</v>
      </c>
      <c r="B460" s="294" t="s">
        <v>40</v>
      </c>
      <c r="C460" s="295"/>
      <c r="D460" s="295"/>
      <c r="E460" s="295"/>
      <c r="F460" s="295"/>
      <c r="G460" s="295"/>
      <c r="H460" s="295"/>
      <c r="I460" s="296"/>
      <c r="J460" s="296"/>
      <c r="K460" s="296"/>
    </row>
    <row r="461" spans="1:11" x14ac:dyDescent="0.3">
      <c r="A461" s="293">
        <v>36</v>
      </c>
      <c r="B461" s="224"/>
      <c r="C461" s="224"/>
      <c r="D461" s="224"/>
      <c r="E461" s="224"/>
      <c r="F461" s="224"/>
      <c r="G461" s="224"/>
      <c r="H461" s="224"/>
      <c r="I461" s="224"/>
      <c r="J461" s="224"/>
      <c r="K461" s="224"/>
    </row>
    <row r="462" spans="1:11" x14ac:dyDescent="0.3">
      <c r="A462" s="293">
        <v>37</v>
      </c>
      <c r="B462" s="224"/>
      <c r="C462" s="224"/>
      <c r="D462" s="224"/>
      <c r="E462" s="224"/>
      <c r="F462" s="224"/>
      <c r="G462" s="224"/>
      <c r="H462" s="224"/>
      <c r="I462" s="224"/>
      <c r="J462" s="224"/>
      <c r="K462" s="224"/>
    </row>
    <row r="463" spans="1:11" x14ac:dyDescent="0.3">
      <c r="A463" s="293">
        <v>38</v>
      </c>
      <c r="B463" s="224"/>
      <c r="C463" s="224"/>
      <c r="D463" s="224"/>
      <c r="E463" s="224"/>
      <c r="F463" s="224"/>
      <c r="G463" s="224"/>
      <c r="H463" s="224"/>
      <c r="I463" s="224"/>
      <c r="J463" s="224"/>
      <c r="K463" s="224"/>
    </row>
    <row r="464" spans="1:11" x14ac:dyDescent="0.3">
      <c r="A464" s="293">
        <v>39</v>
      </c>
      <c r="B464" s="224"/>
      <c r="C464" s="224"/>
      <c r="D464" s="224"/>
      <c r="E464" s="224"/>
      <c r="F464" s="224"/>
      <c r="G464" s="224"/>
      <c r="H464" s="224"/>
      <c r="I464" s="224"/>
      <c r="J464" s="224"/>
      <c r="K464" s="224"/>
    </row>
    <row r="465" spans="1:11" x14ac:dyDescent="0.3">
      <c r="A465" s="293">
        <v>40</v>
      </c>
      <c r="B465" s="224"/>
      <c r="C465" s="224"/>
      <c r="D465" s="224"/>
      <c r="E465" s="224"/>
      <c r="F465" s="224"/>
      <c r="G465" s="224"/>
      <c r="H465" s="224"/>
      <c r="I465" s="224"/>
      <c r="J465" s="224"/>
      <c r="K465" s="224"/>
    </row>
    <row r="466" spans="1:11" x14ac:dyDescent="0.3">
      <c r="A466" s="293">
        <v>41</v>
      </c>
      <c r="B466" s="224"/>
      <c r="C466" s="224"/>
      <c r="D466" s="224"/>
      <c r="E466" s="224"/>
      <c r="F466" s="224"/>
      <c r="G466" s="224"/>
      <c r="H466" s="224"/>
      <c r="I466" s="224"/>
      <c r="J466" s="224"/>
      <c r="K466" s="224"/>
    </row>
    <row r="467" spans="1:11" x14ac:dyDescent="0.3">
      <c r="A467" s="224"/>
      <c r="B467" s="224"/>
      <c r="C467" s="224"/>
      <c r="D467" s="224"/>
      <c r="E467" s="224"/>
      <c r="F467" s="224"/>
      <c r="G467" s="224"/>
      <c r="H467" s="224"/>
      <c r="I467" s="224"/>
      <c r="J467" s="224"/>
      <c r="K467" s="224"/>
    </row>
    <row r="468" spans="1:11" x14ac:dyDescent="0.3">
      <c r="A468" s="224"/>
      <c r="B468" s="291">
        <v>42705</v>
      </c>
      <c r="C468" s="292" t="s">
        <v>2</v>
      </c>
      <c r="D468" s="292" t="s">
        <v>3</v>
      </c>
      <c r="E468" s="292" t="s">
        <v>4</v>
      </c>
      <c r="F468" s="292" t="s">
        <v>806</v>
      </c>
      <c r="G468" s="292" t="s">
        <v>5</v>
      </c>
      <c r="H468" s="292" t="s">
        <v>559</v>
      </c>
      <c r="I468" s="292" t="s">
        <v>560</v>
      </c>
      <c r="J468" s="292" t="s">
        <v>569</v>
      </c>
      <c r="K468" s="292" t="s">
        <v>570</v>
      </c>
    </row>
    <row r="469" spans="1:11" x14ac:dyDescent="0.3">
      <c r="A469" s="293">
        <v>2</v>
      </c>
      <c r="B469" s="294" t="s">
        <v>13</v>
      </c>
      <c r="C469" s="295"/>
      <c r="D469" s="295"/>
      <c r="E469" s="295"/>
      <c r="F469" s="295"/>
      <c r="G469" s="295"/>
      <c r="H469" s="295"/>
      <c r="I469" s="296"/>
      <c r="J469" s="296"/>
      <c r="K469" s="296"/>
    </row>
    <row r="470" spans="1:11" x14ac:dyDescent="0.3">
      <c r="A470" s="293">
        <v>3</v>
      </c>
      <c r="B470" s="294" t="s">
        <v>14</v>
      </c>
      <c r="C470" s="295"/>
      <c r="D470" s="295"/>
      <c r="E470" s="295"/>
      <c r="F470" s="295"/>
      <c r="G470" s="295"/>
      <c r="H470" s="295"/>
      <c r="I470" s="296"/>
      <c r="J470" s="296"/>
      <c r="K470" s="296"/>
    </row>
    <row r="471" spans="1:11" x14ac:dyDescent="0.3">
      <c r="A471" s="293">
        <v>4</v>
      </c>
      <c r="B471" s="294" t="s">
        <v>15</v>
      </c>
      <c r="C471" s="295"/>
      <c r="D471" s="295"/>
      <c r="E471" s="295"/>
      <c r="F471" s="295"/>
      <c r="G471" s="295"/>
      <c r="H471" s="295"/>
      <c r="I471" s="296"/>
      <c r="J471" s="296"/>
      <c r="K471" s="296"/>
    </row>
    <row r="472" spans="1:11" x14ac:dyDescent="0.3">
      <c r="A472" s="293">
        <v>5</v>
      </c>
      <c r="B472" s="294" t="s">
        <v>16</v>
      </c>
      <c r="C472" s="295"/>
      <c r="D472" s="295"/>
      <c r="E472" s="295"/>
      <c r="F472" s="295"/>
      <c r="G472" s="295"/>
      <c r="H472" s="295"/>
      <c r="I472" s="296"/>
      <c r="J472" s="296"/>
      <c r="K472" s="296"/>
    </row>
    <row r="473" spans="1:11" x14ac:dyDescent="0.3">
      <c r="A473" s="293">
        <v>6</v>
      </c>
      <c r="B473" s="294" t="s">
        <v>17</v>
      </c>
      <c r="C473" s="295"/>
      <c r="D473" s="295"/>
      <c r="E473" s="295"/>
      <c r="F473" s="295"/>
      <c r="G473" s="295"/>
      <c r="H473" s="295"/>
      <c r="I473" s="296"/>
      <c r="J473" s="296"/>
      <c r="K473" s="296"/>
    </row>
    <row r="474" spans="1:11" x14ac:dyDescent="0.3">
      <c r="A474" s="293">
        <v>7</v>
      </c>
      <c r="B474" s="294" t="s">
        <v>18</v>
      </c>
      <c r="C474" s="295"/>
      <c r="D474" s="295"/>
      <c r="E474" s="295"/>
      <c r="F474" s="295"/>
      <c r="G474" s="295"/>
      <c r="H474" s="295"/>
      <c r="I474" s="296"/>
      <c r="J474" s="296"/>
      <c r="K474" s="296"/>
    </row>
    <row r="475" spans="1:11" x14ac:dyDescent="0.3">
      <c r="A475" s="293">
        <v>8</v>
      </c>
      <c r="B475" s="294" t="s">
        <v>19</v>
      </c>
      <c r="C475" s="295"/>
      <c r="D475" s="295"/>
      <c r="E475" s="295"/>
      <c r="F475" s="295"/>
      <c r="G475" s="295"/>
      <c r="H475" s="295"/>
      <c r="I475" s="296"/>
      <c r="J475" s="296"/>
      <c r="K475" s="296"/>
    </row>
    <row r="476" spans="1:11" x14ac:dyDescent="0.3">
      <c r="A476" s="293">
        <v>9</v>
      </c>
      <c r="B476" s="294" t="s">
        <v>20</v>
      </c>
      <c r="C476" s="295"/>
      <c r="D476" s="295"/>
      <c r="E476" s="295"/>
      <c r="F476" s="295"/>
      <c r="G476" s="295"/>
      <c r="H476" s="295"/>
      <c r="I476" s="296"/>
      <c r="J476" s="296"/>
      <c r="K476" s="296"/>
    </row>
    <row r="477" spans="1:11" x14ac:dyDescent="0.3">
      <c r="A477" s="293">
        <v>10</v>
      </c>
      <c r="B477" s="294" t="s">
        <v>21</v>
      </c>
      <c r="C477" s="295"/>
      <c r="D477" s="295"/>
      <c r="E477" s="295"/>
      <c r="F477" s="295"/>
      <c r="G477" s="295"/>
      <c r="H477" s="295"/>
      <c r="I477" s="296"/>
      <c r="J477" s="296"/>
      <c r="K477" s="296"/>
    </row>
    <row r="478" spans="1:11" x14ac:dyDescent="0.3">
      <c r="A478" s="293">
        <v>11</v>
      </c>
      <c r="B478" s="294" t="s">
        <v>796</v>
      </c>
      <c r="C478" s="295"/>
      <c r="D478" s="295"/>
      <c r="E478" s="295"/>
      <c r="F478" s="295"/>
      <c r="G478" s="295"/>
      <c r="H478" s="295"/>
      <c r="I478" s="296"/>
      <c r="J478" s="296"/>
      <c r="K478" s="296"/>
    </row>
    <row r="479" spans="1:11" x14ac:dyDescent="0.3">
      <c r="A479" s="293">
        <v>12</v>
      </c>
      <c r="B479" s="294" t="s">
        <v>22</v>
      </c>
      <c r="C479" s="295"/>
      <c r="D479" s="295"/>
      <c r="E479" s="295"/>
      <c r="F479" s="295"/>
      <c r="G479" s="295"/>
      <c r="H479" s="295"/>
      <c r="I479" s="296"/>
      <c r="J479" s="296"/>
      <c r="K479" s="296"/>
    </row>
    <row r="480" spans="1:11" x14ac:dyDescent="0.3">
      <c r="A480" s="293">
        <v>13</v>
      </c>
      <c r="B480" s="294" t="s">
        <v>1113</v>
      </c>
      <c r="C480" s="295"/>
      <c r="D480" s="295"/>
      <c r="E480" s="295"/>
      <c r="F480" s="295"/>
      <c r="G480" s="295"/>
      <c r="H480" s="295"/>
      <c r="I480" s="296"/>
      <c r="J480" s="296"/>
      <c r="K480" s="296"/>
    </row>
    <row r="481" spans="1:11" x14ac:dyDescent="0.3">
      <c r="A481" s="293">
        <v>14</v>
      </c>
      <c r="B481" s="294" t="s">
        <v>23</v>
      </c>
      <c r="C481" s="295"/>
      <c r="D481" s="295"/>
      <c r="E481" s="295"/>
      <c r="F481" s="295"/>
      <c r="G481" s="295"/>
      <c r="H481" s="295"/>
      <c r="I481" s="296"/>
      <c r="J481" s="296"/>
      <c r="K481" s="296"/>
    </row>
    <row r="482" spans="1:11" x14ac:dyDescent="0.3">
      <c r="A482" s="293">
        <v>15</v>
      </c>
      <c r="B482" s="294" t="s">
        <v>24</v>
      </c>
      <c r="C482" s="295"/>
      <c r="D482" s="295"/>
      <c r="E482" s="295"/>
      <c r="F482" s="295"/>
      <c r="G482" s="295"/>
      <c r="H482" s="295"/>
      <c r="I482" s="296"/>
      <c r="J482" s="296"/>
      <c r="K482" s="296"/>
    </row>
    <row r="483" spans="1:11" x14ac:dyDescent="0.3">
      <c r="A483" s="293">
        <v>16</v>
      </c>
      <c r="B483" s="294" t="s">
        <v>25</v>
      </c>
      <c r="C483" s="295"/>
      <c r="D483" s="295"/>
      <c r="E483" s="295"/>
      <c r="F483" s="295"/>
      <c r="G483" s="295"/>
      <c r="H483" s="295"/>
      <c r="I483" s="296"/>
      <c r="J483" s="296"/>
      <c r="K483" s="296"/>
    </row>
    <row r="484" spans="1:11" x14ac:dyDescent="0.3">
      <c r="A484" s="293">
        <v>17</v>
      </c>
      <c r="B484" s="294" t="s">
        <v>26</v>
      </c>
      <c r="C484" s="295"/>
      <c r="D484" s="295"/>
      <c r="E484" s="295"/>
      <c r="F484" s="295"/>
      <c r="G484" s="295"/>
      <c r="H484" s="295"/>
      <c r="I484" s="295"/>
      <c r="J484" s="295"/>
      <c r="K484" s="295"/>
    </row>
    <row r="485" spans="1:11" x14ac:dyDescent="0.3">
      <c r="A485" s="293">
        <v>18</v>
      </c>
      <c r="B485" s="294" t="s">
        <v>70</v>
      </c>
      <c r="C485" s="295"/>
      <c r="D485" s="295"/>
      <c r="E485" s="295"/>
      <c r="F485" s="295"/>
      <c r="G485" s="295"/>
      <c r="H485" s="295"/>
      <c r="I485" s="296"/>
      <c r="J485" s="296"/>
      <c r="K485" s="296"/>
    </row>
    <row r="486" spans="1:11" x14ac:dyDescent="0.3">
      <c r="A486" s="293">
        <v>19</v>
      </c>
      <c r="B486" s="294" t="s">
        <v>27</v>
      </c>
      <c r="C486" s="295"/>
      <c r="D486" s="295"/>
      <c r="E486" s="295"/>
      <c r="F486" s="295"/>
      <c r="G486" s="295"/>
      <c r="H486" s="295"/>
      <c r="I486" s="295"/>
      <c r="J486" s="295"/>
      <c r="K486" s="295"/>
    </row>
    <row r="487" spans="1:11" x14ac:dyDescent="0.3">
      <c r="A487" s="293">
        <v>20</v>
      </c>
      <c r="B487" s="294" t="s">
        <v>71</v>
      </c>
      <c r="C487" s="295"/>
      <c r="D487" s="295"/>
      <c r="E487" s="295"/>
      <c r="F487" s="295"/>
      <c r="G487" s="295"/>
      <c r="H487" s="295"/>
      <c r="I487" s="295"/>
      <c r="J487" s="295"/>
      <c r="K487" s="295"/>
    </row>
    <row r="488" spans="1:11" x14ac:dyDescent="0.3">
      <c r="A488" s="293">
        <v>21</v>
      </c>
      <c r="B488" s="294" t="s">
        <v>1082</v>
      </c>
      <c r="C488" s="295"/>
      <c r="D488" s="295"/>
      <c r="E488" s="295"/>
      <c r="F488" s="295"/>
      <c r="G488" s="295"/>
      <c r="H488" s="295"/>
      <c r="I488" s="296"/>
      <c r="J488" s="296"/>
      <c r="K488" s="296"/>
    </row>
    <row r="489" spans="1:11" x14ac:dyDescent="0.3">
      <c r="A489" s="293">
        <v>22</v>
      </c>
      <c r="B489" s="294" t="s">
        <v>28</v>
      </c>
      <c r="C489" s="295"/>
      <c r="D489" s="295"/>
      <c r="E489" s="295"/>
      <c r="F489" s="295"/>
      <c r="G489" s="295"/>
      <c r="H489" s="295"/>
      <c r="I489" s="296"/>
      <c r="J489" s="296"/>
      <c r="K489" s="296"/>
    </row>
    <row r="490" spans="1:11" x14ac:dyDescent="0.3">
      <c r="A490" s="293">
        <v>23</v>
      </c>
      <c r="B490" s="294" t="s">
        <v>29</v>
      </c>
      <c r="C490" s="295"/>
      <c r="D490" s="295"/>
      <c r="E490" s="295"/>
      <c r="F490" s="295"/>
      <c r="G490" s="295"/>
      <c r="H490" s="295"/>
      <c r="I490" s="296"/>
      <c r="J490" s="296"/>
      <c r="K490" s="296"/>
    </row>
    <row r="491" spans="1:11" x14ac:dyDescent="0.3">
      <c r="A491" s="293">
        <v>24</v>
      </c>
      <c r="B491" s="294" t="s">
        <v>30</v>
      </c>
      <c r="C491" s="295"/>
      <c r="D491" s="295"/>
      <c r="E491" s="295"/>
      <c r="F491" s="295"/>
      <c r="G491" s="295"/>
      <c r="H491" s="295"/>
      <c r="I491" s="296"/>
      <c r="J491" s="296"/>
      <c r="K491" s="296"/>
    </row>
    <row r="492" spans="1:11" x14ac:dyDescent="0.3">
      <c r="A492" s="293">
        <v>25</v>
      </c>
      <c r="B492" s="294" t="s">
        <v>31</v>
      </c>
      <c r="C492" s="295"/>
      <c r="D492" s="295"/>
      <c r="E492" s="295"/>
      <c r="F492" s="295"/>
      <c r="G492" s="295"/>
      <c r="H492" s="295"/>
      <c r="I492" s="295"/>
      <c r="J492" s="295"/>
      <c r="K492" s="295"/>
    </row>
    <row r="493" spans="1:11" x14ac:dyDescent="0.3">
      <c r="A493" s="293">
        <v>26</v>
      </c>
      <c r="B493" s="294" t="s">
        <v>32</v>
      </c>
      <c r="C493" s="295"/>
      <c r="D493" s="295"/>
      <c r="E493" s="295"/>
      <c r="F493" s="295"/>
      <c r="G493" s="295"/>
      <c r="H493" s="295"/>
      <c r="I493" s="295"/>
      <c r="J493" s="295"/>
      <c r="K493" s="295"/>
    </row>
    <row r="494" spans="1:11" x14ac:dyDescent="0.3">
      <c r="A494" s="293">
        <v>27</v>
      </c>
      <c r="B494" s="294" t="s">
        <v>33</v>
      </c>
      <c r="C494" s="295"/>
      <c r="D494" s="295"/>
      <c r="E494" s="295"/>
      <c r="F494" s="295"/>
      <c r="G494" s="295"/>
      <c r="H494" s="295"/>
      <c r="I494" s="296"/>
      <c r="J494" s="296"/>
      <c r="K494" s="296"/>
    </row>
    <row r="495" spans="1:11" x14ac:dyDescent="0.3">
      <c r="A495" s="293">
        <v>28</v>
      </c>
      <c r="B495" s="294" t="s">
        <v>34</v>
      </c>
      <c r="C495" s="295"/>
      <c r="D495" s="295"/>
      <c r="E495" s="295"/>
      <c r="F495" s="295"/>
      <c r="G495" s="295"/>
      <c r="H495" s="295"/>
      <c r="I495" s="296"/>
      <c r="J495" s="296"/>
      <c r="K495" s="296"/>
    </row>
    <row r="496" spans="1:11" x14ac:dyDescent="0.3">
      <c r="A496" s="293">
        <v>29</v>
      </c>
      <c r="B496" s="294" t="s">
        <v>35</v>
      </c>
      <c r="C496" s="295"/>
      <c r="D496" s="295"/>
      <c r="E496" s="295"/>
      <c r="F496" s="295"/>
      <c r="G496" s="295"/>
      <c r="H496" s="295"/>
      <c r="I496" s="296"/>
      <c r="J496" s="296"/>
      <c r="K496" s="296"/>
    </row>
    <row r="497" spans="1:11" x14ac:dyDescent="0.3">
      <c r="A497" s="293">
        <v>30</v>
      </c>
      <c r="B497" s="294" t="s">
        <v>36</v>
      </c>
      <c r="C497" s="295"/>
      <c r="D497" s="295"/>
      <c r="E497" s="295"/>
      <c r="F497" s="295"/>
      <c r="G497" s="295"/>
      <c r="H497" s="295"/>
      <c r="I497" s="296"/>
      <c r="J497" s="296"/>
      <c r="K497" s="296"/>
    </row>
    <row r="498" spans="1:11" x14ac:dyDescent="0.3">
      <c r="A498" s="293">
        <v>31</v>
      </c>
      <c r="B498" s="294" t="s">
        <v>37</v>
      </c>
      <c r="C498" s="295"/>
      <c r="D498" s="295"/>
      <c r="E498" s="295"/>
      <c r="F498" s="295"/>
      <c r="G498" s="295"/>
      <c r="H498" s="295"/>
      <c r="I498" s="295"/>
      <c r="J498" s="295"/>
      <c r="K498" s="295"/>
    </row>
    <row r="499" spans="1:11" x14ac:dyDescent="0.3">
      <c r="A499" s="293">
        <v>32</v>
      </c>
      <c r="B499" s="294" t="s">
        <v>38</v>
      </c>
      <c r="C499" s="295"/>
      <c r="D499" s="295"/>
      <c r="E499" s="295"/>
      <c r="F499" s="295"/>
      <c r="G499" s="295"/>
      <c r="H499" s="295"/>
      <c r="I499" s="296"/>
      <c r="J499" s="296"/>
      <c r="K499" s="296"/>
    </row>
    <row r="500" spans="1:11" x14ac:dyDescent="0.3">
      <c r="A500" s="293">
        <v>33</v>
      </c>
      <c r="B500" s="294" t="s">
        <v>39</v>
      </c>
      <c r="C500" s="295"/>
      <c r="D500" s="295"/>
      <c r="E500" s="295"/>
      <c r="F500" s="295"/>
      <c r="G500" s="295"/>
      <c r="H500" s="295"/>
      <c r="I500" s="295"/>
      <c r="J500" s="295"/>
      <c r="K500" s="295"/>
    </row>
    <row r="501" spans="1:11" x14ac:dyDescent="0.3">
      <c r="A501" s="293">
        <v>34</v>
      </c>
      <c r="B501" s="294" t="s">
        <v>1114</v>
      </c>
      <c r="C501" s="295"/>
      <c r="D501" s="295"/>
      <c r="E501" s="295"/>
      <c r="F501" s="295"/>
      <c r="G501" s="295"/>
      <c r="H501" s="295"/>
      <c r="I501" s="296"/>
      <c r="J501" s="296"/>
      <c r="K501" s="296"/>
    </row>
    <row r="502" spans="1:11" x14ac:dyDescent="0.3">
      <c r="A502" s="293">
        <v>35</v>
      </c>
      <c r="B502" s="294" t="s">
        <v>40</v>
      </c>
      <c r="C502" s="295"/>
      <c r="D502" s="295"/>
      <c r="E502" s="295"/>
      <c r="F502" s="295"/>
      <c r="G502" s="295"/>
      <c r="H502" s="295"/>
      <c r="I502" s="296"/>
      <c r="J502" s="296"/>
      <c r="K502" s="296"/>
    </row>
    <row r="503" spans="1:11" x14ac:dyDescent="0.3">
      <c r="A503" s="293">
        <v>36</v>
      </c>
      <c r="B503" s="224"/>
      <c r="C503" s="224"/>
      <c r="D503" s="224"/>
      <c r="E503" s="224"/>
      <c r="F503" s="224"/>
      <c r="G503" s="224"/>
      <c r="H503" s="224"/>
      <c r="I503" s="224"/>
      <c r="J503" s="224"/>
      <c r="K503" s="224"/>
    </row>
    <row r="504" spans="1:11" x14ac:dyDescent="0.3">
      <c r="A504" s="293">
        <v>37</v>
      </c>
      <c r="B504" s="224"/>
      <c r="C504" s="224"/>
      <c r="D504" s="224"/>
      <c r="E504" s="224"/>
      <c r="F504" s="224"/>
      <c r="G504" s="224"/>
      <c r="H504" s="224"/>
      <c r="I504" s="224"/>
      <c r="J504" s="224"/>
      <c r="K504" s="224"/>
    </row>
    <row r="505" spans="1:11" x14ac:dyDescent="0.3">
      <c r="A505" s="293">
        <v>38</v>
      </c>
      <c r="B505" s="224"/>
      <c r="C505" s="224"/>
      <c r="D505" s="224"/>
      <c r="E505" s="224"/>
      <c r="F505" s="224"/>
      <c r="G505" s="224"/>
      <c r="H505" s="224"/>
      <c r="I505" s="224"/>
      <c r="J505" s="224"/>
      <c r="K505" s="224"/>
    </row>
    <row r="506" spans="1:11" x14ac:dyDescent="0.3">
      <c r="A506" s="293">
        <v>39</v>
      </c>
      <c r="B506" s="224"/>
      <c r="C506" s="224"/>
      <c r="D506" s="224"/>
      <c r="E506" s="224"/>
      <c r="F506" s="224"/>
      <c r="G506" s="224"/>
      <c r="H506" s="224"/>
      <c r="I506" s="224"/>
      <c r="J506" s="224"/>
      <c r="K506" s="224"/>
    </row>
    <row r="507" spans="1:11" x14ac:dyDescent="0.3">
      <c r="A507" s="293">
        <v>40</v>
      </c>
      <c r="B507" s="224"/>
      <c r="C507" s="224"/>
      <c r="D507" s="224"/>
      <c r="E507" s="224"/>
      <c r="F507" s="224"/>
      <c r="G507" s="224"/>
      <c r="H507" s="224"/>
      <c r="I507" s="224"/>
      <c r="J507" s="224"/>
      <c r="K507" s="224"/>
    </row>
    <row r="508" spans="1:11" x14ac:dyDescent="0.3">
      <c r="A508" s="293">
        <v>41</v>
      </c>
      <c r="B508" s="224"/>
      <c r="C508" s="224"/>
      <c r="D508" s="224"/>
      <c r="E508" s="224"/>
      <c r="F508" s="224"/>
      <c r="G508" s="224"/>
      <c r="H508" s="224"/>
      <c r="I508" s="224"/>
      <c r="J508" s="224"/>
      <c r="K508" s="224"/>
    </row>
    <row r="509" spans="1:1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</row>
    <row r="510" spans="1:1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</row>
    <row r="511" spans="1:1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</row>
    <row r="512" spans="1:1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</row>
    <row r="513" spans="1:1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</row>
    <row r="514" spans="1:1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</row>
    <row r="515" spans="1:1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</row>
    <row r="516" spans="1:1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</row>
    <row r="517" spans="1:1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</row>
    <row r="518" spans="1:1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</row>
    <row r="519" spans="1:1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</row>
    <row r="520" spans="1:1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</row>
    <row r="521" spans="1:1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</row>
    <row r="522" spans="1:1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</row>
    <row r="523" spans="1:1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</row>
    <row r="524" spans="1:1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</row>
    <row r="525" spans="1:1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</row>
    <row r="526" spans="1:1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</row>
    <row r="527" spans="1:1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</row>
    <row r="528" spans="1:1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</row>
    <row r="529" spans="1:1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</row>
    <row r="530" spans="1:1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</row>
    <row r="531" spans="1:1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</row>
    <row r="532" spans="1:1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</row>
    <row r="533" spans="1:1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</row>
    <row r="534" spans="1:1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</row>
    <row r="535" spans="1:1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</row>
    <row r="536" spans="1:1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</row>
    <row r="537" spans="1:1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</row>
    <row r="538" spans="1:1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</row>
    <row r="539" spans="1:1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</row>
    <row r="540" spans="1:1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</row>
    <row r="541" spans="1:1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</row>
    <row r="542" spans="1:1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</row>
  </sheetData>
  <conditionalFormatting sqref="C320:K321 C323:K323 C325:K325 C328:K328 C334:K334 C345:K345 C347:K348 C309:K312 C314:K314 C330:K331 C341:K341 C343:K343 C363:K363 C422:K422 C495:K495">
    <cfRule type="containsBlanks" dxfId="48" priority="21">
      <formula>LEN(TRIM(C309))=0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O42"/>
  <sheetViews>
    <sheetView workbookViewId="0">
      <selection activeCell="E18" sqref="E18"/>
    </sheetView>
  </sheetViews>
  <sheetFormatPr defaultRowHeight="15" x14ac:dyDescent="0.3"/>
  <cols>
    <col min="1" max="1" width="18.7109375" customWidth="1"/>
    <col min="2" max="2" width="12.28515625" customWidth="1"/>
    <col min="3" max="3" width="9.7109375" bestFit="1" customWidth="1"/>
    <col min="5" max="5" width="12.5703125" bestFit="1" customWidth="1"/>
    <col min="6" max="6" width="14.28515625" customWidth="1"/>
    <col min="7" max="7" width="18.85546875" customWidth="1"/>
    <col min="8" max="8" width="14.28515625" bestFit="1" customWidth="1"/>
    <col min="9" max="9" width="18.7109375" customWidth="1"/>
    <col min="10" max="10" width="17" customWidth="1"/>
    <col min="11" max="11" width="10.85546875" bestFit="1" customWidth="1"/>
    <col min="12" max="12" width="22.42578125" customWidth="1"/>
    <col min="13" max="13" width="25.42578125" customWidth="1"/>
    <col min="14" max="14" width="24.85546875" customWidth="1"/>
    <col min="15" max="15" width="26.140625" customWidth="1"/>
  </cols>
  <sheetData>
    <row r="1" spans="1:15" s="223" customFormat="1" x14ac:dyDescent="0.3">
      <c r="A1" s="223" t="str">
        <f>Resumo!G5</f>
        <v>Informações referentes a Março/2016</v>
      </c>
    </row>
    <row r="2" spans="1:15" ht="45" x14ac:dyDescent="0.3">
      <c r="A2" s="273" t="s">
        <v>1097</v>
      </c>
      <c r="B2" s="273" t="s">
        <v>643</v>
      </c>
      <c r="C2" s="274" t="s">
        <v>1098</v>
      </c>
      <c r="D2" s="275" t="s">
        <v>4</v>
      </c>
      <c r="E2" s="275" t="s">
        <v>1099</v>
      </c>
      <c r="F2" s="274" t="s">
        <v>1100</v>
      </c>
      <c r="G2" s="274" t="s">
        <v>1101</v>
      </c>
      <c r="H2" s="275" t="s">
        <v>1102</v>
      </c>
      <c r="I2" s="274" t="s">
        <v>1103</v>
      </c>
      <c r="J2" s="274" t="s">
        <v>1104</v>
      </c>
      <c r="K2" s="276" t="s">
        <v>1087</v>
      </c>
      <c r="L2" s="274" t="s">
        <v>1105</v>
      </c>
      <c r="M2" s="274" t="s">
        <v>1106</v>
      </c>
      <c r="N2" s="274" t="s">
        <v>1107</v>
      </c>
      <c r="O2" s="274" t="s">
        <v>1108</v>
      </c>
    </row>
    <row r="3" spans="1:15" x14ac:dyDescent="0.3">
      <c r="A3" s="279"/>
      <c r="B3" s="260" t="str">
        <f>Carteira!C3</f>
        <v>BB IRF-M</v>
      </c>
      <c r="C3" s="277">
        <f>Retorno!K7</f>
        <v>0</v>
      </c>
      <c r="D3" s="278">
        <f>Retorno!E7</f>
        <v>3378168.77</v>
      </c>
      <c r="E3" s="278">
        <f>Retorno!D7</f>
        <v>0</v>
      </c>
      <c r="F3" s="278">
        <f>Retorno!H7</f>
        <v>95434.959999999963</v>
      </c>
      <c r="G3" s="280"/>
      <c r="H3" s="278">
        <f>Retorno!G7</f>
        <v>0</v>
      </c>
      <c r="I3" s="280"/>
      <c r="J3" s="277">
        <f>VaR_Calculo!F156</f>
        <v>0</v>
      </c>
      <c r="K3" s="284">
        <f>Carteira!S3</f>
        <v>1.46E-2</v>
      </c>
      <c r="L3" s="261">
        <f>IF(M3="","",H3/M3)</f>
        <v>0</v>
      </c>
      <c r="M3" s="261">
        <f>Carteira!R3</f>
        <v>3.5630414340000001</v>
      </c>
      <c r="N3" s="281">
        <f>Carteira!Q3</f>
        <v>1550396235.23</v>
      </c>
      <c r="O3" s="283">
        <f>Carteira!T3</f>
        <v>500</v>
      </c>
    </row>
    <row r="4" spans="1:15" x14ac:dyDescent="0.3">
      <c r="A4" s="279"/>
      <c r="B4" s="260" t="str">
        <f>Carteira!C4</f>
        <v>BB Perfil</v>
      </c>
      <c r="C4" s="277">
        <f>Retorno!K8</f>
        <v>4.5059442210735635E-2</v>
      </c>
      <c r="D4" s="278">
        <f>Retorno!E8</f>
        <v>0</v>
      </c>
      <c r="E4" s="278">
        <f>Retorno!D8</f>
        <v>0</v>
      </c>
      <c r="F4" s="278">
        <f>Retorno!H8</f>
        <v>4048.890000000014</v>
      </c>
      <c r="G4" s="280"/>
      <c r="H4" s="278">
        <f>Retorno!G8</f>
        <v>368033.64</v>
      </c>
      <c r="I4" s="280"/>
      <c r="J4" s="277">
        <f>VaR_Calculo!F157</f>
        <v>1.0517691112930283E-5</v>
      </c>
      <c r="K4" s="284">
        <f>Carteira!S4</f>
        <v>1E-4</v>
      </c>
      <c r="L4" s="261">
        <f t="shared" ref="L4:L42" si="0">IF(M4="","",H4/M4)</f>
        <v>223701.32281709046</v>
      </c>
      <c r="M4" s="261">
        <f>Carteira!R4</f>
        <v>1.6452009999999999</v>
      </c>
      <c r="N4" s="281">
        <f>Carteira!Q4</f>
        <v>6495245017.6300001</v>
      </c>
      <c r="O4" s="283">
        <f>Carteira!T4</f>
        <v>843</v>
      </c>
    </row>
    <row r="5" spans="1:15" x14ac:dyDescent="0.3">
      <c r="A5" s="279"/>
      <c r="B5" s="260" t="str">
        <f>Carteira!C5</f>
        <v>BB IX TP</v>
      </c>
      <c r="C5" s="277">
        <f>Retorno!K9</f>
        <v>6.561526387973747E-2</v>
      </c>
      <c r="D5" s="278">
        <f>Retorno!E9</f>
        <v>0</v>
      </c>
      <c r="E5" s="278">
        <f>Retorno!D9</f>
        <v>0</v>
      </c>
      <c r="F5" s="278">
        <f>Retorno!H9</f>
        <v>4444.9600000000792</v>
      </c>
      <c r="G5" s="280"/>
      <c r="H5" s="278">
        <f>Retorno!G9</f>
        <v>535928.17000000004</v>
      </c>
      <c r="I5" s="280"/>
      <c r="J5" s="277">
        <f>VaR_Calculo!F158</f>
        <v>3.8408590721284385E-4</v>
      </c>
      <c r="K5" s="284">
        <f>Carteira!S5</f>
        <v>3.3E-3</v>
      </c>
      <c r="L5" s="261">
        <f t="shared" si="0"/>
        <v>466450.70667040313</v>
      </c>
      <c r="M5" s="261">
        <f>Carteira!R5</f>
        <v>1.1489492080000001</v>
      </c>
      <c r="N5" s="281">
        <f>Carteira!Q5</f>
        <v>2254122552.9899998</v>
      </c>
      <c r="O5" s="283">
        <f>Carteira!T5</f>
        <v>193</v>
      </c>
    </row>
    <row r="6" spans="1:15" x14ac:dyDescent="0.3">
      <c r="A6" s="279"/>
      <c r="B6" s="260" t="str">
        <f>Carteira!C6</f>
        <v>BB IRF-M1</v>
      </c>
      <c r="C6" s="277">
        <f>Retorno!K10</f>
        <v>0.41529062545905465</v>
      </c>
      <c r="D6" s="278">
        <f>Retorno!E10</f>
        <v>0</v>
      </c>
      <c r="E6" s="278">
        <f>Retorno!D10</f>
        <v>3378168.77</v>
      </c>
      <c r="F6" s="278">
        <f>Retorno!H10</f>
        <v>13815.529999999795</v>
      </c>
      <c r="G6" s="280"/>
      <c r="H6" s="278">
        <f>Retorno!G10</f>
        <v>3391984.3</v>
      </c>
      <c r="I6" s="280"/>
      <c r="J6" s="277">
        <f>VaR_Calculo!F159</f>
        <v>8.9066459352897965E-4</v>
      </c>
      <c r="K6" s="284">
        <f>Carteira!S6</f>
        <v>1E-3</v>
      </c>
      <c r="L6" s="261">
        <f t="shared" si="0"/>
        <v>1787018.3997365821</v>
      </c>
      <c r="M6" s="261">
        <f>Carteira!R6</f>
        <v>1.8981250000000001</v>
      </c>
      <c r="N6" s="281">
        <f>Carteira!Q6</f>
        <v>7780026492.54</v>
      </c>
      <c r="O6" s="283">
        <f>Carteira!T6</f>
        <v>1169</v>
      </c>
    </row>
    <row r="7" spans="1:15" x14ac:dyDescent="0.3">
      <c r="A7" s="279"/>
      <c r="B7" s="260" t="str">
        <f>Carteira!C7</f>
        <v>Caixa 2016 I TP RF</v>
      </c>
      <c r="C7" s="277">
        <f>Retorno!K11</f>
        <v>0.13298335859831009</v>
      </c>
      <c r="D7" s="278">
        <f>Retorno!E11</f>
        <v>0</v>
      </c>
      <c r="E7" s="278">
        <f>Retorno!D11</f>
        <v>0</v>
      </c>
      <c r="F7" s="278">
        <f>Retorno!H11</f>
        <v>9761</v>
      </c>
      <c r="G7" s="280"/>
      <c r="H7" s="278">
        <f>Retorno!G11</f>
        <v>1086173</v>
      </c>
      <c r="I7" s="280"/>
      <c r="J7" s="277">
        <f>VaR_Calculo!F160</f>
        <v>2.9020243767642548E-3</v>
      </c>
      <c r="K7" s="284">
        <f>Carteira!S7</f>
        <v>2E-3</v>
      </c>
      <c r="L7" s="261">
        <f t="shared" si="0"/>
        <v>1000000</v>
      </c>
      <c r="M7" s="261">
        <f>Carteira!R7</f>
        <v>1.0861730000000001</v>
      </c>
      <c r="N7" s="281">
        <f>Carteira!Q7</f>
        <v>1466638401.1300001</v>
      </c>
      <c r="O7" s="283">
        <f>Carteira!T7</f>
        <v>119</v>
      </c>
    </row>
    <row r="8" spans="1:15" x14ac:dyDescent="0.3">
      <c r="A8" s="279"/>
      <c r="B8" s="260" t="str">
        <f>Carteira!C8</f>
        <v>Caixa Ref. DI LP</v>
      </c>
      <c r="C8" s="277">
        <f>Retorno!K12</f>
        <v>7.781826564512502E-2</v>
      </c>
      <c r="D8" s="278">
        <f>Retorno!E12</f>
        <v>0</v>
      </c>
      <c r="E8" s="278">
        <f>Retorno!D12</f>
        <v>0</v>
      </c>
      <c r="F8" s="278">
        <f>Retorno!H12</f>
        <v>7401.5699999999488</v>
      </c>
      <c r="G8" s="280"/>
      <c r="H8" s="278">
        <f>Retorno!G12</f>
        <v>635599.06999999995</v>
      </c>
      <c r="I8" s="280"/>
      <c r="J8" s="277">
        <f>VaR_Calculo!F161</f>
        <v>1.9203972911064018E-5</v>
      </c>
      <c r="K8" s="284">
        <f>Carteira!S8</f>
        <v>2.0000000000000001E-4</v>
      </c>
      <c r="L8" s="261">
        <f t="shared" si="0"/>
        <v>237283.09340552878</v>
      </c>
      <c r="M8" s="261">
        <f>Carteira!R8</f>
        <v>2.6786530000000002</v>
      </c>
      <c r="N8" s="281">
        <f>Carteira!Q8</f>
        <v>4367781353.9099998</v>
      </c>
      <c r="O8" s="283">
        <f>Carteira!T8</f>
        <v>752</v>
      </c>
    </row>
    <row r="9" spans="1:15" x14ac:dyDescent="0.3">
      <c r="A9" s="279"/>
      <c r="B9" s="260" t="str">
        <f>Carteira!C9</f>
        <v>Caixa IRF-M1</v>
      </c>
      <c r="C9" s="277">
        <f>Retorno!K13</f>
        <v>0.26323304420703714</v>
      </c>
      <c r="D9" s="278">
        <f>Retorno!E13</f>
        <v>0</v>
      </c>
      <c r="E9" s="278">
        <f>Retorno!D13</f>
        <v>2141111.31</v>
      </c>
      <c r="F9" s="278">
        <f>Retorno!H13</f>
        <v>8906.7700000000186</v>
      </c>
      <c r="G9" s="280"/>
      <c r="H9" s="278">
        <f>Retorno!G13</f>
        <v>2150018.08</v>
      </c>
      <c r="I9" s="280"/>
      <c r="J9" s="277">
        <f>VaR_Calculo!F162</f>
        <v>5.6993985348361819E-4</v>
      </c>
      <c r="K9" s="284">
        <f>Carteira!S9</f>
        <v>1E-3</v>
      </c>
      <c r="L9" s="261">
        <f t="shared" si="0"/>
        <v>1185987.853380037</v>
      </c>
      <c r="M9" s="261">
        <f>Carteira!R9</f>
        <v>1.8128500000000001</v>
      </c>
      <c r="N9" s="281">
        <f>Carteira!Q9</f>
        <v>9316344330.1599998</v>
      </c>
      <c r="O9" s="283">
        <f>Carteira!T9</f>
        <v>1319</v>
      </c>
    </row>
    <row r="10" spans="1:15" x14ac:dyDescent="0.3">
      <c r="A10" s="279"/>
      <c r="B10" s="260" t="str">
        <f>Carteira!C10</f>
        <v>Caixa IRF-M1+</v>
      </c>
      <c r="C10" s="277">
        <f>Retorno!K14</f>
        <v>0</v>
      </c>
      <c r="D10" s="278">
        <f>Retorno!E14</f>
        <v>2141111.31</v>
      </c>
      <c r="E10" s="278">
        <f>Retorno!D14</f>
        <v>0</v>
      </c>
      <c r="F10" s="278">
        <f>Retorno!H14</f>
        <v>68684.14000000013</v>
      </c>
      <c r="G10" s="280"/>
      <c r="H10" s="278">
        <f>Retorno!G14</f>
        <v>0</v>
      </c>
      <c r="I10" s="280"/>
      <c r="J10" s="277">
        <f>VaR_Calculo!F163</f>
        <v>0</v>
      </c>
      <c r="K10" s="284">
        <f>Carteira!S10</f>
        <v>2.58E-2</v>
      </c>
      <c r="L10" s="261">
        <f t="shared" si="0"/>
        <v>0</v>
      </c>
      <c r="M10" s="261">
        <f>Carteira!R10</f>
        <v>1.3819330000000001</v>
      </c>
      <c r="N10" s="281">
        <f>Carteira!Q10</f>
        <v>164234564.71000001</v>
      </c>
      <c r="O10" s="283">
        <f>Carteira!T10</f>
        <v>84</v>
      </c>
    </row>
    <row r="11" spans="1:15" x14ac:dyDescent="0.3">
      <c r="A11" s="279"/>
      <c r="B11" s="260" t="str">
        <f>Carteira!C11</f>
        <v/>
      </c>
      <c r="C11" s="277">
        <f>Retorno!K15</f>
        <v>0</v>
      </c>
      <c r="D11" s="278">
        <f>Retorno!E15</f>
        <v>0</v>
      </c>
      <c r="E11" s="278">
        <f>Retorno!D15</f>
        <v>0</v>
      </c>
      <c r="F11" s="278">
        <f>Retorno!H15</f>
        <v>0</v>
      </c>
      <c r="G11" s="280"/>
      <c r="H11" s="278">
        <f>Retorno!G15</f>
        <v>0</v>
      </c>
      <c r="I11" s="280"/>
      <c r="J11" s="277">
        <f>VaR_Calculo!F164</f>
        <v>0</v>
      </c>
      <c r="K11" s="284" t="str">
        <f>Carteira!S11</f>
        <v/>
      </c>
      <c r="L11" s="261" t="str">
        <f t="shared" si="0"/>
        <v/>
      </c>
      <c r="M11" s="261" t="str">
        <f>Carteira!R11</f>
        <v/>
      </c>
      <c r="N11" s="281" t="str">
        <f>Carteira!Q11</f>
        <v/>
      </c>
      <c r="O11" s="283" t="str">
        <f>Carteira!T11</f>
        <v/>
      </c>
    </row>
    <row r="12" spans="1:15" x14ac:dyDescent="0.3">
      <c r="A12" s="279"/>
      <c r="B12" s="260" t="str">
        <f>Carteira!C12</f>
        <v/>
      </c>
      <c r="C12" s="277">
        <f>Retorno!K16</f>
        <v>0</v>
      </c>
      <c r="D12" s="278">
        <f>Retorno!E16</f>
        <v>0</v>
      </c>
      <c r="E12" s="278">
        <f>Retorno!D16</f>
        <v>0</v>
      </c>
      <c r="F12" s="278">
        <f>Retorno!H16</f>
        <v>0</v>
      </c>
      <c r="G12" s="280"/>
      <c r="H12" s="278">
        <f>Retorno!G16</f>
        <v>0</v>
      </c>
      <c r="I12" s="280"/>
      <c r="J12" s="277">
        <f>VaR_Calculo!F165</f>
        <v>0</v>
      </c>
      <c r="K12" s="284" t="str">
        <f>Carteira!S12</f>
        <v/>
      </c>
      <c r="L12" s="261" t="str">
        <f t="shared" si="0"/>
        <v/>
      </c>
      <c r="M12" s="261" t="str">
        <f>Carteira!R12</f>
        <v/>
      </c>
      <c r="N12" s="281" t="str">
        <f>Carteira!Q12</f>
        <v/>
      </c>
      <c r="O12" s="283" t="str">
        <f>Carteira!T12</f>
        <v/>
      </c>
    </row>
    <row r="13" spans="1:15" x14ac:dyDescent="0.3">
      <c r="A13" s="279"/>
      <c r="B13" s="260" t="str">
        <f>Carteira!C13</f>
        <v/>
      </c>
      <c r="C13" s="277">
        <f>Retorno!K17</f>
        <v>0</v>
      </c>
      <c r="D13" s="278">
        <f>Retorno!E17</f>
        <v>0</v>
      </c>
      <c r="E13" s="278">
        <f>Retorno!D17</f>
        <v>0</v>
      </c>
      <c r="F13" s="278">
        <f>Retorno!H17</f>
        <v>0</v>
      </c>
      <c r="G13" s="280"/>
      <c r="H13" s="278">
        <f>Retorno!G17</f>
        <v>0</v>
      </c>
      <c r="I13" s="280"/>
      <c r="J13" s="277">
        <f>VaR_Calculo!F166</f>
        <v>0</v>
      </c>
      <c r="K13" s="284" t="str">
        <f>Carteira!S13</f>
        <v/>
      </c>
      <c r="L13" s="261" t="str">
        <f t="shared" si="0"/>
        <v/>
      </c>
      <c r="M13" s="261" t="str">
        <f>Carteira!R13</f>
        <v/>
      </c>
      <c r="N13" s="281" t="str">
        <f>Carteira!Q13</f>
        <v/>
      </c>
      <c r="O13" s="283" t="str">
        <f>Carteira!T13</f>
        <v/>
      </c>
    </row>
    <row r="14" spans="1:15" x14ac:dyDescent="0.3">
      <c r="A14" s="279"/>
      <c r="B14" s="260" t="str">
        <f>Carteira!C14</f>
        <v/>
      </c>
      <c r="C14" s="277">
        <f>Retorno!K18</f>
        <v>0</v>
      </c>
      <c r="D14" s="278">
        <f>Retorno!E18</f>
        <v>0</v>
      </c>
      <c r="E14" s="278">
        <f>Retorno!D18</f>
        <v>0</v>
      </c>
      <c r="F14" s="278">
        <f>Retorno!H18</f>
        <v>0</v>
      </c>
      <c r="G14" s="280"/>
      <c r="H14" s="278">
        <f>Retorno!G18</f>
        <v>0</v>
      </c>
      <c r="I14" s="280"/>
      <c r="J14" s="277">
        <f>VaR_Calculo!F167</f>
        <v>0</v>
      </c>
      <c r="K14" s="284" t="str">
        <f>Carteira!S14</f>
        <v/>
      </c>
      <c r="L14" s="261" t="str">
        <f t="shared" si="0"/>
        <v/>
      </c>
      <c r="M14" s="261" t="str">
        <f>Carteira!R14</f>
        <v/>
      </c>
      <c r="N14" s="281" t="str">
        <f>Carteira!Q14</f>
        <v/>
      </c>
      <c r="O14" s="283" t="str">
        <f>Carteira!T14</f>
        <v/>
      </c>
    </row>
    <row r="15" spans="1:15" x14ac:dyDescent="0.3">
      <c r="A15" s="279"/>
      <c r="B15" s="260" t="str">
        <f>Carteira!C15</f>
        <v/>
      </c>
      <c r="C15" s="277">
        <f>Retorno!K19</f>
        <v>0</v>
      </c>
      <c r="D15" s="278">
        <f>Retorno!E19</f>
        <v>0</v>
      </c>
      <c r="E15" s="278">
        <f>Retorno!D19</f>
        <v>0</v>
      </c>
      <c r="F15" s="278">
        <f>Retorno!H19</f>
        <v>0</v>
      </c>
      <c r="G15" s="280"/>
      <c r="H15" s="278">
        <f>Retorno!G19</f>
        <v>0</v>
      </c>
      <c r="I15" s="280"/>
      <c r="J15" s="277">
        <f>VaR_Calculo!F168</f>
        <v>0</v>
      </c>
      <c r="K15" s="284" t="str">
        <f>Carteira!S15</f>
        <v/>
      </c>
      <c r="L15" s="261" t="str">
        <f t="shared" si="0"/>
        <v/>
      </c>
      <c r="M15" s="261" t="str">
        <f>Carteira!R15</f>
        <v/>
      </c>
      <c r="N15" s="281" t="str">
        <f>Carteira!Q15</f>
        <v/>
      </c>
      <c r="O15" s="283" t="str">
        <f>Carteira!T15</f>
        <v/>
      </c>
    </row>
    <row r="16" spans="1:15" x14ac:dyDescent="0.3">
      <c r="A16" s="279"/>
      <c r="B16" s="260" t="str">
        <f>Carteira!C16</f>
        <v/>
      </c>
      <c r="C16" s="277">
        <f>Retorno!K20</f>
        <v>0</v>
      </c>
      <c r="D16" s="278">
        <f>Retorno!E20</f>
        <v>0</v>
      </c>
      <c r="E16" s="278">
        <f>Retorno!D20</f>
        <v>0</v>
      </c>
      <c r="F16" s="278">
        <f>Retorno!H20</f>
        <v>0</v>
      </c>
      <c r="G16" s="280"/>
      <c r="H16" s="278">
        <f>Retorno!G20</f>
        <v>0</v>
      </c>
      <c r="I16" s="280"/>
      <c r="J16" s="277">
        <f>VaR_Calculo!F169</f>
        <v>0</v>
      </c>
      <c r="K16" s="284" t="str">
        <f>Carteira!S16</f>
        <v/>
      </c>
      <c r="L16" s="261" t="str">
        <f t="shared" si="0"/>
        <v/>
      </c>
      <c r="M16" s="261" t="str">
        <f>Carteira!R16</f>
        <v/>
      </c>
      <c r="N16" s="281" t="str">
        <f>Carteira!Q16</f>
        <v/>
      </c>
      <c r="O16" s="283" t="str">
        <f>Carteira!T16</f>
        <v/>
      </c>
    </row>
    <row r="17" spans="1:15" x14ac:dyDescent="0.3">
      <c r="A17" s="279"/>
      <c r="B17" s="260" t="str">
        <f>Carteira!C17</f>
        <v/>
      </c>
      <c r="C17" s="277">
        <f>Retorno!K21</f>
        <v>0</v>
      </c>
      <c r="D17" s="278">
        <f>Retorno!E21</f>
        <v>0</v>
      </c>
      <c r="E17" s="278">
        <f>Retorno!D21</f>
        <v>0</v>
      </c>
      <c r="F17" s="278">
        <f>Retorno!H21</f>
        <v>0</v>
      </c>
      <c r="G17" s="280"/>
      <c r="H17" s="278">
        <f>Retorno!G21</f>
        <v>0</v>
      </c>
      <c r="I17" s="280"/>
      <c r="J17" s="277">
        <f>VaR_Calculo!F170</f>
        <v>0</v>
      </c>
      <c r="K17" s="284" t="str">
        <f>Carteira!S17</f>
        <v/>
      </c>
      <c r="L17" s="261" t="str">
        <f t="shared" si="0"/>
        <v/>
      </c>
      <c r="M17" s="261" t="str">
        <f>Carteira!R17</f>
        <v/>
      </c>
      <c r="N17" s="281" t="str">
        <f>Carteira!Q17</f>
        <v/>
      </c>
      <c r="O17" s="283" t="str">
        <f>Carteira!T17</f>
        <v/>
      </c>
    </row>
    <row r="18" spans="1:15" x14ac:dyDescent="0.3">
      <c r="A18" s="279"/>
      <c r="B18" s="260" t="str">
        <f>Carteira!C18</f>
        <v/>
      </c>
      <c r="C18" s="277">
        <f>Retorno!K22</f>
        <v>0</v>
      </c>
      <c r="D18" s="278">
        <f>Retorno!E22</f>
        <v>0</v>
      </c>
      <c r="E18" s="278">
        <f>Retorno!D22</f>
        <v>0</v>
      </c>
      <c r="F18" s="278">
        <f>Retorno!H22</f>
        <v>0</v>
      </c>
      <c r="G18" s="280"/>
      <c r="H18" s="278">
        <f>Retorno!G22</f>
        <v>0</v>
      </c>
      <c r="I18" s="280"/>
      <c r="J18" s="277">
        <f>VaR_Calculo!F171</f>
        <v>0</v>
      </c>
      <c r="K18" s="284" t="str">
        <f>Carteira!S18</f>
        <v/>
      </c>
      <c r="L18" s="261" t="str">
        <f t="shared" si="0"/>
        <v/>
      </c>
      <c r="M18" s="261" t="str">
        <f>Carteira!R18</f>
        <v/>
      </c>
      <c r="N18" s="281" t="str">
        <f>Carteira!Q18</f>
        <v/>
      </c>
      <c r="O18" s="283" t="str">
        <f>Carteira!T18</f>
        <v/>
      </c>
    </row>
    <row r="19" spans="1:15" x14ac:dyDescent="0.3">
      <c r="A19" s="279"/>
      <c r="B19" s="260" t="str">
        <f>Carteira!C19</f>
        <v/>
      </c>
      <c r="C19" s="277">
        <f>Retorno!K23</f>
        <v>0</v>
      </c>
      <c r="D19" s="278">
        <f>Retorno!E23</f>
        <v>0</v>
      </c>
      <c r="E19" s="278">
        <f>Retorno!D23</f>
        <v>0</v>
      </c>
      <c r="F19" s="278">
        <f>Retorno!H23</f>
        <v>0</v>
      </c>
      <c r="G19" s="280"/>
      <c r="H19" s="278">
        <f>Retorno!G23</f>
        <v>0</v>
      </c>
      <c r="I19" s="280"/>
      <c r="J19" s="277">
        <f>VaR_Calculo!F172</f>
        <v>0</v>
      </c>
      <c r="K19" s="284" t="str">
        <f>Carteira!S19</f>
        <v/>
      </c>
      <c r="L19" s="261" t="str">
        <f t="shared" si="0"/>
        <v/>
      </c>
      <c r="M19" s="261" t="str">
        <f>Carteira!R19</f>
        <v/>
      </c>
      <c r="N19" s="281" t="str">
        <f>Carteira!Q19</f>
        <v/>
      </c>
      <c r="O19" s="283" t="str">
        <f>Carteira!T19</f>
        <v/>
      </c>
    </row>
    <row r="20" spans="1:15" x14ac:dyDescent="0.3">
      <c r="A20" s="279"/>
      <c r="B20" s="260" t="str">
        <f>Carteira!C20</f>
        <v/>
      </c>
      <c r="C20" s="277">
        <f>Retorno!K24</f>
        <v>0</v>
      </c>
      <c r="D20" s="278">
        <f>Retorno!E24</f>
        <v>0</v>
      </c>
      <c r="E20" s="278">
        <f>Retorno!D24</f>
        <v>0</v>
      </c>
      <c r="F20" s="278">
        <f>Retorno!H24</f>
        <v>0</v>
      </c>
      <c r="G20" s="280"/>
      <c r="H20" s="278">
        <f>Retorno!G24</f>
        <v>0</v>
      </c>
      <c r="I20" s="280"/>
      <c r="J20" s="277">
        <f>VaR_Calculo!F173</f>
        <v>0</v>
      </c>
      <c r="K20" s="284" t="str">
        <f>Carteira!S20</f>
        <v/>
      </c>
      <c r="L20" s="261" t="str">
        <f t="shared" si="0"/>
        <v/>
      </c>
      <c r="M20" s="261" t="str">
        <f>Carteira!R20</f>
        <v/>
      </c>
      <c r="N20" s="281" t="str">
        <f>Carteira!Q20</f>
        <v/>
      </c>
      <c r="O20" s="283" t="str">
        <f>Carteira!T20</f>
        <v/>
      </c>
    </row>
    <row r="21" spans="1:15" x14ac:dyDescent="0.3">
      <c r="A21" s="279"/>
      <c r="B21" s="260" t="str">
        <f>Carteira!C21</f>
        <v/>
      </c>
      <c r="C21" s="277">
        <f>Retorno!K25</f>
        <v>0</v>
      </c>
      <c r="D21" s="278">
        <f>Retorno!E25</f>
        <v>0</v>
      </c>
      <c r="E21" s="278">
        <f>Retorno!D25</f>
        <v>0</v>
      </c>
      <c r="F21" s="278">
        <f>Retorno!H25</f>
        <v>0</v>
      </c>
      <c r="G21" s="280"/>
      <c r="H21" s="278">
        <f>Retorno!G25</f>
        <v>0</v>
      </c>
      <c r="I21" s="280"/>
      <c r="J21" s="277">
        <f>VaR_Calculo!F174</f>
        <v>0</v>
      </c>
      <c r="K21" s="284" t="str">
        <f>Carteira!S21</f>
        <v/>
      </c>
      <c r="L21" s="261" t="str">
        <f t="shared" si="0"/>
        <v/>
      </c>
      <c r="M21" s="261" t="str">
        <f>Carteira!R21</f>
        <v/>
      </c>
      <c r="N21" s="281" t="str">
        <f>Carteira!Q21</f>
        <v/>
      </c>
      <c r="O21" s="283" t="str">
        <f>Carteira!T21</f>
        <v/>
      </c>
    </row>
    <row r="22" spans="1:15" x14ac:dyDescent="0.3">
      <c r="A22" s="279"/>
      <c r="B22" s="260" t="str">
        <f>Carteira!C22</f>
        <v/>
      </c>
      <c r="C22" s="277">
        <f>Retorno!K26</f>
        <v>0</v>
      </c>
      <c r="D22" s="278">
        <f>Retorno!E26</f>
        <v>0</v>
      </c>
      <c r="E22" s="278">
        <f>Retorno!D26</f>
        <v>0</v>
      </c>
      <c r="F22" s="278">
        <f>Retorno!H26</f>
        <v>0</v>
      </c>
      <c r="G22" s="280"/>
      <c r="H22" s="278">
        <f>Retorno!G26</f>
        <v>0</v>
      </c>
      <c r="I22" s="280"/>
      <c r="J22" s="277">
        <f>VaR_Calculo!F175</f>
        <v>0</v>
      </c>
      <c r="K22" s="284" t="str">
        <f>Carteira!S22</f>
        <v/>
      </c>
      <c r="L22" s="261" t="str">
        <f t="shared" si="0"/>
        <v/>
      </c>
      <c r="M22" s="261" t="str">
        <f>Carteira!R22</f>
        <v/>
      </c>
      <c r="N22" s="281" t="str">
        <f>Carteira!Q22</f>
        <v/>
      </c>
      <c r="O22" s="283" t="str">
        <f>Carteira!T22</f>
        <v/>
      </c>
    </row>
    <row r="23" spans="1:15" x14ac:dyDescent="0.3">
      <c r="A23" s="279"/>
      <c r="B23" s="260" t="str">
        <f>Carteira!C23</f>
        <v/>
      </c>
      <c r="C23" s="277">
        <f>Retorno!K27</f>
        <v>0</v>
      </c>
      <c r="D23" s="278">
        <f>Retorno!E27</f>
        <v>0</v>
      </c>
      <c r="E23" s="278">
        <f>Retorno!D27</f>
        <v>0</v>
      </c>
      <c r="F23" s="278">
        <f>Retorno!H27</f>
        <v>0</v>
      </c>
      <c r="G23" s="280"/>
      <c r="H23" s="278">
        <f>Retorno!G27</f>
        <v>0</v>
      </c>
      <c r="I23" s="280"/>
      <c r="J23" s="277">
        <f>VaR_Calculo!F176</f>
        <v>0</v>
      </c>
      <c r="K23" s="284" t="str">
        <f>Carteira!S23</f>
        <v/>
      </c>
      <c r="L23" s="261" t="str">
        <f t="shared" si="0"/>
        <v/>
      </c>
      <c r="M23" s="261" t="str">
        <f>Carteira!R23</f>
        <v/>
      </c>
      <c r="N23" s="281" t="str">
        <f>Carteira!Q23</f>
        <v/>
      </c>
      <c r="O23" s="283" t="str">
        <f>Carteira!T23</f>
        <v/>
      </c>
    </row>
    <row r="24" spans="1:15" x14ac:dyDescent="0.3">
      <c r="A24" s="279"/>
      <c r="B24" s="260" t="str">
        <f>Carteira!C24</f>
        <v/>
      </c>
      <c r="C24" s="277">
        <f>Retorno!K28</f>
        <v>0</v>
      </c>
      <c r="D24" s="278">
        <f>Retorno!E28</f>
        <v>0</v>
      </c>
      <c r="E24" s="278">
        <f>Retorno!D28</f>
        <v>0</v>
      </c>
      <c r="F24" s="278">
        <f>Retorno!H28</f>
        <v>0</v>
      </c>
      <c r="G24" s="280"/>
      <c r="H24" s="278">
        <f>Retorno!G28</f>
        <v>0</v>
      </c>
      <c r="I24" s="280"/>
      <c r="J24" s="277">
        <f>VaR_Calculo!F177</f>
        <v>0</v>
      </c>
      <c r="K24" s="284" t="str">
        <f>Carteira!S24</f>
        <v/>
      </c>
      <c r="L24" s="261" t="str">
        <f t="shared" si="0"/>
        <v/>
      </c>
      <c r="M24" s="261" t="str">
        <f>Carteira!R24</f>
        <v/>
      </c>
      <c r="N24" s="281" t="str">
        <f>Carteira!Q24</f>
        <v/>
      </c>
      <c r="O24" s="283" t="str">
        <f>Carteira!T24</f>
        <v/>
      </c>
    </row>
    <row r="25" spans="1:15" x14ac:dyDescent="0.3">
      <c r="A25" s="279"/>
      <c r="B25" s="260" t="str">
        <f>Carteira!C25</f>
        <v/>
      </c>
      <c r="C25" s="277">
        <f>Retorno!K29</f>
        <v>0</v>
      </c>
      <c r="D25" s="278">
        <f>Retorno!E29</f>
        <v>0</v>
      </c>
      <c r="E25" s="278">
        <f>Retorno!D29</f>
        <v>0</v>
      </c>
      <c r="F25" s="278">
        <f>Retorno!H29</f>
        <v>0</v>
      </c>
      <c r="G25" s="280"/>
      <c r="H25" s="278">
        <f>Retorno!G29</f>
        <v>0</v>
      </c>
      <c r="I25" s="280"/>
      <c r="J25" s="277">
        <f>VaR_Calculo!F178</f>
        <v>0</v>
      </c>
      <c r="K25" s="284" t="str">
        <f>Carteira!S25</f>
        <v/>
      </c>
      <c r="L25" s="261" t="str">
        <f t="shared" si="0"/>
        <v/>
      </c>
      <c r="M25" s="261" t="str">
        <f>Carteira!R25</f>
        <v/>
      </c>
      <c r="N25" s="281" t="str">
        <f>Carteira!Q25</f>
        <v/>
      </c>
      <c r="O25" s="283" t="str">
        <f>Carteira!T25</f>
        <v/>
      </c>
    </row>
    <row r="26" spans="1:15" x14ac:dyDescent="0.3">
      <c r="A26" s="279"/>
      <c r="B26" s="260" t="str">
        <f>Carteira!C26</f>
        <v/>
      </c>
      <c r="C26" s="277">
        <f>Retorno!K30</f>
        <v>0</v>
      </c>
      <c r="D26" s="278">
        <f>Retorno!E30</f>
        <v>0</v>
      </c>
      <c r="E26" s="278">
        <f>Retorno!D30</f>
        <v>0</v>
      </c>
      <c r="F26" s="278">
        <f>Retorno!H30</f>
        <v>0</v>
      </c>
      <c r="G26" s="280"/>
      <c r="H26" s="278">
        <f>Retorno!G30</f>
        <v>0</v>
      </c>
      <c r="I26" s="280"/>
      <c r="J26" s="277">
        <f>VaR_Calculo!F179</f>
        <v>0</v>
      </c>
      <c r="K26" s="284" t="str">
        <f>Carteira!S26</f>
        <v/>
      </c>
      <c r="L26" s="261" t="str">
        <f t="shared" si="0"/>
        <v/>
      </c>
      <c r="M26" s="261" t="str">
        <f>Carteira!R26</f>
        <v/>
      </c>
      <c r="N26" s="281" t="str">
        <f>Carteira!Q26</f>
        <v/>
      </c>
      <c r="O26" s="283" t="str">
        <f>Carteira!T26</f>
        <v/>
      </c>
    </row>
    <row r="27" spans="1:15" x14ac:dyDescent="0.3">
      <c r="A27" s="279"/>
      <c r="B27" s="260" t="str">
        <f>Carteira!C27</f>
        <v/>
      </c>
      <c r="C27" s="277">
        <f>Retorno!K31</f>
        <v>0</v>
      </c>
      <c r="D27" s="278">
        <f>Retorno!E31</f>
        <v>0</v>
      </c>
      <c r="E27" s="278">
        <f>Retorno!D31</f>
        <v>0</v>
      </c>
      <c r="F27" s="278">
        <f>Retorno!H31</f>
        <v>0</v>
      </c>
      <c r="G27" s="280"/>
      <c r="H27" s="278">
        <f>Retorno!G31</f>
        <v>0</v>
      </c>
      <c r="I27" s="280"/>
      <c r="J27" s="277">
        <f>VaR_Calculo!F180</f>
        <v>0</v>
      </c>
      <c r="K27" s="284" t="str">
        <f>Carteira!S27</f>
        <v/>
      </c>
      <c r="L27" s="261" t="str">
        <f t="shared" si="0"/>
        <v/>
      </c>
      <c r="M27" s="261" t="str">
        <f>Carteira!R27</f>
        <v/>
      </c>
      <c r="N27" s="281" t="str">
        <f>Carteira!Q27</f>
        <v/>
      </c>
      <c r="O27" s="283" t="str">
        <f>Carteira!T27</f>
        <v/>
      </c>
    </row>
    <row r="28" spans="1:15" x14ac:dyDescent="0.3">
      <c r="A28" s="279"/>
      <c r="B28" s="260" t="str">
        <f>Carteira!C28</f>
        <v/>
      </c>
      <c r="C28" s="277">
        <f>Retorno!K32</f>
        <v>0</v>
      </c>
      <c r="D28" s="278">
        <f>Retorno!E32</f>
        <v>0</v>
      </c>
      <c r="E28" s="278">
        <f>Retorno!D32</f>
        <v>0</v>
      </c>
      <c r="F28" s="278">
        <f>Retorno!H32</f>
        <v>0</v>
      </c>
      <c r="G28" s="280"/>
      <c r="H28" s="278">
        <f>Retorno!G32</f>
        <v>0</v>
      </c>
      <c r="I28" s="280"/>
      <c r="J28" s="277">
        <f>VaR_Calculo!F181</f>
        <v>0</v>
      </c>
      <c r="K28" s="284" t="str">
        <f>Carteira!S28</f>
        <v/>
      </c>
      <c r="L28" s="261" t="str">
        <f t="shared" si="0"/>
        <v/>
      </c>
      <c r="M28" s="261" t="str">
        <f>Carteira!R28</f>
        <v/>
      </c>
      <c r="N28" s="281" t="str">
        <f>Carteira!Q28</f>
        <v/>
      </c>
      <c r="O28" s="283" t="str">
        <f>Carteira!T28</f>
        <v/>
      </c>
    </row>
    <row r="29" spans="1:15" x14ac:dyDescent="0.3">
      <c r="A29" s="279"/>
      <c r="B29" s="260" t="str">
        <f>Carteira!C29</f>
        <v/>
      </c>
      <c r="C29" s="277">
        <f>Retorno!K33</f>
        <v>0</v>
      </c>
      <c r="D29" s="278">
        <f>Retorno!E33</f>
        <v>0</v>
      </c>
      <c r="E29" s="278">
        <f>Retorno!D33</f>
        <v>0</v>
      </c>
      <c r="F29" s="278">
        <f>Retorno!H33</f>
        <v>0</v>
      </c>
      <c r="G29" s="280"/>
      <c r="H29" s="278">
        <f>Retorno!G33</f>
        <v>0</v>
      </c>
      <c r="I29" s="280"/>
      <c r="J29" s="277">
        <f>VaR_Calculo!F182</f>
        <v>0</v>
      </c>
      <c r="K29" s="284" t="str">
        <f>Carteira!S29</f>
        <v/>
      </c>
      <c r="L29" s="261" t="str">
        <f t="shared" si="0"/>
        <v/>
      </c>
      <c r="M29" s="261" t="str">
        <f>Carteira!R29</f>
        <v/>
      </c>
      <c r="N29" s="281" t="str">
        <f>Carteira!Q29</f>
        <v/>
      </c>
      <c r="O29" s="283" t="str">
        <f>Carteira!T29</f>
        <v/>
      </c>
    </row>
    <row r="30" spans="1:15" x14ac:dyDescent="0.3">
      <c r="A30" s="279"/>
      <c r="B30" s="260" t="str">
        <f>Carteira!C30</f>
        <v/>
      </c>
      <c r="C30" s="277">
        <f>Retorno!K34</f>
        <v>0</v>
      </c>
      <c r="D30" s="278">
        <f>Retorno!E34</f>
        <v>0</v>
      </c>
      <c r="E30" s="278">
        <f>Retorno!D34</f>
        <v>0</v>
      </c>
      <c r="F30" s="278">
        <f>Retorno!H34</f>
        <v>0</v>
      </c>
      <c r="G30" s="280"/>
      <c r="H30" s="278">
        <f>Retorno!G34</f>
        <v>0</v>
      </c>
      <c r="I30" s="280"/>
      <c r="J30" s="277">
        <f>VaR_Calculo!F183</f>
        <v>0</v>
      </c>
      <c r="K30" s="284" t="str">
        <f>Carteira!S30</f>
        <v/>
      </c>
      <c r="L30" s="261" t="str">
        <f t="shared" si="0"/>
        <v/>
      </c>
      <c r="M30" s="261" t="str">
        <f>Carteira!R30</f>
        <v/>
      </c>
      <c r="N30" s="281" t="str">
        <f>Carteira!Q30</f>
        <v/>
      </c>
      <c r="O30" s="283" t="str">
        <f>Carteira!T30</f>
        <v/>
      </c>
    </row>
    <row r="31" spans="1:15" x14ac:dyDescent="0.3">
      <c r="A31" s="279"/>
      <c r="B31" s="260" t="str">
        <f>Carteira!C31</f>
        <v/>
      </c>
      <c r="C31" s="277">
        <f>Retorno!K35</f>
        <v>0</v>
      </c>
      <c r="D31" s="278">
        <f>Retorno!E35</f>
        <v>0</v>
      </c>
      <c r="E31" s="278">
        <f>Retorno!D35</f>
        <v>0</v>
      </c>
      <c r="F31" s="278">
        <f>Retorno!H35</f>
        <v>0</v>
      </c>
      <c r="G31" s="280"/>
      <c r="H31" s="278">
        <f>Retorno!G35</f>
        <v>0</v>
      </c>
      <c r="I31" s="280"/>
      <c r="J31" s="277">
        <f>VaR_Calculo!F184</f>
        <v>0</v>
      </c>
      <c r="K31" s="284" t="str">
        <f>Carteira!S31</f>
        <v/>
      </c>
      <c r="L31" s="261" t="str">
        <f t="shared" si="0"/>
        <v/>
      </c>
      <c r="M31" s="261" t="str">
        <f>Carteira!R31</f>
        <v/>
      </c>
      <c r="N31" s="281" t="str">
        <f>Carteira!Q31</f>
        <v/>
      </c>
      <c r="O31" s="283" t="str">
        <f>Carteira!T31</f>
        <v/>
      </c>
    </row>
    <row r="32" spans="1:15" x14ac:dyDescent="0.3">
      <c r="A32" s="279"/>
      <c r="B32" s="260" t="str">
        <f>Carteira!C32</f>
        <v/>
      </c>
      <c r="C32" s="277">
        <f>Retorno!K36</f>
        <v>0</v>
      </c>
      <c r="D32" s="278">
        <f>Retorno!E36</f>
        <v>0</v>
      </c>
      <c r="E32" s="278">
        <f>Retorno!D36</f>
        <v>0</v>
      </c>
      <c r="F32" s="278">
        <f>Retorno!H36</f>
        <v>0</v>
      </c>
      <c r="G32" s="280"/>
      <c r="H32" s="278">
        <f>Retorno!G36</f>
        <v>0</v>
      </c>
      <c r="I32" s="280"/>
      <c r="J32" s="277">
        <f>VaR_Calculo!F185</f>
        <v>0</v>
      </c>
      <c r="K32" s="284" t="str">
        <f>Carteira!S32</f>
        <v/>
      </c>
      <c r="L32" s="261" t="str">
        <f t="shared" si="0"/>
        <v/>
      </c>
      <c r="M32" s="261" t="str">
        <f>Carteira!R32</f>
        <v/>
      </c>
      <c r="N32" s="281" t="str">
        <f>Carteira!Q32</f>
        <v/>
      </c>
      <c r="O32" s="283" t="str">
        <f>Carteira!T32</f>
        <v/>
      </c>
    </row>
    <row r="33" spans="1:15" x14ac:dyDescent="0.3">
      <c r="A33" s="279"/>
      <c r="B33" s="260" t="str">
        <f>Carteira!C33</f>
        <v/>
      </c>
      <c r="C33" s="277">
        <f>Retorno!K37</f>
        <v>0</v>
      </c>
      <c r="D33" s="278">
        <f>Retorno!E37</f>
        <v>0</v>
      </c>
      <c r="E33" s="278">
        <f>Retorno!D37</f>
        <v>0</v>
      </c>
      <c r="F33" s="278">
        <f>Retorno!H37</f>
        <v>0</v>
      </c>
      <c r="G33" s="280"/>
      <c r="H33" s="278">
        <f>Retorno!G37</f>
        <v>0</v>
      </c>
      <c r="I33" s="280"/>
      <c r="J33" s="277">
        <f>VaR_Calculo!F186</f>
        <v>0</v>
      </c>
      <c r="K33" s="284" t="str">
        <f>Carteira!S33</f>
        <v/>
      </c>
      <c r="L33" s="261" t="str">
        <f t="shared" si="0"/>
        <v/>
      </c>
      <c r="M33" s="261" t="str">
        <f>Carteira!R33</f>
        <v/>
      </c>
      <c r="N33" s="281" t="str">
        <f>Carteira!Q33</f>
        <v/>
      </c>
      <c r="O33" s="283" t="str">
        <f>Carteira!T33</f>
        <v/>
      </c>
    </row>
    <row r="34" spans="1:15" x14ac:dyDescent="0.3">
      <c r="A34" s="279"/>
      <c r="B34" s="260" t="str">
        <f>Carteira!C34</f>
        <v/>
      </c>
      <c r="C34" s="277">
        <f>Retorno!K38</f>
        <v>0</v>
      </c>
      <c r="D34" s="278">
        <f>Retorno!E38</f>
        <v>0</v>
      </c>
      <c r="E34" s="278">
        <f>Retorno!D38</f>
        <v>0</v>
      </c>
      <c r="F34" s="278">
        <f>Retorno!H38</f>
        <v>0</v>
      </c>
      <c r="G34" s="280"/>
      <c r="H34" s="278">
        <f>Retorno!G38</f>
        <v>0</v>
      </c>
      <c r="I34" s="280"/>
      <c r="J34" s="277">
        <f>VaR_Calculo!F187</f>
        <v>0</v>
      </c>
      <c r="K34" s="284" t="str">
        <f>Carteira!S34</f>
        <v/>
      </c>
      <c r="L34" s="261" t="str">
        <f t="shared" si="0"/>
        <v/>
      </c>
      <c r="M34" s="261" t="str">
        <f>Carteira!R34</f>
        <v/>
      </c>
      <c r="N34" s="281" t="str">
        <f>Carteira!Q34</f>
        <v/>
      </c>
      <c r="O34" s="283" t="str">
        <f>Carteira!T34</f>
        <v/>
      </c>
    </row>
    <row r="35" spans="1:15" x14ac:dyDescent="0.3">
      <c r="A35" s="279"/>
      <c r="B35" s="260" t="str">
        <f>Carteira!C35</f>
        <v/>
      </c>
      <c r="C35" s="277">
        <f>Retorno!K39</f>
        <v>0</v>
      </c>
      <c r="D35" s="278">
        <f>Retorno!E39</f>
        <v>0</v>
      </c>
      <c r="E35" s="278">
        <f>Retorno!D39</f>
        <v>0</v>
      </c>
      <c r="F35" s="278">
        <f>Retorno!H39</f>
        <v>0</v>
      </c>
      <c r="G35" s="280"/>
      <c r="H35" s="278">
        <f>Retorno!G39</f>
        <v>0</v>
      </c>
      <c r="I35" s="280"/>
      <c r="J35" s="277">
        <f>VaR_Calculo!F188</f>
        <v>0</v>
      </c>
      <c r="K35" s="284" t="str">
        <f>Carteira!S35</f>
        <v/>
      </c>
      <c r="L35" s="261" t="str">
        <f t="shared" si="0"/>
        <v/>
      </c>
      <c r="M35" s="261" t="str">
        <f>Carteira!R35</f>
        <v/>
      </c>
      <c r="N35" s="281" t="str">
        <f>Carteira!Q35</f>
        <v/>
      </c>
      <c r="O35" s="283" t="str">
        <f>Carteira!T35</f>
        <v/>
      </c>
    </row>
    <row r="36" spans="1:15" x14ac:dyDescent="0.3">
      <c r="A36" s="279"/>
      <c r="B36" s="260" t="str">
        <f>Carteira!C36</f>
        <v/>
      </c>
      <c r="C36" s="277">
        <f>Retorno!K40</f>
        <v>0</v>
      </c>
      <c r="D36" s="278">
        <f>Retorno!E40</f>
        <v>0</v>
      </c>
      <c r="E36" s="278">
        <f>Retorno!D40</f>
        <v>0</v>
      </c>
      <c r="F36" s="278">
        <f>Retorno!H40</f>
        <v>0</v>
      </c>
      <c r="G36" s="280"/>
      <c r="H36" s="278">
        <f>Retorno!G40</f>
        <v>0</v>
      </c>
      <c r="I36" s="280"/>
      <c r="J36" s="277">
        <f>VaR_Calculo!F189</f>
        <v>1.9435894850779165E-4</v>
      </c>
      <c r="K36" s="284" t="str">
        <f>Carteira!S36</f>
        <v/>
      </c>
      <c r="L36" s="261" t="str">
        <f t="shared" si="0"/>
        <v/>
      </c>
      <c r="M36" s="261" t="str">
        <f>Carteira!R36</f>
        <v/>
      </c>
      <c r="N36" s="281" t="str">
        <f>Carteira!Q36</f>
        <v/>
      </c>
      <c r="O36" s="283" t="str">
        <f>Carteira!T36</f>
        <v/>
      </c>
    </row>
    <row r="37" spans="1:15" x14ac:dyDescent="0.3">
      <c r="A37" s="279"/>
      <c r="B37" s="260" t="str">
        <f>Carteira!C37</f>
        <v/>
      </c>
      <c r="C37" s="277">
        <f>Retorno!K41</f>
        <v>0</v>
      </c>
      <c r="D37" s="278">
        <f>Retorno!E41</f>
        <v>0</v>
      </c>
      <c r="E37" s="278">
        <f>Retorno!D41</f>
        <v>0</v>
      </c>
      <c r="F37" s="278">
        <f>Retorno!H41</f>
        <v>0</v>
      </c>
      <c r="G37" s="280"/>
      <c r="H37" s="278">
        <f>Retorno!G41</f>
        <v>0</v>
      </c>
      <c r="I37" s="280"/>
      <c r="J37" s="277">
        <f>VaR_Calculo!F190</f>
        <v>1587.4726311825627</v>
      </c>
      <c r="K37" s="284" t="str">
        <f>Carteira!S37</f>
        <v/>
      </c>
      <c r="L37" s="261" t="str">
        <f t="shared" si="0"/>
        <v/>
      </c>
      <c r="M37" s="261" t="str">
        <f>Carteira!R37</f>
        <v/>
      </c>
      <c r="N37" s="281" t="str">
        <f>Carteira!Q37</f>
        <v/>
      </c>
      <c r="O37" s="283" t="str">
        <f>Carteira!T37</f>
        <v/>
      </c>
    </row>
    <row r="38" spans="1:15" x14ac:dyDescent="0.3">
      <c r="A38" s="279"/>
      <c r="B38" s="260" t="str">
        <f>Carteira!C38</f>
        <v/>
      </c>
      <c r="C38" s="277">
        <f>Retorno!K42</f>
        <v>0</v>
      </c>
      <c r="D38" s="278">
        <f>Retorno!E42</f>
        <v>0</v>
      </c>
      <c r="E38" s="278">
        <f>Retorno!D42</f>
        <v>0</v>
      </c>
      <c r="F38" s="278">
        <f>Retorno!H42</f>
        <v>0</v>
      </c>
      <c r="G38" s="280"/>
      <c r="H38" s="278">
        <f>Retorno!G42</f>
        <v>0</v>
      </c>
      <c r="I38" s="280"/>
      <c r="J38" s="277">
        <f>VaR_Calculo!F191</f>
        <v>8.9066459352897965E-4</v>
      </c>
      <c r="K38" s="284" t="str">
        <f>Carteira!S38</f>
        <v/>
      </c>
      <c r="L38" s="261" t="str">
        <f t="shared" si="0"/>
        <v/>
      </c>
      <c r="M38" s="261" t="str">
        <f>Carteira!R38</f>
        <v/>
      </c>
      <c r="N38" s="281" t="str">
        <f>Carteira!Q38</f>
        <v/>
      </c>
      <c r="O38" s="283" t="str">
        <f>Carteira!T38</f>
        <v/>
      </c>
    </row>
    <row r="39" spans="1:15" x14ac:dyDescent="0.3">
      <c r="A39" s="279"/>
      <c r="B39" s="260" t="str">
        <f>Carteira!C39</f>
        <v/>
      </c>
      <c r="C39" s="277">
        <f>Retorno!K43</f>
        <v>0</v>
      </c>
      <c r="D39" s="278">
        <f>Retorno!E43</f>
        <v>0</v>
      </c>
      <c r="E39" s="278">
        <f>Retorno!D43</f>
        <v>0</v>
      </c>
      <c r="F39" s="278">
        <f>Retorno!H43</f>
        <v>0</v>
      </c>
      <c r="G39" s="280"/>
      <c r="H39" s="278">
        <f>Retorno!G43</f>
        <v>0</v>
      </c>
      <c r="I39" s="280"/>
      <c r="J39" s="277">
        <f>VaR_Calculo!F192</f>
        <v>7274.7134960648082</v>
      </c>
      <c r="K39" s="284" t="str">
        <f>Carteira!S39</f>
        <v/>
      </c>
      <c r="L39" s="261" t="str">
        <f t="shared" si="0"/>
        <v/>
      </c>
      <c r="M39" s="261" t="str">
        <f>Carteira!R39</f>
        <v/>
      </c>
      <c r="N39" s="281" t="str">
        <f>Carteira!Q39</f>
        <v/>
      </c>
      <c r="O39" s="283" t="str">
        <f>Carteira!T39</f>
        <v/>
      </c>
    </row>
    <row r="40" spans="1:15" x14ac:dyDescent="0.3">
      <c r="A40" s="279"/>
      <c r="B40" s="260" t="str">
        <f>Carteira!C40</f>
        <v/>
      </c>
      <c r="C40" s="277">
        <f>Retorno!K44</f>
        <v>0</v>
      </c>
      <c r="D40" s="278">
        <f>Retorno!E44</f>
        <v>0</v>
      </c>
      <c r="E40" s="278">
        <f>Retorno!D44</f>
        <v>0</v>
      </c>
      <c r="F40" s="278">
        <f>Retorno!H44</f>
        <v>0</v>
      </c>
      <c r="G40" s="280"/>
      <c r="H40" s="278">
        <f>Retorno!G44</f>
        <v>0</v>
      </c>
      <c r="I40" s="280"/>
      <c r="J40" s="277">
        <f>VaR_Calculo!F193</f>
        <v>0</v>
      </c>
      <c r="K40" s="284" t="str">
        <f>Carteira!S40</f>
        <v/>
      </c>
      <c r="L40" s="261" t="str">
        <f t="shared" si="0"/>
        <v/>
      </c>
      <c r="M40" s="261" t="str">
        <f>Carteira!R40</f>
        <v/>
      </c>
      <c r="N40" s="281" t="str">
        <f>Carteira!Q40</f>
        <v/>
      </c>
      <c r="O40" s="283" t="str">
        <f>Carteira!T40</f>
        <v/>
      </c>
    </row>
    <row r="41" spans="1:15" x14ac:dyDescent="0.3">
      <c r="A41" s="279"/>
      <c r="B41" s="260" t="str">
        <f>Carteira!C41</f>
        <v/>
      </c>
      <c r="C41" s="277">
        <f>Retorno!K45</f>
        <v>0</v>
      </c>
      <c r="D41" s="278">
        <f>Retorno!E45</f>
        <v>0</v>
      </c>
      <c r="E41" s="278">
        <f>Retorno!D45</f>
        <v>0</v>
      </c>
      <c r="F41" s="278">
        <f>Retorno!H45</f>
        <v>0</v>
      </c>
      <c r="G41" s="280"/>
      <c r="H41" s="278">
        <f>Retorno!G45</f>
        <v>0</v>
      </c>
      <c r="I41" s="280"/>
      <c r="J41" s="277">
        <f>VaR_Calculo!F194</f>
        <v>0</v>
      </c>
      <c r="K41" s="284" t="str">
        <f>Carteira!S41</f>
        <v/>
      </c>
      <c r="L41" s="261" t="str">
        <f t="shared" si="0"/>
        <v/>
      </c>
      <c r="M41" s="261" t="str">
        <f>Carteira!R41</f>
        <v/>
      </c>
      <c r="N41" s="281" t="str">
        <f>Carteira!Q41</f>
        <v/>
      </c>
      <c r="O41" s="283" t="str">
        <f>Carteira!T41</f>
        <v/>
      </c>
    </row>
    <row r="42" spans="1:15" x14ac:dyDescent="0.3">
      <c r="A42" s="279"/>
      <c r="B42" s="260" t="str">
        <f>Carteira!C42</f>
        <v/>
      </c>
      <c r="C42" s="277">
        <f>Retorno!K46</f>
        <v>0</v>
      </c>
      <c r="D42" s="278">
        <f>Retorno!E46</f>
        <v>0</v>
      </c>
      <c r="E42" s="278">
        <f>Retorno!D46</f>
        <v>0</v>
      </c>
      <c r="F42" s="278">
        <f>Retorno!H46</f>
        <v>0</v>
      </c>
      <c r="G42" s="280"/>
      <c r="H42" s="278">
        <f>Retorno!G46</f>
        <v>0</v>
      </c>
      <c r="I42" s="280"/>
      <c r="J42" s="277">
        <f>VaR_Calculo!F195</f>
        <v>0</v>
      </c>
      <c r="K42" s="284" t="str">
        <f>Carteira!S42</f>
        <v/>
      </c>
      <c r="L42" s="261" t="str">
        <f t="shared" si="0"/>
        <v/>
      </c>
      <c r="M42" s="261" t="str">
        <f>Carteira!R42</f>
        <v/>
      </c>
      <c r="N42" s="281" t="str">
        <f>Carteira!Q42</f>
        <v/>
      </c>
      <c r="O42" s="283" t="str">
        <f>Carteira!T42</f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>
    <tabColor rgb="FFFFFF00"/>
  </sheetPr>
  <dimension ref="C2:M8"/>
  <sheetViews>
    <sheetView showGridLines="0" tabSelected="1" topLeftCell="A7" workbookViewId="0">
      <selection activeCell="H43" sqref="H43"/>
    </sheetView>
  </sheetViews>
  <sheetFormatPr defaultColWidth="9.140625" defaultRowHeight="15" x14ac:dyDescent="0.3"/>
  <cols>
    <col min="1" max="16384" width="9.140625" style="143"/>
  </cols>
  <sheetData>
    <row r="2" spans="3:13" x14ac:dyDescent="0.3">
      <c r="C2" s="380" t="str">
        <f>Entrada!E2</f>
        <v>INSTITUTO DE PREVIDÊNCIA MUNICIPAL DE ITAPEVA</v>
      </c>
      <c r="D2" s="380"/>
      <c r="E2" s="380"/>
      <c r="F2" s="380"/>
      <c r="G2" s="380"/>
      <c r="H2" s="380"/>
      <c r="I2" s="380"/>
      <c r="J2" s="380"/>
      <c r="K2" s="380"/>
      <c r="L2" s="380"/>
      <c r="M2" s="380"/>
    </row>
    <row r="3" spans="3:13" x14ac:dyDescent="0.3"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</row>
    <row r="4" spans="3:13" x14ac:dyDescent="0.3"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</row>
    <row r="5" spans="3:13" x14ac:dyDescent="0.3"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</row>
    <row r="7" spans="3:13" x14ac:dyDescent="0.3">
      <c r="G7" s="381" t="str">
        <f>historico!AB1</f>
        <v>Março/2016</v>
      </c>
      <c r="H7" s="381"/>
      <c r="I7" s="381"/>
    </row>
    <row r="8" spans="3:13" x14ac:dyDescent="0.3">
      <c r="G8" s="381"/>
      <c r="H8" s="381"/>
      <c r="I8" s="381"/>
    </row>
  </sheetData>
  <sheetProtection password="F591" sheet="1" objects="1" scenarios="1" formatCells="0" formatColumns="0" formatRows="0" insertColumns="0" insertRows="0" insertHyperlinks="0" deleteColumns="0" deleteRows="0" selectLockedCells="1" sort="0" autoFilter="0" pivotTables="0"/>
  <mergeCells count="2">
    <mergeCell ref="C2:M5"/>
    <mergeCell ref="G7:I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>
    <tabColor rgb="FFFFFF00"/>
  </sheetPr>
  <dimension ref="B2:K49"/>
  <sheetViews>
    <sheetView showGridLines="0" workbookViewId="0"/>
  </sheetViews>
  <sheetFormatPr defaultColWidth="9.140625" defaultRowHeight="15" x14ac:dyDescent="0.3"/>
  <cols>
    <col min="1" max="1" width="3.5703125" style="1" customWidth="1"/>
    <col min="2" max="2" width="27.28515625" style="1" bestFit="1" customWidth="1"/>
    <col min="3" max="5" width="14.28515625" style="1" customWidth="1"/>
    <col min="6" max="6" width="12.28515625" style="1" customWidth="1"/>
    <col min="7" max="7" width="14.28515625" style="1" customWidth="1"/>
    <col min="8" max="8" width="14.42578125" style="1" customWidth="1"/>
    <col min="9" max="10" width="9.140625" style="1"/>
    <col min="11" max="11" width="10.42578125" style="1" customWidth="1"/>
    <col min="12" max="16384" width="9.140625" style="1"/>
  </cols>
  <sheetData>
    <row r="2" spans="2:11" ht="30" customHeight="1" x14ac:dyDescent="0.3">
      <c r="C2" s="383" t="s">
        <v>721</v>
      </c>
      <c r="D2" s="383"/>
      <c r="E2" s="383"/>
      <c r="F2" s="383"/>
      <c r="G2" s="383"/>
      <c r="H2" s="383"/>
      <c r="I2" s="132"/>
      <c r="J2" s="132"/>
      <c r="K2" s="132"/>
    </row>
    <row r="4" spans="2:11" x14ac:dyDescent="0.3">
      <c r="C4" s="382" t="s">
        <v>546</v>
      </c>
      <c r="D4" s="382"/>
      <c r="E4" s="382"/>
      <c r="F4" s="382"/>
      <c r="G4" s="382"/>
      <c r="H4" s="382"/>
      <c r="I4" s="382"/>
      <c r="J4" s="382"/>
      <c r="K4" s="382"/>
    </row>
    <row r="5" spans="2:11" x14ac:dyDescent="0.3">
      <c r="B5" s="34"/>
      <c r="C5" s="151" t="s">
        <v>2</v>
      </c>
      <c r="D5" s="151" t="s">
        <v>3</v>
      </c>
      <c r="E5" s="151" t="s">
        <v>4</v>
      </c>
      <c r="F5" s="151" t="s">
        <v>806</v>
      </c>
      <c r="G5" s="151" t="s">
        <v>5</v>
      </c>
      <c r="H5" s="151" t="s">
        <v>544</v>
      </c>
      <c r="I5" s="151" t="s">
        <v>545</v>
      </c>
      <c r="J5" s="151" t="s">
        <v>569</v>
      </c>
      <c r="K5" s="151" t="s">
        <v>634</v>
      </c>
    </row>
    <row r="6" spans="2:11" x14ac:dyDescent="0.3">
      <c r="C6" s="106">
        <f>Retorno!C4</f>
        <v>7955238.4399999995</v>
      </c>
      <c r="D6" s="106">
        <f>Retorno!D4</f>
        <v>5519280.0800000001</v>
      </c>
      <c r="E6" s="106">
        <f>Retorno!E4</f>
        <v>5519280.0800000001</v>
      </c>
      <c r="F6" s="106">
        <f>Retorno!F4</f>
        <v>0</v>
      </c>
      <c r="G6" s="106">
        <f>Retorno!G4</f>
        <v>8167736.2599999998</v>
      </c>
      <c r="H6" s="106">
        <f>Retorno!H4</f>
        <v>212497.8200000003</v>
      </c>
      <c r="I6" s="23">
        <f>Retorno!I4</f>
        <v>2.671168458402616E-2</v>
      </c>
      <c r="J6" s="23">
        <f>Retorno!J4</f>
        <v>9.2889677878305044E-3</v>
      </c>
      <c r="K6" s="23">
        <f>Retorno!K4</f>
        <v>2.8756353982647234</v>
      </c>
    </row>
    <row r="9" spans="2:11" x14ac:dyDescent="0.3">
      <c r="B9" s="151" t="s">
        <v>73</v>
      </c>
      <c r="C9" s="151" t="s">
        <v>2</v>
      </c>
      <c r="D9" s="151" t="s">
        <v>3</v>
      </c>
      <c r="E9" s="151" t="s">
        <v>4</v>
      </c>
      <c r="F9" s="151" t="s">
        <v>806</v>
      </c>
      <c r="G9" s="151" t="s">
        <v>5</v>
      </c>
      <c r="H9" s="151" t="s">
        <v>544</v>
      </c>
      <c r="I9" s="151" t="s">
        <v>545</v>
      </c>
      <c r="J9" s="151" t="s">
        <v>569</v>
      </c>
      <c r="K9" s="151" t="s">
        <v>634</v>
      </c>
    </row>
    <row r="10" spans="2:11" x14ac:dyDescent="0.3">
      <c r="B10" s="1" t="str">
        <f>Retorno!B7</f>
        <v>BB IRF-M</v>
      </c>
      <c r="C10" s="34">
        <f>IF($B10="","",Retorno!C7)</f>
        <v>3282733.81</v>
      </c>
      <c r="D10" s="34">
        <f>IF($B10="","",Retorno!D7)</f>
        <v>0</v>
      </c>
      <c r="E10" s="34">
        <f>IF($B10="","",Retorno!E7)</f>
        <v>3378168.77</v>
      </c>
      <c r="F10" s="34">
        <f>IF($B10="","",Retorno!F7)</f>
        <v>0</v>
      </c>
      <c r="G10" s="34">
        <f>IF($B10="","",Retorno!G7)</f>
        <v>0</v>
      </c>
      <c r="H10" s="34">
        <f>IF($B10="","",Retorno!H7)</f>
        <v>95434.959999999963</v>
      </c>
      <c r="I10" s="33">
        <f>IF(B10="","",Retorno!I7)</f>
        <v>2.907179367065402E-2</v>
      </c>
      <c r="J10" s="33">
        <f>IF(B10="","",$J$6)</f>
        <v>9.2889677878305044E-3</v>
      </c>
      <c r="K10" s="33">
        <f>IF(B10="","",I10/J10)</f>
        <v>3.1297119695840734</v>
      </c>
    </row>
    <row r="11" spans="2:11" x14ac:dyDescent="0.3">
      <c r="B11" s="1" t="str">
        <f>Retorno!B8</f>
        <v>BB Perfil</v>
      </c>
      <c r="C11" s="34">
        <f>IF(B11="","",Retorno!C8)</f>
        <v>363984.75</v>
      </c>
      <c r="D11" s="34">
        <f>IF($B11="","",Retorno!D8)</f>
        <v>0</v>
      </c>
      <c r="E11" s="34">
        <f>IF($B11="","",Retorno!E8)</f>
        <v>0</v>
      </c>
      <c r="F11" s="34">
        <f>IF($B11="","",Retorno!F8)</f>
        <v>0</v>
      </c>
      <c r="G11" s="34">
        <f>IF($B11="","",Retorno!G8)</f>
        <v>368033.64</v>
      </c>
      <c r="H11" s="34">
        <f>IF($B11="","",Retorno!H8)</f>
        <v>4048.890000000014</v>
      </c>
      <c r="I11" s="33">
        <f>IF(B11="","",Retorno!I8)</f>
        <v>1.1123790213738388E-2</v>
      </c>
      <c r="J11" s="33">
        <f t="shared" ref="J11:J49" si="0">IF(B11="","",$J$6)</f>
        <v>9.2889677878305044E-3</v>
      </c>
      <c r="K11" s="33">
        <f t="shared" ref="K11:K49" si="1">IF(B11="","",I11/J11)</f>
        <v>1.1975270522857973</v>
      </c>
    </row>
    <row r="12" spans="2:11" x14ac:dyDescent="0.3">
      <c r="B12" s="1" t="str">
        <f>Retorno!B9</f>
        <v>BB IX TP</v>
      </c>
      <c r="C12" s="34">
        <f>IF(B12="","",Retorno!C9)</f>
        <v>531483.21</v>
      </c>
      <c r="D12" s="34">
        <f>IF($B12="","",Retorno!D9)</f>
        <v>0</v>
      </c>
      <c r="E12" s="34">
        <f>IF($B12="","",Retorno!E9)</f>
        <v>0</v>
      </c>
      <c r="F12" s="34">
        <f>IF($B12="","",Retorno!F9)</f>
        <v>0</v>
      </c>
      <c r="G12" s="34">
        <f>IF($B12="","",Retorno!G9)</f>
        <v>535928.17000000004</v>
      </c>
      <c r="H12" s="34">
        <f>IF($B12="","",Retorno!H9)</f>
        <v>4444.9600000000792</v>
      </c>
      <c r="I12" s="33">
        <f>IF(B12="","",Retorno!I9)</f>
        <v>8.3633121731165865E-3</v>
      </c>
      <c r="J12" s="33">
        <f t="shared" si="0"/>
        <v>9.2889677878305044E-3</v>
      </c>
      <c r="K12" s="33">
        <f t="shared" si="1"/>
        <v>0.90034892618245255</v>
      </c>
    </row>
    <row r="13" spans="2:11" x14ac:dyDescent="0.3">
      <c r="B13" s="1" t="str">
        <f>Retorno!B10</f>
        <v>BB IRF-M1</v>
      </c>
      <c r="C13" s="34">
        <f>IF(B13="","",Retorno!C10)</f>
        <v>0</v>
      </c>
      <c r="D13" s="34">
        <f>IF($B13="","",Retorno!D10)</f>
        <v>3378168.77</v>
      </c>
      <c r="E13" s="34">
        <f>IF($B13="","",Retorno!E10)</f>
        <v>0</v>
      </c>
      <c r="F13" s="34">
        <f>IF($B13="","",Retorno!F10)</f>
        <v>0</v>
      </c>
      <c r="G13" s="34">
        <f>IF($B13="","",Retorno!G10)</f>
        <v>3391984.3</v>
      </c>
      <c r="H13" s="34">
        <f>IF($B13="","",Retorno!H10)</f>
        <v>13815.529999999795</v>
      </c>
      <c r="I13" s="33">
        <f>IF(B13="","",Retorno!I10)</f>
        <v>4.0896506186100922E-3</v>
      </c>
      <c r="J13" s="33">
        <f t="shared" si="0"/>
        <v>9.2889677878305044E-3</v>
      </c>
      <c r="K13" s="33">
        <f t="shared" si="1"/>
        <v>0.44026965234694343</v>
      </c>
    </row>
    <row r="14" spans="2:11" x14ac:dyDescent="0.3">
      <c r="B14" s="1" t="str">
        <f>Retorno!B11</f>
        <v>Caixa 2016 I TP RF</v>
      </c>
      <c r="C14" s="34">
        <f>IF(B14="","",Retorno!C11)</f>
        <v>1076412</v>
      </c>
      <c r="D14" s="34">
        <f>IF($B14="","",Retorno!D11)</f>
        <v>0</v>
      </c>
      <c r="E14" s="34">
        <f>IF($B14="","",Retorno!E11)</f>
        <v>0</v>
      </c>
      <c r="F14" s="34">
        <f>IF($B14="","",Retorno!F11)</f>
        <v>0</v>
      </c>
      <c r="G14" s="34">
        <f>IF($B14="","",Retorno!G11)</f>
        <v>1086173</v>
      </c>
      <c r="H14" s="34">
        <f>IF($B14="","",Retorno!H11)</f>
        <v>9761</v>
      </c>
      <c r="I14" s="33">
        <f>IF(B14="","",Retorno!I11)</f>
        <v>9.068089170317685E-3</v>
      </c>
      <c r="J14" s="33">
        <f t="shared" si="0"/>
        <v>9.2889677878305044E-3</v>
      </c>
      <c r="K14" s="33">
        <f t="shared" si="1"/>
        <v>0.97622140343707586</v>
      </c>
    </row>
    <row r="15" spans="2:11" x14ac:dyDescent="0.3">
      <c r="B15" s="1" t="str">
        <f>Retorno!B12</f>
        <v>Caixa Ref. DI LP</v>
      </c>
      <c r="C15" s="34">
        <f>IF(B15="","",Retorno!C12)</f>
        <v>628197.5</v>
      </c>
      <c r="D15" s="34">
        <f>IF($B15="","",Retorno!D12)</f>
        <v>0</v>
      </c>
      <c r="E15" s="34">
        <f>IF($B15="","",Retorno!E12)</f>
        <v>0</v>
      </c>
      <c r="F15" s="34">
        <f>IF($B15="","",Retorno!F12)</f>
        <v>0</v>
      </c>
      <c r="G15" s="34">
        <f>IF($B15="","",Retorno!G12)</f>
        <v>635599.06999999995</v>
      </c>
      <c r="H15" s="34">
        <f>IF($B15="","",Retorno!H12)</f>
        <v>7401.5699999999488</v>
      </c>
      <c r="I15" s="33">
        <f>IF(B15="","",Retorno!I12)</f>
        <v>1.1782234090393464E-2</v>
      </c>
      <c r="J15" s="33">
        <f t="shared" si="0"/>
        <v>9.2889677878305044E-3</v>
      </c>
      <c r="K15" s="33">
        <f t="shared" si="1"/>
        <v>1.2684115565380034</v>
      </c>
    </row>
    <row r="16" spans="2:11" x14ac:dyDescent="0.3">
      <c r="B16" s="1" t="str">
        <f>Retorno!B13</f>
        <v>Caixa IRF-M1</v>
      </c>
      <c r="C16" s="34">
        <f>IF(B16="","",Retorno!C13)</f>
        <v>0</v>
      </c>
      <c r="D16" s="34">
        <f>IF($B16="","",Retorno!D13)</f>
        <v>2141111.31</v>
      </c>
      <c r="E16" s="34">
        <f>IF($B16="","",Retorno!E13)</f>
        <v>0</v>
      </c>
      <c r="F16" s="34">
        <f>IF($B16="","",Retorno!F13)</f>
        <v>0</v>
      </c>
      <c r="G16" s="34">
        <f>IF($B16="","",Retorno!G13)</f>
        <v>2150018.08</v>
      </c>
      <c r="H16" s="34">
        <f>IF($B16="","",Retorno!H13)</f>
        <v>8906.7700000000186</v>
      </c>
      <c r="I16" s="33">
        <f>IF(B16="","",Retorno!I13)</f>
        <v>4.1598818138978578E-3</v>
      </c>
      <c r="J16" s="33">
        <f t="shared" si="0"/>
        <v>9.2889677878305044E-3</v>
      </c>
      <c r="K16" s="33">
        <f t="shared" si="1"/>
        <v>0.44783036273930538</v>
      </c>
    </row>
    <row r="17" spans="2:11" x14ac:dyDescent="0.3">
      <c r="B17" s="1" t="str">
        <f>Retorno!B14</f>
        <v>Caixa IRF-M1+</v>
      </c>
      <c r="C17" s="34">
        <f>IF(B17="","",Retorno!C14)</f>
        <v>2072427.17</v>
      </c>
      <c r="D17" s="34">
        <f>IF($B17="","",Retorno!D14)</f>
        <v>0</v>
      </c>
      <c r="E17" s="34">
        <f>IF($B17="","",Retorno!E14)</f>
        <v>2141111.31</v>
      </c>
      <c r="F17" s="34">
        <f>IF($B17="","",Retorno!F14)</f>
        <v>0</v>
      </c>
      <c r="G17" s="34">
        <f>IF($B17="","",Retorno!G14)</f>
        <v>0</v>
      </c>
      <c r="H17" s="34">
        <f>IF($B17="","",Retorno!H14)</f>
        <v>68684.14000000013</v>
      </c>
      <c r="I17" s="33">
        <f>IF(B17="","",Retorno!I14)</f>
        <v>3.3141883581848684E-2</v>
      </c>
      <c r="J17" s="33">
        <f t="shared" si="0"/>
        <v>9.2889677878305044E-3</v>
      </c>
      <c r="K17" s="33">
        <f t="shared" si="1"/>
        <v>3.5678758220335238</v>
      </c>
    </row>
    <row r="18" spans="2:11" x14ac:dyDescent="0.3">
      <c r="B18" s="1" t="str">
        <f>Retorno!B15</f>
        <v/>
      </c>
      <c r="C18" s="34" t="str">
        <f>IF(B18="","",Retorno!C15)</f>
        <v/>
      </c>
      <c r="D18" s="34" t="str">
        <f>IF($B18="","",Retorno!D15)</f>
        <v/>
      </c>
      <c r="E18" s="34" t="str">
        <f>IF($B18="","",Retorno!E15)</f>
        <v/>
      </c>
      <c r="F18" s="34" t="str">
        <f>IF($B18="","",Retorno!F15)</f>
        <v/>
      </c>
      <c r="G18" s="34" t="str">
        <f>IF($B18="","",Retorno!G15)</f>
        <v/>
      </c>
      <c r="H18" s="34" t="str">
        <f>IF($B18="","",Retorno!H15)</f>
        <v/>
      </c>
      <c r="I18" s="33" t="str">
        <f>IF(B18="","",Retorno!I15)</f>
        <v/>
      </c>
      <c r="J18" s="33" t="str">
        <f t="shared" si="0"/>
        <v/>
      </c>
      <c r="K18" s="33" t="str">
        <f t="shared" si="1"/>
        <v/>
      </c>
    </row>
    <row r="19" spans="2:11" x14ac:dyDescent="0.3">
      <c r="B19" s="1" t="str">
        <f>Retorno!B16</f>
        <v/>
      </c>
      <c r="C19" s="34" t="str">
        <f>IF(B19="","",Retorno!C16)</f>
        <v/>
      </c>
      <c r="D19" s="34" t="str">
        <f>IF($B19="","",Retorno!D16)</f>
        <v/>
      </c>
      <c r="E19" s="34" t="str">
        <f>IF($B19="","",Retorno!E16)</f>
        <v/>
      </c>
      <c r="F19" s="34" t="str">
        <f>IF($B19="","",Retorno!F16)</f>
        <v/>
      </c>
      <c r="G19" s="34" t="str">
        <f>IF($B19="","",Retorno!G16)</f>
        <v/>
      </c>
      <c r="H19" s="34" t="str">
        <f>IF($B19="","",Retorno!H16)</f>
        <v/>
      </c>
      <c r="I19" s="33" t="str">
        <f>IF(B19="","",Retorno!I16)</f>
        <v/>
      </c>
      <c r="J19" s="33" t="str">
        <f t="shared" si="0"/>
        <v/>
      </c>
      <c r="K19" s="33" t="str">
        <f t="shared" si="1"/>
        <v/>
      </c>
    </row>
    <row r="20" spans="2:11" x14ac:dyDescent="0.3">
      <c r="B20" s="1" t="str">
        <f>Retorno!B17</f>
        <v/>
      </c>
      <c r="C20" s="34" t="str">
        <f>IF(B20="","",Retorno!C17)</f>
        <v/>
      </c>
      <c r="D20" s="34" t="str">
        <f>IF($B20="","",Retorno!D17)</f>
        <v/>
      </c>
      <c r="E20" s="34" t="str">
        <f>IF($B20="","",Retorno!E17)</f>
        <v/>
      </c>
      <c r="F20" s="34" t="str">
        <f>IF($B20="","",Retorno!F17)</f>
        <v/>
      </c>
      <c r="G20" s="34" t="str">
        <f>IF($B20="","",Retorno!G17)</f>
        <v/>
      </c>
      <c r="H20" s="34" t="str">
        <f>IF($B20="","",Retorno!H17)</f>
        <v/>
      </c>
      <c r="I20" s="33" t="str">
        <f>IF(B20="","",Retorno!I17)</f>
        <v/>
      </c>
      <c r="J20" s="33" t="str">
        <f t="shared" si="0"/>
        <v/>
      </c>
      <c r="K20" s="33" t="str">
        <f t="shared" si="1"/>
        <v/>
      </c>
    </row>
    <row r="21" spans="2:11" x14ac:dyDescent="0.3">
      <c r="B21" s="1" t="str">
        <f>Retorno!B18</f>
        <v/>
      </c>
      <c r="C21" s="34" t="str">
        <f>IF(B21="","",Retorno!C18)</f>
        <v/>
      </c>
      <c r="D21" s="34" t="str">
        <f>IF($B21="","",Retorno!D18)</f>
        <v/>
      </c>
      <c r="E21" s="34" t="str">
        <f>IF($B21="","",Retorno!E18)</f>
        <v/>
      </c>
      <c r="F21" s="34" t="str">
        <f>IF($B21="","",Retorno!F18)</f>
        <v/>
      </c>
      <c r="G21" s="34" t="str">
        <f>IF($B21="","",Retorno!G18)</f>
        <v/>
      </c>
      <c r="H21" s="34" t="str">
        <f>IF($B21="","",Retorno!H18)</f>
        <v/>
      </c>
      <c r="I21" s="33" t="str">
        <f>IF(B21="","",Retorno!I18)</f>
        <v/>
      </c>
      <c r="J21" s="33" t="str">
        <f t="shared" si="0"/>
        <v/>
      </c>
      <c r="K21" s="33" t="str">
        <f t="shared" si="1"/>
        <v/>
      </c>
    </row>
    <row r="22" spans="2:11" x14ac:dyDescent="0.3">
      <c r="B22" s="1" t="str">
        <f>Retorno!B19</f>
        <v/>
      </c>
      <c r="C22" s="34" t="str">
        <f>IF(B22="","",Retorno!C19)</f>
        <v/>
      </c>
      <c r="D22" s="34" t="str">
        <f>IF($B22="","",Retorno!D19)</f>
        <v/>
      </c>
      <c r="E22" s="34" t="str">
        <f>IF($B22="","",Retorno!E19)</f>
        <v/>
      </c>
      <c r="F22" s="34" t="str">
        <f>IF($B22="","",Retorno!F19)</f>
        <v/>
      </c>
      <c r="G22" s="34" t="str">
        <f>IF($B22="","",Retorno!G19)</f>
        <v/>
      </c>
      <c r="H22" s="34" t="str">
        <f>IF($B22="","",Retorno!H19)</f>
        <v/>
      </c>
      <c r="I22" s="33" t="str">
        <f>IF(B22="","",Retorno!I19)</f>
        <v/>
      </c>
      <c r="J22" s="33" t="str">
        <f t="shared" si="0"/>
        <v/>
      </c>
      <c r="K22" s="33" t="str">
        <f t="shared" si="1"/>
        <v/>
      </c>
    </row>
    <row r="23" spans="2:11" x14ac:dyDescent="0.3">
      <c r="B23" s="1" t="str">
        <f>Retorno!B20</f>
        <v/>
      </c>
      <c r="C23" s="34" t="str">
        <f>IF(B23="","",Retorno!C20)</f>
        <v/>
      </c>
      <c r="D23" s="34" t="str">
        <f>IF($B23="","",Retorno!D20)</f>
        <v/>
      </c>
      <c r="E23" s="34" t="str">
        <f>IF($B23="","",Retorno!E20)</f>
        <v/>
      </c>
      <c r="F23" s="34" t="str">
        <f>IF($B23="","",Retorno!F20)</f>
        <v/>
      </c>
      <c r="G23" s="34" t="str">
        <f>IF($B23="","",Retorno!G20)</f>
        <v/>
      </c>
      <c r="H23" s="34" t="str">
        <f>IF($B23="","",Retorno!H20)</f>
        <v/>
      </c>
      <c r="I23" s="33" t="str">
        <f>IF(B23="","",Retorno!I20)</f>
        <v/>
      </c>
      <c r="J23" s="33" t="str">
        <f t="shared" si="0"/>
        <v/>
      </c>
      <c r="K23" s="33" t="str">
        <f t="shared" si="1"/>
        <v/>
      </c>
    </row>
    <row r="24" spans="2:11" x14ac:dyDescent="0.3">
      <c r="B24" s="1" t="str">
        <f>Retorno!B21</f>
        <v/>
      </c>
      <c r="C24" s="34" t="str">
        <f>IF(B24="","",Retorno!C21)</f>
        <v/>
      </c>
      <c r="D24" s="34" t="str">
        <f>IF($B24="","",Retorno!D21)</f>
        <v/>
      </c>
      <c r="E24" s="34" t="str">
        <f>IF($B24="","",Retorno!E21)</f>
        <v/>
      </c>
      <c r="F24" s="34" t="str">
        <f>IF($B24="","",Retorno!F21)</f>
        <v/>
      </c>
      <c r="G24" s="34" t="str">
        <f>IF($B24="","",Retorno!G21)</f>
        <v/>
      </c>
      <c r="H24" s="34" t="str">
        <f>IF($B24="","",Retorno!H21)</f>
        <v/>
      </c>
      <c r="I24" s="33" t="str">
        <f>IF(B24="","",Retorno!I21)</f>
        <v/>
      </c>
      <c r="J24" s="33" t="str">
        <f t="shared" si="0"/>
        <v/>
      </c>
      <c r="K24" s="33" t="str">
        <f t="shared" si="1"/>
        <v/>
      </c>
    </row>
    <row r="25" spans="2:11" x14ac:dyDescent="0.3">
      <c r="B25" s="1" t="str">
        <f>Retorno!B22</f>
        <v/>
      </c>
      <c r="C25" s="34" t="str">
        <f>IF(B25="","",Retorno!C22)</f>
        <v/>
      </c>
      <c r="D25" s="34" t="str">
        <f>IF($B25="","",Retorno!D22)</f>
        <v/>
      </c>
      <c r="E25" s="34" t="str">
        <f>IF($B25="","",Retorno!E22)</f>
        <v/>
      </c>
      <c r="F25" s="34" t="str">
        <f>IF($B25="","",Retorno!F22)</f>
        <v/>
      </c>
      <c r="G25" s="34" t="str">
        <f>IF($B25="","",Retorno!G22)</f>
        <v/>
      </c>
      <c r="H25" s="34" t="str">
        <f>IF($B25="","",Retorno!H22)</f>
        <v/>
      </c>
      <c r="I25" s="33" t="str">
        <f>IF(B25="","",Retorno!I22)</f>
        <v/>
      </c>
      <c r="J25" s="33" t="str">
        <f t="shared" si="0"/>
        <v/>
      </c>
      <c r="K25" s="33" t="str">
        <f t="shared" si="1"/>
        <v/>
      </c>
    </row>
    <row r="26" spans="2:11" x14ac:dyDescent="0.3">
      <c r="B26" s="1" t="str">
        <f>Retorno!B23</f>
        <v/>
      </c>
      <c r="C26" s="34" t="str">
        <f>IF(B26="","",Retorno!C23)</f>
        <v/>
      </c>
      <c r="D26" s="34" t="str">
        <f>IF($B26="","",Retorno!D23)</f>
        <v/>
      </c>
      <c r="E26" s="34" t="str">
        <f>IF($B26="","",Retorno!E23)</f>
        <v/>
      </c>
      <c r="F26" s="34" t="str">
        <f>IF($B26="","",Retorno!F23)</f>
        <v/>
      </c>
      <c r="G26" s="34" t="str">
        <f>IF($B26="","",Retorno!G23)</f>
        <v/>
      </c>
      <c r="H26" s="34" t="str">
        <f>IF($B26="","",Retorno!H23)</f>
        <v/>
      </c>
      <c r="I26" s="33" t="str">
        <f>IF(B26="","",Retorno!I23)</f>
        <v/>
      </c>
      <c r="J26" s="33" t="str">
        <f t="shared" si="0"/>
        <v/>
      </c>
      <c r="K26" s="33" t="str">
        <f t="shared" si="1"/>
        <v/>
      </c>
    </row>
    <row r="27" spans="2:11" x14ac:dyDescent="0.3">
      <c r="B27" s="1" t="str">
        <f>Retorno!B24</f>
        <v/>
      </c>
      <c r="C27" s="34" t="str">
        <f>IF(B27="","",Retorno!C24)</f>
        <v/>
      </c>
      <c r="D27" s="34" t="str">
        <f>IF($B27="","",Retorno!D24)</f>
        <v/>
      </c>
      <c r="E27" s="34" t="str">
        <f>IF($B27="","",Retorno!E24)</f>
        <v/>
      </c>
      <c r="F27" s="34" t="str">
        <f>IF($B27="","",Retorno!F24)</f>
        <v/>
      </c>
      <c r="G27" s="34" t="str">
        <f>IF($B27="","",Retorno!G24)</f>
        <v/>
      </c>
      <c r="H27" s="34" t="str">
        <f>IF($B27="","",Retorno!H24)</f>
        <v/>
      </c>
      <c r="I27" s="33" t="str">
        <f>IF(B27="","",Retorno!I24)</f>
        <v/>
      </c>
      <c r="J27" s="33" t="str">
        <f t="shared" si="0"/>
        <v/>
      </c>
      <c r="K27" s="33" t="str">
        <f t="shared" si="1"/>
        <v/>
      </c>
    </row>
    <row r="28" spans="2:11" x14ac:dyDescent="0.3">
      <c r="B28" s="1" t="str">
        <f>Retorno!B25</f>
        <v/>
      </c>
      <c r="C28" s="34" t="str">
        <f>IF(B28="","",Retorno!C25)</f>
        <v/>
      </c>
      <c r="D28" s="34" t="str">
        <f>IF($B28="","",Retorno!D25)</f>
        <v/>
      </c>
      <c r="E28" s="34" t="str">
        <f>IF($B28="","",Retorno!E25)</f>
        <v/>
      </c>
      <c r="F28" s="34" t="str">
        <f>IF($B28="","",Retorno!F25)</f>
        <v/>
      </c>
      <c r="G28" s="34" t="str">
        <f>IF($B28="","",Retorno!G25)</f>
        <v/>
      </c>
      <c r="H28" s="34" t="str">
        <f>IF($B28="","",Retorno!H25)</f>
        <v/>
      </c>
      <c r="I28" s="33" t="str">
        <f>IF(B28="","",Retorno!I25)</f>
        <v/>
      </c>
      <c r="J28" s="33" t="str">
        <f t="shared" si="0"/>
        <v/>
      </c>
      <c r="K28" s="33" t="str">
        <f t="shared" si="1"/>
        <v/>
      </c>
    </row>
    <row r="29" spans="2:11" x14ac:dyDescent="0.3">
      <c r="B29" s="1" t="str">
        <f>Retorno!B26</f>
        <v/>
      </c>
      <c r="C29" s="34" t="str">
        <f>IF(B29="","",Retorno!C26)</f>
        <v/>
      </c>
      <c r="D29" s="34" t="str">
        <f>IF($B29="","",Retorno!D26)</f>
        <v/>
      </c>
      <c r="E29" s="34" t="str">
        <f>IF($B29="","",Retorno!E26)</f>
        <v/>
      </c>
      <c r="F29" s="34" t="str">
        <f>IF($B29="","",Retorno!F26)</f>
        <v/>
      </c>
      <c r="G29" s="34" t="str">
        <f>IF($B29="","",Retorno!G26)</f>
        <v/>
      </c>
      <c r="H29" s="34" t="str">
        <f>IF($B29="","",Retorno!H26)</f>
        <v/>
      </c>
      <c r="I29" s="33" t="str">
        <f>IF(B29="","",Retorno!I26)</f>
        <v/>
      </c>
      <c r="J29" s="33" t="str">
        <f t="shared" si="0"/>
        <v/>
      </c>
      <c r="K29" s="33" t="str">
        <f t="shared" si="1"/>
        <v/>
      </c>
    </row>
    <row r="30" spans="2:11" x14ac:dyDescent="0.3">
      <c r="B30" s="1" t="str">
        <f>Retorno!B27</f>
        <v/>
      </c>
      <c r="C30" s="34" t="str">
        <f>IF(B30="","",Retorno!C27)</f>
        <v/>
      </c>
      <c r="D30" s="34" t="str">
        <f>IF($B30="","",Retorno!D27)</f>
        <v/>
      </c>
      <c r="E30" s="34" t="str">
        <f>IF($B30="","",Retorno!E27)</f>
        <v/>
      </c>
      <c r="F30" s="34" t="str">
        <f>IF($B30="","",Retorno!F27)</f>
        <v/>
      </c>
      <c r="G30" s="34" t="str">
        <f>IF($B30="","",Retorno!G27)</f>
        <v/>
      </c>
      <c r="H30" s="34" t="str">
        <f>IF($B30="","",Retorno!H27)</f>
        <v/>
      </c>
      <c r="I30" s="33" t="str">
        <f>IF(B30="","",Retorno!I27)</f>
        <v/>
      </c>
      <c r="J30" s="33" t="str">
        <f t="shared" si="0"/>
        <v/>
      </c>
      <c r="K30" s="33" t="str">
        <f t="shared" si="1"/>
        <v/>
      </c>
    </row>
    <row r="31" spans="2:11" x14ac:dyDescent="0.3">
      <c r="B31" s="1" t="str">
        <f>Retorno!B28</f>
        <v/>
      </c>
      <c r="C31" s="34" t="str">
        <f>IF(B31="","",Retorno!C28)</f>
        <v/>
      </c>
      <c r="D31" s="34" t="str">
        <f>IF($B31="","",Retorno!D28)</f>
        <v/>
      </c>
      <c r="E31" s="34" t="str">
        <f>IF($B31="","",Retorno!E28)</f>
        <v/>
      </c>
      <c r="F31" s="34" t="str">
        <f>IF($B31="","",Retorno!F28)</f>
        <v/>
      </c>
      <c r="G31" s="34" t="str">
        <f>IF($B31="","",Retorno!G28)</f>
        <v/>
      </c>
      <c r="H31" s="34" t="str">
        <f>IF($B31="","",Retorno!H28)</f>
        <v/>
      </c>
      <c r="I31" s="33" t="str">
        <f>IF(B31="","",Retorno!I28)</f>
        <v/>
      </c>
      <c r="J31" s="33" t="str">
        <f t="shared" si="0"/>
        <v/>
      </c>
      <c r="K31" s="33" t="str">
        <f t="shared" si="1"/>
        <v/>
      </c>
    </row>
    <row r="32" spans="2:11" x14ac:dyDescent="0.3">
      <c r="B32" s="1" t="str">
        <f>Retorno!B29</f>
        <v/>
      </c>
      <c r="C32" s="34" t="str">
        <f>IF(B32="","",Retorno!C29)</f>
        <v/>
      </c>
      <c r="D32" s="34" t="str">
        <f>IF($B32="","",Retorno!D29)</f>
        <v/>
      </c>
      <c r="E32" s="34" t="str">
        <f>IF($B32="","",Retorno!E29)</f>
        <v/>
      </c>
      <c r="F32" s="34" t="str">
        <f>IF($B32="","",Retorno!F29)</f>
        <v/>
      </c>
      <c r="G32" s="34" t="str">
        <f>IF($B32="","",Retorno!G29)</f>
        <v/>
      </c>
      <c r="H32" s="34" t="str">
        <f>IF($B32="","",Retorno!H29)</f>
        <v/>
      </c>
      <c r="I32" s="33" t="str">
        <f>IF(B32="","",Retorno!I29)</f>
        <v/>
      </c>
      <c r="J32" s="33" t="str">
        <f t="shared" si="0"/>
        <v/>
      </c>
      <c r="K32" s="33" t="str">
        <f t="shared" si="1"/>
        <v/>
      </c>
    </row>
    <row r="33" spans="2:11" x14ac:dyDescent="0.3">
      <c r="B33" s="1" t="str">
        <f>Retorno!B30</f>
        <v/>
      </c>
      <c r="C33" s="34" t="str">
        <f>IF(B33="","",Retorno!C30)</f>
        <v/>
      </c>
      <c r="D33" s="34" t="str">
        <f>IF($B33="","",Retorno!D30)</f>
        <v/>
      </c>
      <c r="E33" s="34" t="str">
        <f>IF($B33="","",Retorno!E30)</f>
        <v/>
      </c>
      <c r="F33" s="34" t="str">
        <f>IF($B33="","",Retorno!F30)</f>
        <v/>
      </c>
      <c r="G33" s="34" t="str">
        <f>IF($B33="","",Retorno!G30)</f>
        <v/>
      </c>
      <c r="H33" s="34" t="str">
        <f>IF($B33="","",Retorno!H30)</f>
        <v/>
      </c>
      <c r="I33" s="33" t="str">
        <f>IF(B33="","",Retorno!I30)</f>
        <v/>
      </c>
      <c r="J33" s="33" t="str">
        <f t="shared" si="0"/>
        <v/>
      </c>
      <c r="K33" s="33" t="str">
        <f t="shared" si="1"/>
        <v/>
      </c>
    </row>
    <row r="34" spans="2:11" x14ac:dyDescent="0.3">
      <c r="B34" s="1" t="str">
        <f>Retorno!B31</f>
        <v/>
      </c>
      <c r="C34" s="34" t="str">
        <f>IF(B34="","",Retorno!C31)</f>
        <v/>
      </c>
      <c r="D34" s="34" t="str">
        <f>IF($B34="","",Retorno!D31)</f>
        <v/>
      </c>
      <c r="E34" s="34" t="str">
        <f>IF($B34="","",Retorno!E31)</f>
        <v/>
      </c>
      <c r="F34" s="34" t="str">
        <f>IF($B34="","",Retorno!F31)</f>
        <v/>
      </c>
      <c r="G34" s="34" t="str">
        <f>IF($B34="","",Retorno!G31)</f>
        <v/>
      </c>
      <c r="H34" s="34" t="str">
        <f>IF($B34="","",Retorno!H31)</f>
        <v/>
      </c>
      <c r="I34" s="33" t="str">
        <f>IF(B34="","",Retorno!I31)</f>
        <v/>
      </c>
      <c r="J34" s="33" t="str">
        <f t="shared" si="0"/>
        <v/>
      </c>
      <c r="K34" s="33" t="str">
        <f t="shared" si="1"/>
        <v/>
      </c>
    </row>
    <row r="35" spans="2:11" x14ac:dyDescent="0.3">
      <c r="B35" s="1" t="str">
        <f>Retorno!B32</f>
        <v/>
      </c>
      <c r="C35" s="34" t="str">
        <f>IF(B35="","",Retorno!C32)</f>
        <v/>
      </c>
      <c r="D35" s="34" t="str">
        <f>IF($B35="","",Retorno!D32)</f>
        <v/>
      </c>
      <c r="E35" s="34" t="str">
        <f>IF($B35="","",Retorno!E32)</f>
        <v/>
      </c>
      <c r="F35" s="34" t="str">
        <f>IF($B35="","",Retorno!F32)</f>
        <v/>
      </c>
      <c r="G35" s="34" t="str">
        <f>IF($B35="","",Retorno!G32)</f>
        <v/>
      </c>
      <c r="H35" s="34" t="str">
        <f>IF($B35="","",Retorno!H32)</f>
        <v/>
      </c>
      <c r="I35" s="33" t="str">
        <f>IF(B35="","",Retorno!I32)</f>
        <v/>
      </c>
      <c r="J35" s="33" t="str">
        <f t="shared" si="0"/>
        <v/>
      </c>
      <c r="K35" s="33" t="str">
        <f t="shared" si="1"/>
        <v/>
      </c>
    </row>
    <row r="36" spans="2:11" x14ac:dyDescent="0.3">
      <c r="B36" s="1" t="str">
        <f>Retorno!B33</f>
        <v/>
      </c>
      <c r="C36" s="34" t="str">
        <f>IF(B36="","",Retorno!C33)</f>
        <v/>
      </c>
      <c r="D36" s="34" t="str">
        <f>IF($B36="","",Retorno!D33)</f>
        <v/>
      </c>
      <c r="E36" s="34" t="str">
        <f>IF($B36="","",Retorno!E33)</f>
        <v/>
      </c>
      <c r="F36" s="34" t="str">
        <f>IF($B36="","",Retorno!F33)</f>
        <v/>
      </c>
      <c r="G36" s="34" t="str">
        <f>IF($B36="","",Retorno!G33)</f>
        <v/>
      </c>
      <c r="H36" s="34" t="str">
        <f>IF($B36="","",Retorno!H33)</f>
        <v/>
      </c>
      <c r="I36" s="33" t="str">
        <f>IF(B36="","",Retorno!I33)</f>
        <v/>
      </c>
      <c r="J36" s="33" t="str">
        <f t="shared" si="0"/>
        <v/>
      </c>
      <c r="K36" s="33" t="str">
        <f t="shared" si="1"/>
        <v/>
      </c>
    </row>
    <row r="37" spans="2:11" x14ac:dyDescent="0.3">
      <c r="B37" s="1" t="str">
        <f>Retorno!B34</f>
        <v/>
      </c>
      <c r="C37" s="34" t="str">
        <f>IF(B37="","",Retorno!C34)</f>
        <v/>
      </c>
      <c r="D37" s="34" t="str">
        <f>IF($B37="","",Retorno!D34)</f>
        <v/>
      </c>
      <c r="E37" s="34" t="str">
        <f>IF($B37="","",Retorno!E34)</f>
        <v/>
      </c>
      <c r="F37" s="34" t="str">
        <f>IF($B37="","",Retorno!F34)</f>
        <v/>
      </c>
      <c r="G37" s="34" t="str">
        <f>IF($B37="","",Retorno!G34)</f>
        <v/>
      </c>
      <c r="H37" s="34" t="str">
        <f>IF($B37="","",Retorno!H34)</f>
        <v/>
      </c>
      <c r="I37" s="33" t="str">
        <f>IF(B37="","",Retorno!I34)</f>
        <v/>
      </c>
      <c r="J37" s="33" t="str">
        <f t="shared" si="0"/>
        <v/>
      </c>
      <c r="K37" s="33" t="str">
        <f t="shared" si="1"/>
        <v/>
      </c>
    </row>
    <row r="38" spans="2:11" x14ac:dyDescent="0.3">
      <c r="B38" s="1" t="str">
        <f>Retorno!B35</f>
        <v/>
      </c>
      <c r="C38" s="34" t="str">
        <f>IF(B38="","",Retorno!C35)</f>
        <v/>
      </c>
      <c r="D38" s="34" t="str">
        <f>IF($B38="","",Retorno!D35)</f>
        <v/>
      </c>
      <c r="E38" s="34" t="str">
        <f>IF($B38="","",Retorno!E35)</f>
        <v/>
      </c>
      <c r="F38" s="34" t="str">
        <f>IF($B38="","",Retorno!F35)</f>
        <v/>
      </c>
      <c r="G38" s="34" t="str">
        <f>IF($B38="","",Retorno!G35)</f>
        <v/>
      </c>
      <c r="H38" s="34" t="str">
        <f>IF($B38="","",Retorno!H35)</f>
        <v/>
      </c>
      <c r="I38" s="33" t="str">
        <f>IF(B38="","",Retorno!I35)</f>
        <v/>
      </c>
      <c r="J38" s="33" t="str">
        <f t="shared" si="0"/>
        <v/>
      </c>
      <c r="K38" s="33" t="str">
        <f t="shared" si="1"/>
        <v/>
      </c>
    </row>
    <row r="39" spans="2:11" x14ac:dyDescent="0.3">
      <c r="B39" s="1" t="str">
        <f>Retorno!B36</f>
        <v/>
      </c>
      <c r="C39" s="34" t="str">
        <f>IF(B39="","",Retorno!C36)</f>
        <v/>
      </c>
      <c r="D39" s="34" t="str">
        <f>IF($B39="","",Retorno!D36)</f>
        <v/>
      </c>
      <c r="E39" s="34" t="str">
        <f>IF($B39="","",Retorno!E36)</f>
        <v/>
      </c>
      <c r="F39" s="34" t="str">
        <f>IF($B39="","",Retorno!F36)</f>
        <v/>
      </c>
      <c r="G39" s="34" t="str">
        <f>IF($B39="","",Retorno!G36)</f>
        <v/>
      </c>
      <c r="H39" s="34" t="str">
        <f>IF($B39="","",Retorno!H36)</f>
        <v/>
      </c>
      <c r="I39" s="33" t="str">
        <f>IF(B39="","",Retorno!I36)</f>
        <v/>
      </c>
      <c r="J39" s="33" t="str">
        <f t="shared" si="0"/>
        <v/>
      </c>
      <c r="K39" s="33" t="str">
        <f t="shared" si="1"/>
        <v/>
      </c>
    </row>
    <row r="40" spans="2:11" x14ac:dyDescent="0.3">
      <c r="B40" s="1" t="str">
        <f>Retorno!B37</f>
        <v/>
      </c>
      <c r="C40" s="34" t="str">
        <f>IF(B40="","",Retorno!C37)</f>
        <v/>
      </c>
      <c r="D40" s="34" t="str">
        <f>IF($B40="","",Retorno!D37)</f>
        <v/>
      </c>
      <c r="E40" s="34" t="str">
        <f>IF($B40="","",Retorno!E37)</f>
        <v/>
      </c>
      <c r="F40" s="34" t="str">
        <f>IF($B40="","",Retorno!F37)</f>
        <v/>
      </c>
      <c r="G40" s="34" t="str">
        <f>IF($B40="","",Retorno!G37)</f>
        <v/>
      </c>
      <c r="H40" s="34" t="str">
        <f>IF($B40="","",Retorno!H37)</f>
        <v/>
      </c>
      <c r="I40" s="33" t="str">
        <f>IF(B40="","",Retorno!I37)</f>
        <v/>
      </c>
      <c r="J40" s="33" t="str">
        <f t="shared" si="0"/>
        <v/>
      </c>
      <c r="K40" s="33" t="str">
        <f t="shared" si="1"/>
        <v/>
      </c>
    </row>
    <row r="41" spans="2:11" x14ac:dyDescent="0.3">
      <c r="B41" s="1" t="str">
        <f>Retorno!B38</f>
        <v/>
      </c>
      <c r="C41" s="34" t="str">
        <f>IF(B41="","",Retorno!C38)</f>
        <v/>
      </c>
      <c r="D41" s="34" t="str">
        <f>IF($B41="","",Retorno!D38)</f>
        <v/>
      </c>
      <c r="E41" s="34" t="str">
        <f>IF($B41="","",Retorno!E38)</f>
        <v/>
      </c>
      <c r="F41" s="34" t="str">
        <f>IF($B41="","",Retorno!F38)</f>
        <v/>
      </c>
      <c r="G41" s="34" t="str">
        <f>IF($B41="","",Retorno!G38)</f>
        <v/>
      </c>
      <c r="H41" s="34" t="str">
        <f>IF($B41="","",Retorno!H38)</f>
        <v/>
      </c>
      <c r="I41" s="33" t="str">
        <f>IF(B41="","",Retorno!I38)</f>
        <v/>
      </c>
      <c r="J41" s="33" t="str">
        <f t="shared" si="0"/>
        <v/>
      </c>
      <c r="K41" s="33" t="str">
        <f t="shared" si="1"/>
        <v/>
      </c>
    </row>
    <row r="42" spans="2:11" x14ac:dyDescent="0.3">
      <c r="B42" s="1" t="str">
        <f>Retorno!B39</f>
        <v/>
      </c>
      <c r="C42" s="34" t="str">
        <f>IF(B42="","",Retorno!C39)</f>
        <v/>
      </c>
      <c r="D42" s="34" t="str">
        <f>IF($B42="","",Retorno!D39)</f>
        <v/>
      </c>
      <c r="E42" s="34" t="str">
        <f>IF($B42="","",Retorno!E39)</f>
        <v/>
      </c>
      <c r="F42" s="34" t="str">
        <f>IF($B42="","",Retorno!F39)</f>
        <v/>
      </c>
      <c r="G42" s="34" t="str">
        <f>IF($B42="","",Retorno!G39)</f>
        <v/>
      </c>
      <c r="H42" s="34" t="str">
        <f>IF($B42="","",Retorno!H39)</f>
        <v/>
      </c>
      <c r="I42" s="33" t="str">
        <f>IF(B42="","",Retorno!I39)</f>
        <v/>
      </c>
      <c r="J42" s="33" t="str">
        <f t="shared" si="0"/>
        <v/>
      </c>
      <c r="K42" s="33" t="str">
        <f t="shared" si="1"/>
        <v/>
      </c>
    </row>
    <row r="43" spans="2:11" x14ac:dyDescent="0.3">
      <c r="B43" s="1" t="str">
        <f>Retorno!B40</f>
        <v/>
      </c>
      <c r="C43" s="34" t="str">
        <f>IF(B43="","",Retorno!C40)</f>
        <v/>
      </c>
      <c r="D43" s="34" t="str">
        <f>IF($B43="","",Retorno!D40)</f>
        <v/>
      </c>
      <c r="E43" s="34" t="str">
        <f>IF($B43="","",Retorno!E40)</f>
        <v/>
      </c>
      <c r="F43" s="34" t="str">
        <f>IF($B43="","",Retorno!F40)</f>
        <v/>
      </c>
      <c r="G43" s="34" t="str">
        <f>IF($B43="","",Retorno!G40)</f>
        <v/>
      </c>
      <c r="H43" s="34" t="str">
        <f>IF($B43="","",Retorno!H40)</f>
        <v/>
      </c>
      <c r="I43" s="33" t="str">
        <f>IF(B43="","",Retorno!I40)</f>
        <v/>
      </c>
      <c r="J43" s="33" t="str">
        <f t="shared" si="0"/>
        <v/>
      </c>
      <c r="K43" s="33" t="str">
        <f t="shared" si="1"/>
        <v/>
      </c>
    </row>
    <row r="44" spans="2:11" x14ac:dyDescent="0.3">
      <c r="B44" s="1" t="str">
        <f>Retorno!B41</f>
        <v/>
      </c>
      <c r="C44" s="34" t="str">
        <f>IF(B44="","",Retorno!C41)</f>
        <v/>
      </c>
      <c r="D44" s="34" t="str">
        <f>IF($B44="","",Retorno!D41)</f>
        <v/>
      </c>
      <c r="E44" s="34" t="str">
        <f>IF($B44="","",Retorno!E41)</f>
        <v/>
      </c>
      <c r="F44" s="34" t="str">
        <f>IF($B44="","",Retorno!F41)</f>
        <v/>
      </c>
      <c r="G44" s="34" t="str">
        <f>IF($B44="","",Retorno!G41)</f>
        <v/>
      </c>
      <c r="H44" s="34" t="str">
        <f>IF($B44="","",Retorno!H41)</f>
        <v/>
      </c>
      <c r="I44" s="33" t="str">
        <f>IF(B44="","",Retorno!I41)</f>
        <v/>
      </c>
      <c r="J44" s="33" t="str">
        <f t="shared" si="0"/>
        <v/>
      </c>
      <c r="K44" s="33" t="str">
        <f t="shared" si="1"/>
        <v/>
      </c>
    </row>
    <row r="45" spans="2:11" x14ac:dyDescent="0.3">
      <c r="B45" s="1" t="str">
        <f>Retorno!B42</f>
        <v/>
      </c>
      <c r="C45" s="34" t="str">
        <f>IF(B45="","",Retorno!C42)</f>
        <v/>
      </c>
      <c r="D45" s="34" t="str">
        <f>IF($B45="","",Retorno!D42)</f>
        <v/>
      </c>
      <c r="E45" s="34" t="str">
        <f>IF($B45="","",Retorno!E42)</f>
        <v/>
      </c>
      <c r="F45" s="34" t="str">
        <f>IF($B45="","",Retorno!F42)</f>
        <v/>
      </c>
      <c r="G45" s="34" t="str">
        <f>IF($B45="","",Retorno!G42)</f>
        <v/>
      </c>
      <c r="H45" s="34" t="str">
        <f>IF($B45="","",Retorno!H42)</f>
        <v/>
      </c>
      <c r="I45" s="33" t="str">
        <f>IF(B45="","",Retorno!I42)</f>
        <v/>
      </c>
      <c r="J45" s="33" t="str">
        <f t="shared" si="0"/>
        <v/>
      </c>
      <c r="K45" s="33" t="str">
        <f t="shared" si="1"/>
        <v/>
      </c>
    </row>
    <row r="46" spans="2:11" x14ac:dyDescent="0.3">
      <c r="B46" s="1" t="str">
        <f>Retorno!B43</f>
        <v/>
      </c>
      <c r="C46" s="34" t="str">
        <f>IF(B46="","",Retorno!C43)</f>
        <v/>
      </c>
      <c r="D46" s="34" t="str">
        <f>IF($B46="","",Retorno!D43)</f>
        <v/>
      </c>
      <c r="E46" s="34" t="str">
        <f>IF($B46="","",Retorno!E43)</f>
        <v/>
      </c>
      <c r="F46" s="34" t="str">
        <f>IF($B46="","",Retorno!F43)</f>
        <v/>
      </c>
      <c r="G46" s="34" t="str">
        <f>IF($B46="","",Retorno!G43)</f>
        <v/>
      </c>
      <c r="H46" s="34" t="str">
        <f>IF($B46="","",Retorno!H43)</f>
        <v/>
      </c>
      <c r="I46" s="33" t="str">
        <f>IF(B46="","",Retorno!I43)</f>
        <v/>
      </c>
      <c r="J46" s="33" t="str">
        <f t="shared" si="0"/>
        <v/>
      </c>
      <c r="K46" s="33" t="str">
        <f t="shared" si="1"/>
        <v/>
      </c>
    </row>
    <row r="47" spans="2:11" x14ac:dyDescent="0.3">
      <c r="B47" s="1" t="str">
        <f>Retorno!B44</f>
        <v/>
      </c>
      <c r="C47" s="34" t="str">
        <f>IF(B47="","",Retorno!C44)</f>
        <v/>
      </c>
      <c r="D47" s="34" t="str">
        <f>IF($B47="","",Retorno!D44)</f>
        <v/>
      </c>
      <c r="E47" s="34" t="str">
        <f>IF($B47="","",Retorno!E44)</f>
        <v/>
      </c>
      <c r="F47" s="34" t="str">
        <f>IF($B47="","",Retorno!F44)</f>
        <v/>
      </c>
      <c r="G47" s="34" t="str">
        <f>IF($B47="","",Retorno!G44)</f>
        <v/>
      </c>
      <c r="H47" s="34" t="str">
        <f>IF($B47="","",Retorno!H44)</f>
        <v/>
      </c>
      <c r="I47" s="33" t="str">
        <f>IF(B47="","",Retorno!I44)</f>
        <v/>
      </c>
      <c r="J47" s="33" t="str">
        <f t="shared" si="0"/>
        <v/>
      </c>
      <c r="K47" s="33" t="str">
        <f t="shared" si="1"/>
        <v/>
      </c>
    </row>
    <row r="48" spans="2:11" x14ac:dyDescent="0.3">
      <c r="B48" s="1" t="str">
        <f>Retorno!B45</f>
        <v/>
      </c>
      <c r="C48" s="34" t="str">
        <f>IF(B48="","",Retorno!C45)</f>
        <v/>
      </c>
      <c r="D48" s="34" t="str">
        <f>IF($B48="","",Retorno!D45)</f>
        <v/>
      </c>
      <c r="E48" s="34" t="str">
        <f>IF($B48="","",Retorno!E45)</f>
        <v/>
      </c>
      <c r="F48" s="34" t="str">
        <f>IF($B48="","",Retorno!F45)</f>
        <v/>
      </c>
      <c r="G48" s="34" t="str">
        <f>IF($B48="","",Retorno!G45)</f>
        <v/>
      </c>
      <c r="H48" s="34" t="str">
        <f>IF($B48="","",Retorno!H45)</f>
        <v/>
      </c>
      <c r="I48" s="33" t="str">
        <f>IF(B48="","",Retorno!I45)</f>
        <v/>
      </c>
      <c r="J48" s="33" t="str">
        <f t="shared" si="0"/>
        <v/>
      </c>
      <c r="K48" s="33" t="str">
        <f t="shared" si="1"/>
        <v/>
      </c>
    </row>
    <row r="49" spans="2:11" x14ac:dyDescent="0.3">
      <c r="B49" s="1" t="str">
        <f>Retorno!B46</f>
        <v/>
      </c>
      <c r="C49" s="34" t="str">
        <f>IF(B49="","",Retorno!C46)</f>
        <v/>
      </c>
      <c r="D49" s="34" t="str">
        <f>IF($B49="","",Retorno!D46)</f>
        <v/>
      </c>
      <c r="E49" s="34" t="str">
        <f>IF($B49="","",Retorno!E46)</f>
        <v/>
      </c>
      <c r="F49" s="34" t="str">
        <f>IF($B49="","",Retorno!F46)</f>
        <v/>
      </c>
      <c r="G49" s="34" t="str">
        <f>IF($B49="","",Retorno!G46)</f>
        <v/>
      </c>
      <c r="H49" s="34" t="str">
        <f>IF($B49="","",Retorno!H46)</f>
        <v/>
      </c>
      <c r="I49" s="33" t="str">
        <f>IF(B49="","",Retorno!I46)</f>
        <v/>
      </c>
      <c r="J49" s="33" t="str">
        <f t="shared" si="0"/>
        <v/>
      </c>
      <c r="K49" s="33" t="str">
        <f t="shared" si="1"/>
        <v/>
      </c>
    </row>
  </sheetData>
  <sheetProtection password="FA51" sheet="1" objects="1" scenarios="1" formatCells="0" formatColumns="0" formatRows="0" insertColumns="0" insertRows="0" insertHyperlinks="0" deleteColumns="0" deleteRows="0" selectLockedCells="1" sort="0" autoFilter="0" pivotTables="0"/>
  <mergeCells count="2">
    <mergeCell ref="C4:K4"/>
    <mergeCell ref="C2:H2"/>
  </mergeCells>
  <conditionalFormatting sqref="B10:K49">
    <cfRule type="notContainsBlanks" dxfId="47" priority="3">
      <formula>LEN(TRIM(B10))&gt;0</formula>
    </cfRule>
  </conditionalFormatting>
  <conditionalFormatting sqref="C10:G49">
    <cfRule type="cellIs" dxfId="46" priority="2" operator="equal">
      <formula>0</formula>
    </cfRule>
  </conditionalFormatting>
  <conditionalFormatting sqref="A1:XFD1048576">
    <cfRule type="containsBlanks" dxfId="45" priority="1">
      <formula>LEN(TRIM(A1))=0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rgb="FF00B050"/>
  </sheetPr>
  <dimension ref="A2:AM62"/>
  <sheetViews>
    <sheetView showGridLines="0" topLeftCell="M41" workbookViewId="0">
      <selection activeCell="Q41" sqref="Q1:Q1048576"/>
    </sheetView>
  </sheetViews>
  <sheetFormatPr defaultRowHeight="15" x14ac:dyDescent="0.3"/>
  <cols>
    <col min="1" max="1" width="47.85546875" bestFit="1" customWidth="1"/>
    <col min="2" max="2" width="14.5703125" customWidth="1"/>
    <col min="3" max="3" width="15.42578125" bestFit="1" customWidth="1"/>
    <col min="4" max="4" width="11.42578125" bestFit="1" customWidth="1"/>
    <col min="5" max="5" width="24" bestFit="1" customWidth="1"/>
    <col min="6" max="6" width="13.140625" customWidth="1"/>
    <col min="7" max="7" width="99.85546875" bestFit="1" customWidth="1"/>
    <col min="8" max="9" width="15.85546875" style="25" customWidth="1"/>
    <col min="11" max="11" width="47.85546875" bestFit="1" customWidth="1"/>
    <col min="12" max="12" width="12.7109375" bestFit="1" customWidth="1"/>
    <col min="14" max="14" width="13.5703125" bestFit="1" customWidth="1"/>
    <col min="16" max="16" width="10" customWidth="1"/>
    <col min="21" max="21" width="13.85546875" customWidth="1"/>
    <col min="22" max="22" width="17" bestFit="1" customWidth="1"/>
    <col min="23" max="23" width="11.140625" bestFit="1" customWidth="1"/>
    <col min="24" max="24" width="20.42578125" bestFit="1" customWidth="1"/>
    <col min="26" max="26" width="10.7109375" bestFit="1" customWidth="1"/>
    <col min="27" max="27" width="11.42578125" customWidth="1"/>
    <col min="28" max="28" width="18.5703125" customWidth="1"/>
    <col min="30" max="30" width="11.7109375" customWidth="1"/>
    <col min="34" max="34" width="12" customWidth="1"/>
  </cols>
  <sheetData>
    <row r="2" spans="1:14" x14ac:dyDescent="0.3">
      <c r="B2" s="36" t="s">
        <v>11</v>
      </c>
      <c r="C2" s="37">
        <v>2</v>
      </c>
      <c r="E2" s="26" t="s">
        <v>12</v>
      </c>
      <c r="F2" s="26">
        <v>16</v>
      </c>
      <c r="G2" s="26"/>
      <c r="H2" s="3" t="s">
        <v>552</v>
      </c>
      <c r="I2" s="3" t="s">
        <v>553</v>
      </c>
      <c r="K2" s="22" t="s">
        <v>511</v>
      </c>
      <c r="L2" s="21" t="s">
        <v>512</v>
      </c>
      <c r="M2" s="21" t="s">
        <v>513</v>
      </c>
      <c r="N2" s="20" t="s">
        <v>514</v>
      </c>
    </row>
    <row r="3" spans="1:14" x14ac:dyDescent="0.3">
      <c r="B3" s="38" t="s">
        <v>7</v>
      </c>
      <c r="C3" s="39"/>
      <c r="E3" s="26" t="s">
        <v>13</v>
      </c>
      <c r="F3" s="27">
        <v>2</v>
      </c>
      <c r="G3" s="26" t="s">
        <v>41</v>
      </c>
      <c r="H3" s="263" t="s">
        <v>8</v>
      </c>
      <c r="I3" s="264">
        <v>0.06</v>
      </c>
      <c r="K3" s="19" t="s">
        <v>507</v>
      </c>
      <c r="L3" s="18">
        <v>1</v>
      </c>
      <c r="M3" s="18">
        <v>1</v>
      </c>
      <c r="N3" s="17" t="s">
        <v>515</v>
      </c>
    </row>
    <row r="4" spans="1:14" x14ac:dyDescent="0.3">
      <c r="B4" s="38" t="s">
        <v>8</v>
      </c>
      <c r="C4" s="39"/>
      <c r="E4" s="26" t="s">
        <v>14</v>
      </c>
      <c r="F4" s="27">
        <v>3</v>
      </c>
      <c r="G4" s="26" t="s">
        <v>42</v>
      </c>
      <c r="H4" s="263" t="s">
        <v>8</v>
      </c>
      <c r="I4" s="264">
        <v>5.7000000000000002E-2</v>
      </c>
      <c r="K4" s="19" t="s">
        <v>497</v>
      </c>
      <c r="L4" s="18">
        <v>1</v>
      </c>
      <c r="M4" s="18">
        <v>1</v>
      </c>
      <c r="N4" s="17" t="s">
        <v>515</v>
      </c>
    </row>
    <row r="5" spans="1:14" x14ac:dyDescent="0.3">
      <c r="B5" s="38" t="s">
        <v>9</v>
      </c>
      <c r="C5" s="39"/>
      <c r="E5" s="26" t="s">
        <v>15</v>
      </c>
      <c r="F5" s="27">
        <v>4</v>
      </c>
      <c r="G5" s="26" t="s">
        <v>43</v>
      </c>
      <c r="H5" s="263" t="s">
        <v>8</v>
      </c>
      <c r="I5" s="264">
        <v>0.06</v>
      </c>
      <c r="K5" s="19" t="s">
        <v>508</v>
      </c>
      <c r="L5" s="16">
        <v>0.15</v>
      </c>
      <c r="M5" s="16">
        <v>0.15</v>
      </c>
      <c r="N5" s="17" t="s">
        <v>515</v>
      </c>
    </row>
    <row r="6" spans="1:14" x14ac:dyDescent="0.3">
      <c r="B6" s="40" t="s">
        <v>10</v>
      </c>
      <c r="C6" s="41"/>
      <c r="E6" s="26" t="s">
        <v>16</v>
      </c>
      <c r="F6" s="27">
        <v>5</v>
      </c>
      <c r="G6" s="26" t="s">
        <v>44</v>
      </c>
      <c r="H6" s="263" t="s">
        <v>7</v>
      </c>
      <c r="I6" s="264">
        <v>0.06</v>
      </c>
      <c r="K6" s="19" t="s">
        <v>495</v>
      </c>
      <c r="L6" s="16">
        <v>0.2</v>
      </c>
      <c r="M6" s="16">
        <v>0.8</v>
      </c>
      <c r="N6" s="17" t="s">
        <v>515</v>
      </c>
    </row>
    <row r="7" spans="1:14" x14ac:dyDescent="0.3">
      <c r="E7" s="26" t="s">
        <v>17</v>
      </c>
      <c r="F7" s="27">
        <v>6</v>
      </c>
      <c r="G7" s="26" t="s">
        <v>72</v>
      </c>
      <c r="H7" s="263" t="s">
        <v>8</v>
      </c>
      <c r="I7" s="264">
        <v>0.04</v>
      </c>
      <c r="K7" s="19" t="s">
        <v>496</v>
      </c>
      <c r="L7" s="16">
        <v>0.2</v>
      </c>
      <c r="M7" s="16">
        <v>0.3</v>
      </c>
      <c r="N7" s="17" t="s">
        <v>515</v>
      </c>
    </row>
    <row r="8" spans="1:14" x14ac:dyDescent="0.3">
      <c r="E8" s="26" t="s">
        <v>18</v>
      </c>
      <c r="F8" s="27">
        <v>7</v>
      </c>
      <c r="G8" s="26" t="s">
        <v>45</v>
      </c>
      <c r="H8" s="263" t="s">
        <v>7</v>
      </c>
      <c r="I8" s="264">
        <v>0.06</v>
      </c>
      <c r="K8" s="19" t="s">
        <v>509</v>
      </c>
      <c r="L8" s="16">
        <v>0.2</v>
      </c>
      <c r="M8" s="16">
        <v>0.2</v>
      </c>
      <c r="N8" s="17" t="s">
        <v>515</v>
      </c>
    </row>
    <row r="9" spans="1:14" x14ac:dyDescent="0.3">
      <c r="E9" s="26" t="s">
        <v>19</v>
      </c>
      <c r="F9" s="27">
        <v>8</v>
      </c>
      <c r="G9" s="26" t="s">
        <v>46</v>
      </c>
      <c r="H9" s="263" t="s">
        <v>10</v>
      </c>
      <c r="I9" s="264">
        <v>0.04</v>
      </c>
      <c r="K9" s="19" t="s">
        <v>501</v>
      </c>
      <c r="L9" s="16">
        <v>0.15</v>
      </c>
      <c r="M9" s="16">
        <v>0.15</v>
      </c>
      <c r="N9" s="17" t="s">
        <v>515</v>
      </c>
    </row>
    <row r="10" spans="1:14" x14ac:dyDescent="0.3">
      <c r="A10" s="206">
        <v>1</v>
      </c>
      <c r="B10" s="43" t="s">
        <v>1070</v>
      </c>
      <c r="C10" s="42">
        <v>3</v>
      </c>
      <c r="E10" s="26" t="s">
        <v>20</v>
      </c>
      <c r="F10" s="27">
        <v>9</v>
      </c>
      <c r="G10" s="26" t="s">
        <v>47</v>
      </c>
      <c r="H10" s="263" t="s">
        <v>8</v>
      </c>
      <c r="I10" s="264">
        <v>5.5E-2</v>
      </c>
      <c r="K10" s="19" t="s">
        <v>504</v>
      </c>
      <c r="L10" s="16">
        <v>0.05</v>
      </c>
      <c r="M10" s="16">
        <v>0.05</v>
      </c>
      <c r="N10" s="17" t="s">
        <v>515</v>
      </c>
    </row>
    <row r="11" spans="1:14" x14ac:dyDescent="0.3">
      <c r="A11" s="206">
        <v>2</v>
      </c>
      <c r="B11" s="43" t="s">
        <v>1071</v>
      </c>
      <c r="C11" s="42"/>
      <c r="E11" s="26" t="s">
        <v>21</v>
      </c>
      <c r="F11" s="27">
        <v>10</v>
      </c>
      <c r="G11" s="26" t="s">
        <v>48</v>
      </c>
      <c r="H11" s="263" t="s">
        <v>7</v>
      </c>
      <c r="I11" s="264">
        <v>0.06</v>
      </c>
      <c r="K11" s="19" t="s">
        <v>500</v>
      </c>
      <c r="L11" s="16">
        <v>0.05</v>
      </c>
      <c r="M11" s="16">
        <v>0.05</v>
      </c>
      <c r="N11" s="17" t="s">
        <v>515</v>
      </c>
    </row>
    <row r="12" spans="1:14" x14ac:dyDescent="0.3">
      <c r="A12" s="206">
        <v>3</v>
      </c>
      <c r="B12" s="43" t="s">
        <v>1072</v>
      </c>
      <c r="C12" s="42"/>
      <c r="E12" s="26" t="s">
        <v>796</v>
      </c>
      <c r="F12" s="27">
        <v>11</v>
      </c>
      <c r="G12" s="26" t="s">
        <v>797</v>
      </c>
      <c r="H12" s="263" t="s">
        <v>7</v>
      </c>
      <c r="I12" s="264">
        <v>0.06</v>
      </c>
      <c r="K12" s="15" t="s">
        <v>506</v>
      </c>
      <c r="L12" s="16"/>
      <c r="M12" s="16"/>
      <c r="N12" s="17"/>
    </row>
    <row r="13" spans="1:14" x14ac:dyDescent="0.3">
      <c r="A13" s="206">
        <v>4</v>
      </c>
      <c r="B13" s="43" t="s">
        <v>1073</v>
      </c>
      <c r="C13" s="42"/>
      <c r="E13" s="26" t="s">
        <v>1209</v>
      </c>
      <c r="F13" s="27">
        <v>12</v>
      </c>
      <c r="G13" s="26" t="s">
        <v>1210</v>
      </c>
      <c r="H13" s="263" t="s">
        <v>8</v>
      </c>
      <c r="I13" s="264">
        <v>0.06</v>
      </c>
      <c r="K13" s="19" t="s">
        <v>502</v>
      </c>
      <c r="L13" s="16">
        <v>0.2</v>
      </c>
      <c r="M13" s="16">
        <v>0.3</v>
      </c>
      <c r="N13" s="17" t="s">
        <v>516</v>
      </c>
    </row>
    <row r="14" spans="1:14" x14ac:dyDescent="0.3">
      <c r="A14" s="206">
        <v>5</v>
      </c>
      <c r="B14" s="43" t="s">
        <v>1074</v>
      </c>
      <c r="C14" s="42"/>
      <c r="E14" s="26" t="s">
        <v>22</v>
      </c>
      <c r="F14" s="27">
        <v>13</v>
      </c>
      <c r="G14" s="26" t="s">
        <v>49</v>
      </c>
      <c r="H14" s="263" t="s">
        <v>8</v>
      </c>
      <c r="I14" s="264">
        <v>0.06</v>
      </c>
      <c r="K14" s="19" t="s">
        <v>503</v>
      </c>
      <c r="L14" s="16">
        <v>0.2</v>
      </c>
      <c r="M14" s="16">
        <v>0.2</v>
      </c>
      <c r="N14" s="17" t="s">
        <v>516</v>
      </c>
    </row>
    <row r="15" spans="1:14" x14ac:dyDescent="0.3">
      <c r="A15" s="206">
        <v>6</v>
      </c>
      <c r="B15" s="43" t="s">
        <v>1075</v>
      </c>
      <c r="C15" s="42"/>
      <c r="E15" s="26" t="s">
        <v>1113</v>
      </c>
      <c r="F15" s="27">
        <v>14</v>
      </c>
      <c r="G15" s="26" t="s">
        <v>1208</v>
      </c>
      <c r="H15" s="263" t="s">
        <v>7</v>
      </c>
      <c r="I15" s="264">
        <v>4.4999999999999998E-2</v>
      </c>
      <c r="K15" s="19" t="s">
        <v>498</v>
      </c>
      <c r="L15" s="16">
        <v>0.15</v>
      </c>
      <c r="M15" s="16">
        <v>0.15</v>
      </c>
      <c r="N15" s="17" t="s">
        <v>516</v>
      </c>
    </row>
    <row r="16" spans="1:14" x14ac:dyDescent="0.3">
      <c r="A16" s="206">
        <v>7</v>
      </c>
      <c r="B16" s="43" t="s">
        <v>1076</v>
      </c>
      <c r="C16" s="42"/>
      <c r="E16" s="26" t="s">
        <v>981</v>
      </c>
      <c r="F16" s="27">
        <v>15</v>
      </c>
      <c r="G16" s="26" t="s">
        <v>982</v>
      </c>
      <c r="H16" s="263"/>
      <c r="I16" s="264"/>
      <c r="K16" s="19" t="s">
        <v>499</v>
      </c>
      <c r="L16" s="16">
        <v>0.05</v>
      </c>
      <c r="M16" s="16">
        <v>0.05</v>
      </c>
      <c r="N16" s="17" t="s">
        <v>516</v>
      </c>
    </row>
    <row r="17" spans="1:14" x14ac:dyDescent="0.3">
      <c r="A17" s="206">
        <v>8</v>
      </c>
      <c r="B17" s="43" t="s">
        <v>1077</v>
      </c>
      <c r="C17" s="42"/>
      <c r="E17" s="26" t="s">
        <v>23</v>
      </c>
      <c r="F17" s="27">
        <v>16</v>
      </c>
      <c r="G17" s="26" t="s">
        <v>50</v>
      </c>
      <c r="H17" s="263" t="s">
        <v>8</v>
      </c>
      <c r="I17" s="264">
        <v>0.06</v>
      </c>
      <c r="K17" s="19" t="s">
        <v>510</v>
      </c>
      <c r="L17" s="16">
        <v>0.05</v>
      </c>
      <c r="M17" s="16">
        <v>0.05</v>
      </c>
      <c r="N17" s="17" t="s">
        <v>516</v>
      </c>
    </row>
    <row r="18" spans="1:14" x14ac:dyDescent="0.3">
      <c r="A18" s="206">
        <v>9</v>
      </c>
      <c r="B18" s="43" t="s">
        <v>1078</v>
      </c>
      <c r="C18" s="42"/>
      <c r="E18" s="26" t="s">
        <v>24</v>
      </c>
      <c r="F18" s="27">
        <v>17</v>
      </c>
      <c r="G18" s="26" t="s">
        <v>51</v>
      </c>
      <c r="H18" s="263" t="s">
        <v>8</v>
      </c>
      <c r="I18" s="264">
        <v>0.06</v>
      </c>
      <c r="K18" s="14" t="s">
        <v>505</v>
      </c>
      <c r="L18" s="13">
        <v>0.05</v>
      </c>
      <c r="M18" s="13">
        <v>0.05</v>
      </c>
      <c r="N18" s="12" t="s">
        <v>516</v>
      </c>
    </row>
    <row r="19" spans="1:14" x14ac:dyDescent="0.3">
      <c r="A19" s="206">
        <v>10</v>
      </c>
      <c r="B19" s="43" t="s">
        <v>1079</v>
      </c>
      <c r="C19" s="42"/>
      <c r="E19" s="26" t="s">
        <v>25</v>
      </c>
      <c r="F19" s="27">
        <v>18</v>
      </c>
      <c r="G19" s="26" t="s">
        <v>52</v>
      </c>
      <c r="H19" s="263" t="s">
        <v>8</v>
      </c>
      <c r="I19" s="264">
        <v>0.06</v>
      </c>
    </row>
    <row r="20" spans="1:14" x14ac:dyDescent="0.3">
      <c r="A20" s="206">
        <v>11</v>
      </c>
      <c r="B20" s="43" t="s">
        <v>1080</v>
      </c>
      <c r="C20" s="42"/>
      <c r="E20" s="26" t="s">
        <v>26</v>
      </c>
      <c r="F20" s="27">
        <v>19</v>
      </c>
      <c r="G20" s="26" t="s">
        <v>53</v>
      </c>
      <c r="H20" s="263" t="s">
        <v>7</v>
      </c>
      <c r="I20" s="264">
        <v>0.06</v>
      </c>
    </row>
    <row r="21" spans="1:14" x14ac:dyDescent="0.3">
      <c r="A21" s="206">
        <v>12</v>
      </c>
      <c r="B21" s="43" t="s">
        <v>1081</v>
      </c>
      <c r="C21" s="42"/>
      <c r="E21" s="26" t="s">
        <v>70</v>
      </c>
      <c r="F21" s="27">
        <v>20</v>
      </c>
      <c r="G21" s="26" t="s">
        <v>54</v>
      </c>
      <c r="H21" s="263" t="s">
        <v>7</v>
      </c>
      <c r="I21" s="264">
        <v>0.06</v>
      </c>
    </row>
    <row r="22" spans="1:14" x14ac:dyDescent="0.3">
      <c r="B22" s="2"/>
      <c r="E22" s="26" t="s">
        <v>27</v>
      </c>
      <c r="F22" s="27">
        <v>21</v>
      </c>
      <c r="G22" s="26" t="s">
        <v>55</v>
      </c>
      <c r="H22" s="263" t="s">
        <v>8</v>
      </c>
      <c r="I22" s="264">
        <v>0.06</v>
      </c>
    </row>
    <row r="23" spans="1:14" x14ac:dyDescent="0.3">
      <c r="E23" s="26" t="s">
        <v>71</v>
      </c>
      <c r="F23" s="27">
        <v>22</v>
      </c>
      <c r="G23" s="26" t="s">
        <v>56</v>
      </c>
      <c r="H23" s="263" t="s">
        <v>8</v>
      </c>
      <c r="I23" s="264">
        <v>0.06</v>
      </c>
    </row>
    <row r="24" spans="1:14" x14ac:dyDescent="0.3">
      <c r="E24" s="26" t="s">
        <v>1082</v>
      </c>
      <c r="F24" s="27">
        <v>23</v>
      </c>
      <c r="G24" s="26" t="s">
        <v>1115</v>
      </c>
      <c r="H24" s="263" t="s">
        <v>7</v>
      </c>
      <c r="I24" s="264">
        <v>0.06</v>
      </c>
    </row>
    <row r="25" spans="1:14" x14ac:dyDescent="0.3">
      <c r="E25" s="26" t="s">
        <v>28</v>
      </c>
      <c r="F25" s="27">
        <v>24</v>
      </c>
      <c r="G25" s="26" t="s">
        <v>57</v>
      </c>
      <c r="H25" s="263" t="s">
        <v>7</v>
      </c>
      <c r="I25" s="264">
        <v>0.06</v>
      </c>
    </row>
    <row r="26" spans="1:14" x14ac:dyDescent="0.3">
      <c r="E26" s="26" t="s">
        <v>29</v>
      </c>
      <c r="F26" s="27">
        <v>25</v>
      </c>
      <c r="G26" s="26" t="s">
        <v>58</v>
      </c>
      <c r="H26" s="263" t="s">
        <v>7</v>
      </c>
      <c r="I26" s="264">
        <v>0.06</v>
      </c>
    </row>
    <row r="27" spans="1:14" x14ac:dyDescent="0.3">
      <c r="E27" s="26" t="s">
        <v>30</v>
      </c>
      <c r="F27" s="27">
        <v>26</v>
      </c>
      <c r="G27" s="26" t="s">
        <v>59</v>
      </c>
      <c r="H27" s="263" t="s">
        <v>8</v>
      </c>
      <c r="I27" s="264">
        <v>0.06</v>
      </c>
    </row>
    <row r="28" spans="1:14" x14ac:dyDescent="0.3">
      <c r="E28" s="26" t="s">
        <v>31</v>
      </c>
      <c r="F28" s="27">
        <v>27</v>
      </c>
      <c r="G28" s="26" t="s">
        <v>60</v>
      </c>
      <c r="H28" s="263" t="s">
        <v>7</v>
      </c>
      <c r="I28" s="264">
        <v>0.06</v>
      </c>
    </row>
    <row r="29" spans="1:14" x14ac:dyDescent="0.3">
      <c r="E29" s="26" t="s">
        <v>32</v>
      </c>
      <c r="F29" s="27">
        <v>28</v>
      </c>
      <c r="G29" s="26" t="s">
        <v>62</v>
      </c>
      <c r="H29" s="263" t="s">
        <v>7</v>
      </c>
      <c r="I29" s="264">
        <v>0.06</v>
      </c>
    </row>
    <row r="30" spans="1:14" x14ac:dyDescent="0.3">
      <c r="E30" s="26" t="s">
        <v>33</v>
      </c>
      <c r="F30" s="27">
        <v>29</v>
      </c>
      <c r="G30" s="26" t="s">
        <v>63</v>
      </c>
      <c r="H30" s="263" t="s">
        <v>7</v>
      </c>
      <c r="I30" s="264">
        <v>0.06</v>
      </c>
    </row>
    <row r="31" spans="1:14" x14ac:dyDescent="0.3">
      <c r="E31" s="26" t="s">
        <v>34</v>
      </c>
      <c r="F31" s="27">
        <v>30</v>
      </c>
      <c r="G31" s="26" t="s">
        <v>61</v>
      </c>
      <c r="H31" s="263" t="s">
        <v>7</v>
      </c>
      <c r="I31" s="264">
        <v>0.06</v>
      </c>
    </row>
    <row r="32" spans="1:14" x14ac:dyDescent="0.3">
      <c r="E32" s="26" t="s">
        <v>35</v>
      </c>
      <c r="F32" s="27">
        <v>31</v>
      </c>
      <c r="G32" s="26" t="s">
        <v>64</v>
      </c>
      <c r="H32" s="263" t="s">
        <v>7</v>
      </c>
      <c r="I32" s="264">
        <v>0.06</v>
      </c>
    </row>
    <row r="33" spans="1:39" x14ac:dyDescent="0.3">
      <c r="E33" s="26" t="s">
        <v>36</v>
      </c>
      <c r="F33" s="27">
        <v>32</v>
      </c>
      <c r="G33" s="26" t="s">
        <v>65</v>
      </c>
      <c r="H33" s="263" t="s">
        <v>7</v>
      </c>
      <c r="I33" s="264">
        <v>0.06</v>
      </c>
    </row>
    <row r="34" spans="1:39" x14ac:dyDescent="0.3">
      <c r="E34" s="26" t="s">
        <v>37</v>
      </c>
      <c r="F34" s="27">
        <v>33</v>
      </c>
      <c r="G34" s="26" t="s">
        <v>66</v>
      </c>
      <c r="H34" s="263" t="s">
        <v>8</v>
      </c>
      <c r="I34" s="264">
        <v>0.06</v>
      </c>
    </row>
    <row r="35" spans="1:39" x14ac:dyDescent="0.3">
      <c r="E35" s="26" t="s">
        <v>38</v>
      </c>
      <c r="F35" s="27">
        <v>34</v>
      </c>
      <c r="G35" s="26" t="s">
        <v>67</v>
      </c>
      <c r="H35" s="263" t="s">
        <v>7</v>
      </c>
      <c r="I35" s="264">
        <v>0.06</v>
      </c>
    </row>
    <row r="36" spans="1:39" x14ac:dyDescent="0.3">
      <c r="E36" s="26" t="s">
        <v>39</v>
      </c>
      <c r="F36" s="27">
        <v>35</v>
      </c>
      <c r="G36" s="26" t="s">
        <v>68</v>
      </c>
      <c r="H36" s="263" t="s">
        <v>7</v>
      </c>
      <c r="I36" s="264">
        <v>0.06</v>
      </c>
    </row>
    <row r="37" spans="1:39" x14ac:dyDescent="0.3">
      <c r="E37" s="26" t="s">
        <v>1114</v>
      </c>
      <c r="F37" s="27">
        <v>36</v>
      </c>
      <c r="G37" s="26" t="s">
        <v>1116</v>
      </c>
      <c r="H37" s="263" t="s">
        <v>7</v>
      </c>
      <c r="I37" s="264">
        <v>0.06</v>
      </c>
    </row>
    <row r="38" spans="1:39" x14ac:dyDescent="0.3">
      <c r="E38" s="26" t="s">
        <v>40</v>
      </c>
      <c r="F38" s="27">
        <v>37</v>
      </c>
      <c r="G38" s="26" t="s">
        <v>69</v>
      </c>
      <c r="H38" s="263" t="s">
        <v>7</v>
      </c>
      <c r="I38" s="264">
        <v>0.06</v>
      </c>
    </row>
    <row r="39" spans="1:39" x14ac:dyDescent="0.3">
      <c r="F39" s="188"/>
      <c r="H39" s="206"/>
      <c r="I39" s="262"/>
    </row>
    <row r="40" spans="1:39" x14ac:dyDescent="0.3">
      <c r="F40" s="188"/>
      <c r="H40" s="206"/>
      <c r="I40" s="262"/>
    </row>
    <row r="41" spans="1:39" x14ac:dyDescent="0.3">
      <c r="F41" s="188"/>
      <c r="H41" s="206"/>
      <c r="I41" s="262"/>
    </row>
    <row r="42" spans="1:39" x14ac:dyDescent="0.3">
      <c r="E42" s="223"/>
      <c r="F42" s="188"/>
      <c r="G42" s="223"/>
      <c r="H42" s="206"/>
      <c r="I42" s="262"/>
    </row>
    <row r="43" spans="1:39" x14ac:dyDescent="0.3">
      <c r="F43" s="188"/>
      <c r="H43" s="206"/>
      <c r="I43" s="262"/>
    </row>
    <row r="44" spans="1:39" x14ac:dyDescent="0.3">
      <c r="A44" s="224"/>
      <c r="B44" s="224">
        <v>2</v>
      </c>
      <c r="C44" s="224">
        <v>3</v>
      </c>
      <c r="D44" s="224">
        <v>4</v>
      </c>
      <c r="E44" s="224">
        <v>5</v>
      </c>
      <c r="F44" s="224">
        <v>6</v>
      </c>
      <c r="G44" s="224">
        <v>7</v>
      </c>
      <c r="H44" s="224">
        <v>8</v>
      </c>
      <c r="I44" s="224">
        <v>9</v>
      </c>
      <c r="J44" s="224">
        <v>10</v>
      </c>
      <c r="K44" s="224">
        <v>11</v>
      </c>
      <c r="L44" s="224">
        <v>12</v>
      </c>
      <c r="M44" s="224">
        <v>13</v>
      </c>
      <c r="N44" s="224">
        <v>14</v>
      </c>
      <c r="O44" s="224">
        <v>15</v>
      </c>
      <c r="P44" s="224">
        <v>16</v>
      </c>
      <c r="Q44" s="224">
        <v>17</v>
      </c>
      <c r="R44" s="224">
        <v>18</v>
      </c>
      <c r="S44" s="224">
        <v>19</v>
      </c>
      <c r="T44" s="224">
        <v>20</v>
      </c>
      <c r="U44" s="224">
        <v>21</v>
      </c>
      <c r="V44" s="224">
        <v>22</v>
      </c>
      <c r="W44" s="224">
        <v>23</v>
      </c>
      <c r="X44" s="224">
        <v>24</v>
      </c>
      <c r="Y44" s="224">
        <v>25</v>
      </c>
      <c r="Z44" s="224">
        <v>26</v>
      </c>
      <c r="AA44" s="224">
        <v>27</v>
      </c>
      <c r="AB44" s="224">
        <v>28</v>
      </c>
      <c r="AC44" s="224">
        <v>29</v>
      </c>
      <c r="AD44" s="224">
        <v>30</v>
      </c>
      <c r="AE44" s="224">
        <v>31</v>
      </c>
      <c r="AF44" s="224">
        <v>32</v>
      </c>
      <c r="AG44" s="224">
        <v>33</v>
      </c>
      <c r="AH44" s="224">
        <v>34</v>
      </c>
      <c r="AI44" s="224">
        <v>35</v>
      </c>
      <c r="AJ44" s="224">
        <v>36</v>
      </c>
      <c r="AK44" s="224">
        <v>37</v>
      </c>
    </row>
    <row r="45" spans="1:39" ht="45" x14ac:dyDescent="0.3">
      <c r="A45" s="223"/>
      <c r="B45" s="252" t="s">
        <v>13</v>
      </c>
      <c r="C45" s="252" t="s">
        <v>14</v>
      </c>
      <c r="D45" s="252" t="s">
        <v>15</v>
      </c>
      <c r="E45" s="252" t="s">
        <v>16</v>
      </c>
      <c r="F45" s="253" t="s">
        <v>17</v>
      </c>
      <c r="G45" s="252" t="s">
        <v>18</v>
      </c>
      <c r="H45" s="252" t="s">
        <v>19</v>
      </c>
      <c r="I45" s="252" t="s">
        <v>20</v>
      </c>
      <c r="J45" s="252" t="s">
        <v>21</v>
      </c>
      <c r="K45" s="316" t="s">
        <v>1209</v>
      </c>
      <c r="L45" s="336"/>
      <c r="M45" s="336"/>
      <c r="N45" s="252" t="s">
        <v>22</v>
      </c>
      <c r="O45" s="319" t="s">
        <v>1113</v>
      </c>
      <c r="P45" s="252" t="s">
        <v>23</v>
      </c>
      <c r="Q45" s="252" t="s">
        <v>981</v>
      </c>
      <c r="R45" s="252" t="s">
        <v>24</v>
      </c>
      <c r="S45" s="252" t="s">
        <v>25</v>
      </c>
      <c r="T45" s="253" t="s">
        <v>26</v>
      </c>
      <c r="U45" s="253" t="s">
        <v>70</v>
      </c>
      <c r="V45" s="253" t="s">
        <v>27</v>
      </c>
      <c r="W45" s="253" t="s">
        <v>71</v>
      </c>
      <c r="X45" s="252" t="s">
        <v>1082</v>
      </c>
      <c r="Y45" s="253" t="s">
        <v>28</v>
      </c>
      <c r="Z45" s="252" t="s">
        <v>29</v>
      </c>
      <c r="AA45" s="252" t="s">
        <v>30</v>
      </c>
      <c r="AB45" s="252" t="s">
        <v>796</v>
      </c>
      <c r="AC45" s="252" t="s">
        <v>31</v>
      </c>
      <c r="AD45" s="252" t="s">
        <v>32</v>
      </c>
      <c r="AE45" s="252" t="s">
        <v>33</v>
      </c>
      <c r="AF45" s="253" t="s">
        <v>34</v>
      </c>
      <c r="AG45" s="252" t="s">
        <v>35</v>
      </c>
      <c r="AH45" s="252" t="s">
        <v>36</v>
      </c>
      <c r="AI45" s="252" t="s">
        <v>37</v>
      </c>
      <c r="AJ45" s="252" t="s">
        <v>38</v>
      </c>
      <c r="AK45" s="253" t="s">
        <v>39</v>
      </c>
      <c r="AL45" s="253" t="s">
        <v>1114</v>
      </c>
      <c r="AM45" s="253" t="s">
        <v>40</v>
      </c>
    </row>
    <row r="46" spans="1:39" x14ac:dyDescent="0.3">
      <c r="A46" s="246" t="s">
        <v>507</v>
      </c>
      <c r="B46" s="247">
        <v>0</v>
      </c>
      <c r="C46" s="247">
        <v>0</v>
      </c>
      <c r="D46" s="247">
        <v>0</v>
      </c>
      <c r="E46" s="247">
        <v>0.15</v>
      </c>
      <c r="F46" s="247">
        <v>0</v>
      </c>
      <c r="G46" s="247">
        <v>0.2</v>
      </c>
      <c r="H46" s="247">
        <v>0</v>
      </c>
      <c r="I46" s="247">
        <v>0</v>
      </c>
      <c r="J46" s="247">
        <v>0</v>
      </c>
      <c r="K46" s="317">
        <v>0</v>
      </c>
      <c r="L46" s="337"/>
      <c r="M46" s="337"/>
      <c r="N46" s="247">
        <v>0.3</v>
      </c>
      <c r="O46" s="317">
        <v>0</v>
      </c>
      <c r="P46" s="247">
        <v>0</v>
      </c>
      <c r="Q46" s="247"/>
      <c r="R46" s="247">
        <v>0</v>
      </c>
      <c r="S46" s="247">
        <v>0</v>
      </c>
      <c r="T46" s="247">
        <v>0</v>
      </c>
      <c r="U46" s="247">
        <v>0</v>
      </c>
      <c r="V46" s="247">
        <v>0.3</v>
      </c>
      <c r="W46" s="247">
        <v>0</v>
      </c>
      <c r="X46" s="317">
        <v>0.25</v>
      </c>
      <c r="Y46" s="247">
        <v>0</v>
      </c>
      <c r="Z46" s="247">
        <v>0.1</v>
      </c>
      <c r="AA46" s="247">
        <v>0</v>
      </c>
      <c r="AB46" s="247">
        <v>0</v>
      </c>
      <c r="AC46" s="247">
        <v>0</v>
      </c>
      <c r="AD46" s="247">
        <v>0</v>
      </c>
      <c r="AE46" s="247">
        <v>0</v>
      </c>
      <c r="AF46" s="247">
        <v>0.1</v>
      </c>
      <c r="AG46" s="247">
        <v>0</v>
      </c>
      <c r="AH46" s="247">
        <v>0</v>
      </c>
      <c r="AI46" s="247">
        <v>0</v>
      </c>
      <c r="AJ46" s="247">
        <v>0</v>
      </c>
      <c r="AK46" s="247">
        <v>0.05</v>
      </c>
      <c r="AL46" s="247">
        <v>0</v>
      </c>
      <c r="AM46" s="247">
        <v>0</v>
      </c>
    </row>
    <row r="47" spans="1:39" x14ac:dyDescent="0.3">
      <c r="A47" s="246" t="s">
        <v>497</v>
      </c>
      <c r="B47" s="247">
        <v>1</v>
      </c>
      <c r="C47" s="247">
        <v>1</v>
      </c>
      <c r="D47" s="247">
        <v>1</v>
      </c>
      <c r="E47" s="247">
        <v>0.85</v>
      </c>
      <c r="F47" s="247">
        <v>1</v>
      </c>
      <c r="G47" s="247">
        <v>1</v>
      </c>
      <c r="H47" s="247">
        <v>1</v>
      </c>
      <c r="I47" s="247">
        <v>1</v>
      </c>
      <c r="J47" s="247">
        <v>1</v>
      </c>
      <c r="K47" s="317">
        <v>0.5</v>
      </c>
      <c r="L47" s="337"/>
      <c r="M47" s="337"/>
      <c r="N47" s="247">
        <v>1</v>
      </c>
      <c r="O47" s="317">
        <v>1</v>
      </c>
      <c r="P47" s="247">
        <v>1</v>
      </c>
      <c r="Q47" s="247"/>
      <c r="R47" s="247">
        <v>1</v>
      </c>
      <c r="S47" s="247">
        <v>1</v>
      </c>
      <c r="T47" s="247">
        <v>1</v>
      </c>
      <c r="U47" s="247">
        <v>1</v>
      </c>
      <c r="V47" s="247">
        <v>1</v>
      </c>
      <c r="W47" s="247">
        <v>1</v>
      </c>
      <c r="X47" s="317">
        <v>0.5</v>
      </c>
      <c r="Y47" s="247">
        <v>1</v>
      </c>
      <c r="Z47" s="247">
        <v>1</v>
      </c>
      <c r="AA47" s="247">
        <v>1</v>
      </c>
      <c r="AB47" s="247">
        <v>1</v>
      </c>
      <c r="AC47" s="247">
        <v>1</v>
      </c>
      <c r="AD47" s="247">
        <v>1</v>
      </c>
      <c r="AE47" s="248">
        <v>1</v>
      </c>
      <c r="AF47" s="247">
        <v>1</v>
      </c>
      <c r="AG47" s="247">
        <v>1</v>
      </c>
      <c r="AH47" s="248">
        <v>1</v>
      </c>
      <c r="AI47" s="247">
        <v>1</v>
      </c>
      <c r="AJ47" s="247">
        <v>1</v>
      </c>
      <c r="AK47" s="247">
        <v>0.95</v>
      </c>
      <c r="AL47" s="247">
        <v>1</v>
      </c>
      <c r="AM47" s="247">
        <v>1</v>
      </c>
    </row>
    <row r="48" spans="1:39" x14ac:dyDescent="0.3">
      <c r="A48" s="246" t="s">
        <v>508</v>
      </c>
      <c r="B48" s="247">
        <v>0</v>
      </c>
      <c r="C48" s="247">
        <v>0</v>
      </c>
      <c r="D48" s="247">
        <v>0</v>
      </c>
      <c r="E48" s="247">
        <v>0</v>
      </c>
      <c r="F48" s="247">
        <v>0</v>
      </c>
      <c r="G48" s="247">
        <v>0</v>
      </c>
      <c r="H48" s="247">
        <v>0</v>
      </c>
      <c r="I48" s="247">
        <v>0</v>
      </c>
      <c r="J48" s="247">
        <v>0</v>
      </c>
      <c r="K48" s="317">
        <v>0</v>
      </c>
      <c r="L48" s="337"/>
      <c r="M48" s="337"/>
      <c r="N48" s="247">
        <v>0</v>
      </c>
      <c r="O48" s="317">
        <v>0</v>
      </c>
      <c r="P48" s="247">
        <v>0</v>
      </c>
      <c r="Q48" s="247"/>
      <c r="R48" s="247">
        <v>0</v>
      </c>
      <c r="S48" s="247">
        <v>0</v>
      </c>
      <c r="T48" s="247">
        <v>0</v>
      </c>
      <c r="U48" s="247">
        <v>0</v>
      </c>
      <c r="V48" s="247">
        <v>0</v>
      </c>
      <c r="W48" s="247">
        <v>0</v>
      </c>
      <c r="X48" s="317">
        <v>0</v>
      </c>
      <c r="Y48" s="247">
        <v>0</v>
      </c>
      <c r="Z48" s="247">
        <v>0</v>
      </c>
      <c r="AA48" s="247">
        <v>0</v>
      </c>
      <c r="AB48" s="247">
        <v>0</v>
      </c>
      <c r="AC48" s="247">
        <v>0</v>
      </c>
      <c r="AD48" s="247">
        <v>0</v>
      </c>
      <c r="AE48" s="248">
        <v>0</v>
      </c>
      <c r="AF48" s="247">
        <v>0</v>
      </c>
      <c r="AG48" s="247">
        <v>0</v>
      </c>
      <c r="AH48" s="247">
        <v>0</v>
      </c>
      <c r="AI48" s="247">
        <v>0</v>
      </c>
      <c r="AJ48" s="247">
        <v>0</v>
      </c>
      <c r="AK48" s="247">
        <v>0</v>
      </c>
      <c r="AL48" s="247">
        <v>0</v>
      </c>
      <c r="AM48" s="247">
        <v>0</v>
      </c>
    </row>
    <row r="49" spans="1:39" x14ac:dyDescent="0.3">
      <c r="A49" s="246" t="s">
        <v>495</v>
      </c>
      <c r="B49" s="247">
        <v>0.2</v>
      </c>
      <c r="C49" s="247">
        <v>0.4</v>
      </c>
      <c r="D49" s="247">
        <v>0.2</v>
      </c>
      <c r="E49" s="247">
        <v>0.2</v>
      </c>
      <c r="F49" s="247">
        <v>0.2</v>
      </c>
      <c r="G49" s="247">
        <v>0.2</v>
      </c>
      <c r="H49" s="247">
        <v>0.3</v>
      </c>
      <c r="I49" s="247">
        <v>0.2</v>
      </c>
      <c r="J49" s="247">
        <v>0.2</v>
      </c>
      <c r="K49" s="317">
        <v>0.2</v>
      </c>
      <c r="L49" s="337"/>
      <c r="M49" s="337"/>
      <c r="N49" s="247">
        <v>0</v>
      </c>
      <c r="O49" s="317">
        <v>0.3</v>
      </c>
      <c r="P49" s="247">
        <v>0.2</v>
      </c>
      <c r="Q49" s="247"/>
      <c r="R49" s="247">
        <v>0.6</v>
      </c>
      <c r="S49" s="247">
        <v>0.6</v>
      </c>
      <c r="T49" s="247">
        <v>0</v>
      </c>
      <c r="U49" s="247">
        <v>0.2</v>
      </c>
      <c r="V49" s="247">
        <v>0</v>
      </c>
      <c r="W49" s="247">
        <v>0.2</v>
      </c>
      <c r="X49" s="317">
        <v>0.25</v>
      </c>
      <c r="Y49" s="247">
        <v>0.6</v>
      </c>
      <c r="Z49" s="247">
        <v>0.5</v>
      </c>
      <c r="AA49" s="247">
        <v>0.2</v>
      </c>
      <c r="AB49" s="247">
        <v>0.3</v>
      </c>
      <c r="AC49" s="247">
        <v>0.6</v>
      </c>
      <c r="AD49" s="247">
        <v>0.1</v>
      </c>
      <c r="AE49" s="248">
        <v>0.2</v>
      </c>
      <c r="AF49" s="247">
        <v>0.8</v>
      </c>
      <c r="AG49" s="247">
        <v>0.2</v>
      </c>
      <c r="AH49" s="247">
        <v>0.3</v>
      </c>
      <c r="AI49" s="247">
        <v>0.2</v>
      </c>
      <c r="AJ49" s="247">
        <v>0.4</v>
      </c>
      <c r="AK49" s="247">
        <v>0.2</v>
      </c>
      <c r="AL49" s="247">
        <v>0.3</v>
      </c>
      <c r="AM49" s="247">
        <v>0.2</v>
      </c>
    </row>
    <row r="50" spans="1:39" x14ac:dyDescent="0.3">
      <c r="A50" s="246" t="s">
        <v>496</v>
      </c>
      <c r="B50" s="247">
        <v>0.3</v>
      </c>
      <c r="C50" s="247">
        <v>0.3</v>
      </c>
      <c r="D50" s="247">
        <v>0.3</v>
      </c>
      <c r="E50" s="247">
        <v>0.3</v>
      </c>
      <c r="F50" s="247">
        <v>0.3</v>
      </c>
      <c r="G50" s="247">
        <v>0.3</v>
      </c>
      <c r="H50" s="247">
        <v>0.3</v>
      </c>
      <c r="I50" s="247">
        <v>0.3</v>
      </c>
      <c r="J50" s="247">
        <v>0.3</v>
      </c>
      <c r="K50" s="317">
        <v>0.2</v>
      </c>
      <c r="L50" s="337"/>
      <c r="M50" s="337"/>
      <c r="N50" s="247">
        <v>0.3</v>
      </c>
      <c r="O50" s="317">
        <v>0.3</v>
      </c>
      <c r="P50" s="247">
        <v>0.3</v>
      </c>
      <c r="Q50" s="247"/>
      <c r="R50" s="247">
        <v>0.3</v>
      </c>
      <c r="S50" s="247">
        <v>0.3</v>
      </c>
      <c r="T50" s="247">
        <v>0.3</v>
      </c>
      <c r="U50" s="247">
        <v>0.3</v>
      </c>
      <c r="V50" s="247">
        <v>0.3</v>
      </c>
      <c r="W50" s="247">
        <v>0.3</v>
      </c>
      <c r="X50" s="317">
        <v>0.3</v>
      </c>
      <c r="Y50" s="247">
        <v>0.3</v>
      </c>
      <c r="Z50" s="247">
        <v>0.3</v>
      </c>
      <c r="AA50" s="247">
        <v>0.3</v>
      </c>
      <c r="AB50" s="247">
        <v>0.3</v>
      </c>
      <c r="AC50" s="247">
        <v>0.3</v>
      </c>
      <c r="AD50" s="247">
        <v>0.3</v>
      </c>
      <c r="AE50" s="248">
        <v>0.3</v>
      </c>
      <c r="AF50" s="247">
        <v>0.3</v>
      </c>
      <c r="AG50" s="247">
        <v>0.3</v>
      </c>
      <c r="AH50" s="248">
        <v>0.3</v>
      </c>
      <c r="AI50" s="247">
        <v>0.3</v>
      </c>
      <c r="AJ50" s="247">
        <v>0.3</v>
      </c>
      <c r="AK50" s="247">
        <v>0.3</v>
      </c>
      <c r="AL50" s="247">
        <v>0.3</v>
      </c>
      <c r="AM50" s="247">
        <v>0.3</v>
      </c>
    </row>
    <row r="51" spans="1:39" x14ac:dyDescent="0.3">
      <c r="A51" s="246" t="s">
        <v>509</v>
      </c>
      <c r="B51" s="247">
        <v>0</v>
      </c>
      <c r="C51" s="247">
        <v>0</v>
      </c>
      <c r="D51" s="247">
        <v>0</v>
      </c>
      <c r="E51" s="247">
        <v>0</v>
      </c>
      <c r="F51" s="247">
        <v>0</v>
      </c>
      <c r="G51" s="247">
        <v>0</v>
      </c>
      <c r="H51" s="247">
        <v>0</v>
      </c>
      <c r="I51" s="247">
        <v>0</v>
      </c>
      <c r="J51" s="247">
        <v>0</v>
      </c>
      <c r="K51" s="317">
        <v>0</v>
      </c>
      <c r="L51" s="337"/>
      <c r="M51" s="337"/>
      <c r="N51" s="247">
        <v>0</v>
      </c>
      <c r="O51" s="317">
        <v>0</v>
      </c>
      <c r="P51" s="247">
        <v>0</v>
      </c>
      <c r="Q51" s="247"/>
      <c r="R51" s="247">
        <v>0</v>
      </c>
      <c r="S51" s="247">
        <v>0</v>
      </c>
      <c r="T51" s="247">
        <v>0</v>
      </c>
      <c r="U51" s="247">
        <v>0</v>
      </c>
      <c r="V51" s="247">
        <v>0</v>
      </c>
      <c r="W51" s="247">
        <v>0</v>
      </c>
      <c r="X51" s="317">
        <v>0</v>
      </c>
      <c r="Y51" s="247">
        <v>0</v>
      </c>
      <c r="Z51" s="247">
        <v>0</v>
      </c>
      <c r="AA51" s="247">
        <v>0</v>
      </c>
      <c r="AB51" s="247">
        <v>0</v>
      </c>
      <c r="AC51" s="247">
        <v>0</v>
      </c>
      <c r="AD51" s="247">
        <v>0</v>
      </c>
      <c r="AE51" s="248">
        <v>0</v>
      </c>
      <c r="AF51" s="247">
        <v>0</v>
      </c>
      <c r="AG51" s="247">
        <v>0</v>
      </c>
      <c r="AH51" s="247">
        <v>0</v>
      </c>
      <c r="AI51" s="247">
        <v>0</v>
      </c>
      <c r="AJ51" s="247">
        <v>0</v>
      </c>
      <c r="AK51" s="247">
        <v>0</v>
      </c>
      <c r="AL51" s="247">
        <v>0</v>
      </c>
      <c r="AM51" s="247">
        <v>0</v>
      </c>
    </row>
    <row r="52" spans="1:39" x14ac:dyDescent="0.3">
      <c r="A52" s="246" t="s">
        <v>501</v>
      </c>
      <c r="B52" s="247">
        <v>0.15</v>
      </c>
      <c r="C52" s="247">
        <v>0.1</v>
      </c>
      <c r="D52" s="247">
        <v>0.1</v>
      </c>
      <c r="E52" s="247">
        <v>0.15</v>
      </c>
      <c r="F52" s="247">
        <v>0.15</v>
      </c>
      <c r="G52" s="247">
        <v>0</v>
      </c>
      <c r="H52" s="247">
        <v>0.05</v>
      </c>
      <c r="I52" s="247">
        <v>0.15</v>
      </c>
      <c r="J52" s="247">
        <v>0.1</v>
      </c>
      <c r="K52" s="317">
        <v>0</v>
      </c>
      <c r="L52" s="337"/>
      <c r="M52" s="337"/>
      <c r="N52" s="247">
        <v>0.1</v>
      </c>
      <c r="O52" s="317">
        <v>0.1</v>
      </c>
      <c r="P52" s="247">
        <v>0.15</v>
      </c>
      <c r="Q52" s="247"/>
      <c r="R52" s="247">
        <v>0.1</v>
      </c>
      <c r="S52" s="247">
        <v>0.1</v>
      </c>
      <c r="T52" s="247">
        <v>0.1</v>
      </c>
      <c r="U52" s="247">
        <v>0.15</v>
      </c>
      <c r="V52" s="247">
        <v>0.1</v>
      </c>
      <c r="W52" s="247">
        <v>0.15</v>
      </c>
      <c r="X52" s="317">
        <v>0.14000000000000001</v>
      </c>
      <c r="Y52" s="247">
        <v>0.1</v>
      </c>
      <c r="Z52" s="247">
        <v>0.13</v>
      </c>
      <c r="AA52" s="247">
        <v>0.15</v>
      </c>
      <c r="AB52" s="247">
        <v>0.05</v>
      </c>
      <c r="AC52" s="247">
        <v>0.1</v>
      </c>
      <c r="AD52" s="247">
        <v>0.1</v>
      </c>
      <c r="AE52" s="248">
        <v>0.1</v>
      </c>
      <c r="AF52" s="247">
        <v>0.1</v>
      </c>
      <c r="AG52" s="247">
        <v>0.05</v>
      </c>
      <c r="AH52" s="247">
        <v>0.1</v>
      </c>
      <c r="AI52" s="247">
        <v>0.1</v>
      </c>
      <c r="AJ52" s="247">
        <v>0.1</v>
      </c>
      <c r="AK52" s="247">
        <v>0.1</v>
      </c>
      <c r="AL52" s="247">
        <v>0</v>
      </c>
      <c r="AM52" s="247">
        <v>0.15</v>
      </c>
    </row>
    <row r="53" spans="1:39" x14ac:dyDescent="0.3">
      <c r="A53" s="246" t="s">
        <v>504</v>
      </c>
      <c r="B53" s="247">
        <v>0</v>
      </c>
      <c r="C53" s="247">
        <v>0</v>
      </c>
      <c r="D53" s="247">
        <v>0</v>
      </c>
      <c r="E53" s="247">
        <v>0</v>
      </c>
      <c r="F53" s="247">
        <v>0</v>
      </c>
      <c r="G53" s="247">
        <v>0</v>
      </c>
      <c r="H53" s="247">
        <v>0.05</v>
      </c>
      <c r="I53" s="247">
        <v>0</v>
      </c>
      <c r="J53" s="247">
        <v>0</v>
      </c>
      <c r="K53" s="317">
        <v>0</v>
      </c>
      <c r="L53" s="337"/>
      <c r="M53" s="337"/>
      <c r="N53" s="247">
        <v>0</v>
      </c>
      <c r="O53" s="317">
        <v>0.05</v>
      </c>
      <c r="P53" s="247">
        <v>0</v>
      </c>
      <c r="Q53" s="247"/>
      <c r="R53" s="247">
        <v>0</v>
      </c>
      <c r="S53" s="247">
        <v>0</v>
      </c>
      <c r="T53" s="247">
        <v>0</v>
      </c>
      <c r="U53" s="247">
        <v>0</v>
      </c>
      <c r="V53" s="247">
        <v>0</v>
      </c>
      <c r="W53" s="247">
        <v>0</v>
      </c>
      <c r="X53" s="317">
        <v>0.01</v>
      </c>
      <c r="Y53" s="247">
        <v>0</v>
      </c>
      <c r="Z53" s="247">
        <v>0.02</v>
      </c>
      <c r="AA53" s="247">
        <v>0</v>
      </c>
      <c r="AB53" s="247">
        <v>0.05</v>
      </c>
      <c r="AC53" s="247">
        <v>0.05</v>
      </c>
      <c r="AD53" s="247">
        <v>0</v>
      </c>
      <c r="AE53" s="248">
        <v>0.05</v>
      </c>
      <c r="AF53" s="247">
        <v>0</v>
      </c>
      <c r="AG53" s="247">
        <v>0.05</v>
      </c>
      <c r="AH53" s="247">
        <v>0.05</v>
      </c>
      <c r="AI53" s="247">
        <v>0</v>
      </c>
      <c r="AJ53" s="247">
        <v>0.05</v>
      </c>
      <c r="AK53" s="247">
        <v>0</v>
      </c>
      <c r="AL53" s="247">
        <v>0.05</v>
      </c>
      <c r="AM53" s="247">
        <v>0</v>
      </c>
    </row>
    <row r="54" spans="1:39" x14ac:dyDescent="0.3">
      <c r="A54" s="246" t="s">
        <v>500</v>
      </c>
      <c r="B54" s="247">
        <v>0</v>
      </c>
      <c r="C54" s="247">
        <v>0.05</v>
      </c>
      <c r="D54" s="247">
        <v>0.05</v>
      </c>
      <c r="E54" s="247">
        <v>0</v>
      </c>
      <c r="F54" s="247">
        <v>0</v>
      </c>
      <c r="G54" s="247">
        <v>0</v>
      </c>
      <c r="H54" s="247">
        <v>0.05</v>
      </c>
      <c r="I54" s="247">
        <v>0</v>
      </c>
      <c r="J54" s="247">
        <v>0.05</v>
      </c>
      <c r="K54" s="317">
        <v>0</v>
      </c>
      <c r="L54" s="337"/>
      <c r="M54" s="337"/>
      <c r="N54" s="247">
        <v>0.05</v>
      </c>
      <c r="O54" s="317">
        <v>0</v>
      </c>
      <c r="P54" s="247">
        <v>0</v>
      </c>
      <c r="Q54" s="247"/>
      <c r="R54" s="247">
        <v>0.05</v>
      </c>
      <c r="S54" s="247">
        <v>0.05</v>
      </c>
      <c r="T54" s="247">
        <v>0.05</v>
      </c>
      <c r="U54" s="247">
        <v>0</v>
      </c>
      <c r="V54" s="247">
        <v>0.05</v>
      </c>
      <c r="W54" s="247">
        <v>0</v>
      </c>
      <c r="X54" s="317">
        <v>0</v>
      </c>
      <c r="Y54" s="247">
        <v>0.05</v>
      </c>
      <c r="Z54" s="247">
        <v>0</v>
      </c>
      <c r="AA54" s="247">
        <v>0</v>
      </c>
      <c r="AB54" s="247">
        <v>0.05</v>
      </c>
      <c r="AC54" s="247">
        <v>0</v>
      </c>
      <c r="AD54" s="247">
        <v>0.05</v>
      </c>
      <c r="AE54" s="248">
        <v>0</v>
      </c>
      <c r="AF54" s="247">
        <v>0.05</v>
      </c>
      <c r="AG54" s="247">
        <v>0.05</v>
      </c>
      <c r="AH54" s="247">
        <v>0</v>
      </c>
      <c r="AI54" s="247">
        <v>0.05</v>
      </c>
      <c r="AJ54" s="247">
        <v>0</v>
      </c>
      <c r="AK54" s="247">
        <v>0.05</v>
      </c>
      <c r="AL54" s="247">
        <v>0</v>
      </c>
      <c r="AM54" s="247">
        <v>0</v>
      </c>
    </row>
    <row r="55" spans="1:39" x14ac:dyDescent="0.3">
      <c r="A55" s="246" t="s">
        <v>506</v>
      </c>
      <c r="B55" s="247"/>
      <c r="C55" s="247"/>
      <c r="D55" s="247"/>
      <c r="E55" s="247"/>
      <c r="F55" s="247"/>
      <c r="G55" s="247"/>
      <c r="H55" s="247"/>
      <c r="I55" s="247"/>
      <c r="J55" s="247"/>
      <c r="K55" s="317"/>
      <c r="L55" s="337"/>
      <c r="M55" s="337"/>
      <c r="N55" s="247"/>
      <c r="O55" s="317"/>
      <c r="P55" s="247"/>
      <c r="Q55" s="247"/>
      <c r="R55" s="247"/>
      <c r="S55" s="247"/>
      <c r="T55" s="247"/>
      <c r="U55" s="247"/>
      <c r="V55" s="247"/>
      <c r="W55" s="247"/>
      <c r="X55" s="31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  <c r="AI55" s="247"/>
      <c r="AJ55" s="247"/>
      <c r="AK55" s="247"/>
      <c r="AL55" s="247"/>
      <c r="AM55" s="247"/>
    </row>
    <row r="56" spans="1:39" x14ac:dyDescent="0.3">
      <c r="A56" s="246" t="s">
        <v>502</v>
      </c>
      <c r="B56" s="247">
        <v>0.05</v>
      </c>
      <c r="C56" s="247">
        <v>0.05</v>
      </c>
      <c r="D56" s="247">
        <v>0.05</v>
      </c>
      <c r="E56" s="247">
        <v>0.05</v>
      </c>
      <c r="F56" s="247">
        <v>0.05</v>
      </c>
      <c r="G56" s="247">
        <v>0.05</v>
      </c>
      <c r="H56" s="247">
        <v>0.05</v>
      </c>
      <c r="I56" s="247">
        <v>0.05</v>
      </c>
      <c r="J56" s="247">
        <v>0.05</v>
      </c>
      <c r="K56" s="317">
        <v>0.05</v>
      </c>
      <c r="L56" s="337"/>
      <c r="M56" s="337"/>
      <c r="N56" s="247">
        <v>0.05</v>
      </c>
      <c r="O56" s="317">
        <v>0</v>
      </c>
      <c r="P56" s="247">
        <v>0.05</v>
      </c>
      <c r="Q56" s="247"/>
      <c r="R56" s="247">
        <v>0.1</v>
      </c>
      <c r="S56" s="247">
        <v>0.1</v>
      </c>
      <c r="T56" s="247">
        <v>0.05</v>
      </c>
      <c r="U56" s="247">
        <v>0.05</v>
      </c>
      <c r="V56" s="247">
        <v>0.05</v>
      </c>
      <c r="W56" s="247">
        <v>0</v>
      </c>
      <c r="X56" s="317">
        <v>0</v>
      </c>
      <c r="Y56" s="247">
        <v>0.1</v>
      </c>
      <c r="Z56" s="247">
        <v>0.03</v>
      </c>
      <c r="AA56" s="247">
        <v>0.05</v>
      </c>
      <c r="AB56" s="247"/>
      <c r="AC56" s="247">
        <v>0.1</v>
      </c>
      <c r="AD56" s="247">
        <v>0.05</v>
      </c>
      <c r="AE56" s="247">
        <v>0.05</v>
      </c>
      <c r="AF56" s="247">
        <v>0.05</v>
      </c>
      <c r="AG56" s="247">
        <v>0.1</v>
      </c>
      <c r="AH56" s="247">
        <v>0</v>
      </c>
      <c r="AI56" s="247">
        <v>0.05</v>
      </c>
      <c r="AJ56" s="247">
        <v>0.1</v>
      </c>
      <c r="AK56" s="247">
        <v>0.05</v>
      </c>
      <c r="AL56" s="247">
        <v>0</v>
      </c>
      <c r="AM56" s="247">
        <v>0.05</v>
      </c>
    </row>
    <row r="57" spans="1:39" x14ac:dyDescent="0.3">
      <c r="A57" s="246" t="s">
        <v>503</v>
      </c>
      <c r="B57" s="247">
        <v>0.05</v>
      </c>
      <c r="C57" s="247">
        <v>0.05</v>
      </c>
      <c r="D57" s="247">
        <v>0.05</v>
      </c>
      <c r="E57" s="247">
        <v>0.05</v>
      </c>
      <c r="F57" s="247">
        <v>0.05</v>
      </c>
      <c r="G57" s="247">
        <v>0</v>
      </c>
      <c r="H57" s="247">
        <v>0</v>
      </c>
      <c r="I57" s="247">
        <v>0.05</v>
      </c>
      <c r="J57" s="247">
        <v>0.05</v>
      </c>
      <c r="K57" s="317">
        <v>0</v>
      </c>
      <c r="L57" s="337"/>
      <c r="M57" s="337"/>
      <c r="N57" s="247">
        <v>0</v>
      </c>
      <c r="O57" s="317">
        <v>0</v>
      </c>
      <c r="P57" s="247">
        <v>0.05</v>
      </c>
      <c r="Q57" s="247"/>
      <c r="R57" s="247">
        <v>0</v>
      </c>
      <c r="S57" s="247">
        <v>0</v>
      </c>
      <c r="T57" s="247">
        <v>0</v>
      </c>
      <c r="U57" s="247">
        <v>0.05</v>
      </c>
      <c r="V57" s="247">
        <v>0</v>
      </c>
      <c r="W57" s="247">
        <v>0.15</v>
      </c>
      <c r="X57" s="317">
        <v>0</v>
      </c>
      <c r="Y57" s="247">
        <v>0</v>
      </c>
      <c r="Z57" s="247">
        <v>0</v>
      </c>
      <c r="AA57" s="247">
        <v>0.05</v>
      </c>
      <c r="AB57" s="247">
        <v>0</v>
      </c>
      <c r="AC57" s="247">
        <v>0</v>
      </c>
      <c r="AD57" s="247">
        <v>0</v>
      </c>
      <c r="AE57" s="247">
        <v>0.05</v>
      </c>
      <c r="AF57" s="247">
        <v>0.05</v>
      </c>
      <c r="AG57" s="247">
        <v>0.05</v>
      </c>
      <c r="AH57" s="247">
        <v>0</v>
      </c>
      <c r="AI57" s="247">
        <v>0.05</v>
      </c>
      <c r="AJ57" s="247">
        <v>0</v>
      </c>
      <c r="AK57" s="247">
        <v>0.05</v>
      </c>
      <c r="AL57" s="247">
        <v>0</v>
      </c>
      <c r="AM57" s="247">
        <v>0.05</v>
      </c>
    </row>
    <row r="58" spans="1:39" x14ac:dyDescent="0.3">
      <c r="A58" s="246" t="s">
        <v>498</v>
      </c>
      <c r="B58" s="247">
        <v>0.05</v>
      </c>
      <c r="C58" s="247">
        <v>0.05</v>
      </c>
      <c r="D58" s="247">
        <v>0.05</v>
      </c>
      <c r="E58" s="247">
        <v>0.05</v>
      </c>
      <c r="F58" s="247">
        <v>0.05</v>
      </c>
      <c r="G58" s="247">
        <v>0.05</v>
      </c>
      <c r="H58" s="247">
        <v>0</v>
      </c>
      <c r="I58" s="247">
        <v>0.05</v>
      </c>
      <c r="J58" s="247">
        <v>0.1</v>
      </c>
      <c r="K58" s="317">
        <v>0</v>
      </c>
      <c r="L58" s="337"/>
      <c r="M58" s="337"/>
      <c r="N58" s="247">
        <v>0.05</v>
      </c>
      <c r="O58" s="317">
        <v>0.05</v>
      </c>
      <c r="P58" s="247">
        <v>0.05</v>
      </c>
      <c r="Q58" s="247"/>
      <c r="R58" s="247">
        <v>0</v>
      </c>
      <c r="S58" s="247">
        <v>0</v>
      </c>
      <c r="T58" s="247">
        <v>0.05</v>
      </c>
      <c r="U58" s="247">
        <v>0.05</v>
      </c>
      <c r="V58" s="247">
        <v>0.05</v>
      </c>
      <c r="W58" s="247">
        <v>0.05</v>
      </c>
      <c r="X58" s="317">
        <v>0.1</v>
      </c>
      <c r="Y58" s="247">
        <v>0</v>
      </c>
      <c r="Z58" s="247">
        <v>0.03</v>
      </c>
      <c r="AA58" s="247">
        <v>0.05</v>
      </c>
      <c r="AB58" s="247">
        <v>0.15</v>
      </c>
      <c r="AC58" s="247">
        <v>0</v>
      </c>
      <c r="AD58" s="247">
        <v>0.05</v>
      </c>
      <c r="AE58" s="247">
        <v>0.05</v>
      </c>
      <c r="AF58" s="247">
        <v>0.1</v>
      </c>
      <c r="AG58" s="247">
        <v>0.05</v>
      </c>
      <c r="AH58" s="248">
        <v>0.05</v>
      </c>
      <c r="AI58" s="247">
        <v>0.05</v>
      </c>
      <c r="AJ58" s="247">
        <v>0.05</v>
      </c>
      <c r="AK58" s="247">
        <v>0.05</v>
      </c>
      <c r="AL58" s="247">
        <v>0.05</v>
      </c>
      <c r="AM58" s="247">
        <v>0.05</v>
      </c>
    </row>
    <row r="59" spans="1:39" x14ac:dyDescent="0.3">
      <c r="A59" s="246" t="s">
        <v>499</v>
      </c>
      <c r="B59" s="247">
        <v>0</v>
      </c>
      <c r="C59" s="247">
        <v>0</v>
      </c>
      <c r="D59" s="247">
        <v>0</v>
      </c>
      <c r="E59" s="247">
        <v>0</v>
      </c>
      <c r="F59" s="247">
        <v>0</v>
      </c>
      <c r="G59" s="247">
        <v>0</v>
      </c>
      <c r="H59" s="247">
        <v>0.05</v>
      </c>
      <c r="I59" s="247">
        <v>0</v>
      </c>
      <c r="J59" s="247">
        <v>0</v>
      </c>
      <c r="K59" s="317">
        <v>0.05</v>
      </c>
      <c r="L59" s="337"/>
      <c r="M59" s="337"/>
      <c r="N59" s="247">
        <v>0</v>
      </c>
      <c r="O59" s="317">
        <v>0.05</v>
      </c>
      <c r="P59" s="247">
        <v>0</v>
      </c>
      <c r="Q59" s="247"/>
      <c r="R59" s="247">
        <v>0.05</v>
      </c>
      <c r="S59" s="247">
        <v>0.05</v>
      </c>
      <c r="T59" s="247">
        <v>0</v>
      </c>
      <c r="U59" s="247">
        <v>0</v>
      </c>
      <c r="V59" s="247">
        <v>0</v>
      </c>
      <c r="W59" s="247">
        <v>0</v>
      </c>
      <c r="X59" s="317">
        <v>0.05</v>
      </c>
      <c r="Y59" s="247">
        <v>0.05</v>
      </c>
      <c r="Z59" s="247">
        <v>0</v>
      </c>
      <c r="AA59" s="247">
        <v>0</v>
      </c>
      <c r="AB59" s="247">
        <v>0.05</v>
      </c>
      <c r="AC59" s="247">
        <v>0.05</v>
      </c>
      <c r="AD59" s="247">
        <v>0</v>
      </c>
      <c r="AE59" s="247">
        <v>0</v>
      </c>
      <c r="AF59" s="247">
        <v>0</v>
      </c>
      <c r="AG59" s="247">
        <v>0</v>
      </c>
      <c r="AH59" s="247">
        <v>0.05</v>
      </c>
      <c r="AI59" s="247">
        <v>0.05</v>
      </c>
      <c r="AJ59" s="247">
        <v>0.05</v>
      </c>
      <c r="AK59" s="247">
        <v>0</v>
      </c>
      <c r="AL59" s="247">
        <v>0.05</v>
      </c>
      <c r="AM59" s="247">
        <v>0</v>
      </c>
    </row>
    <row r="60" spans="1:39" x14ac:dyDescent="0.3">
      <c r="A60" s="246" t="s">
        <v>510</v>
      </c>
      <c r="B60" s="247">
        <v>0.05</v>
      </c>
      <c r="C60" s="247">
        <v>0.05</v>
      </c>
      <c r="D60" s="247">
        <v>0.05</v>
      </c>
      <c r="E60" s="247">
        <v>0.05</v>
      </c>
      <c r="F60" s="247">
        <v>0.05</v>
      </c>
      <c r="G60" s="247">
        <v>0</v>
      </c>
      <c r="H60" s="247">
        <v>0.05</v>
      </c>
      <c r="I60" s="247">
        <v>0.05</v>
      </c>
      <c r="J60" s="247">
        <v>0</v>
      </c>
      <c r="K60" s="317">
        <v>0</v>
      </c>
      <c r="L60" s="337"/>
      <c r="M60" s="337"/>
      <c r="N60" s="247">
        <v>0</v>
      </c>
      <c r="O60" s="317">
        <v>0</v>
      </c>
      <c r="P60" s="247">
        <v>0.05</v>
      </c>
      <c r="Q60" s="247"/>
      <c r="R60" s="247">
        <v>0.05</v>
      </c>
      <c r="S60" s="247">
        <v>0.05</v>
      </c>
      <c r="T60" s="247">
        <v>0</v>
      </c>
      <c r="U60" s="247">
        <v>0.05</v>
      </c>
      <c r="V60" s="247">
        <v>0</v>
      </c>
      <c r="W60" s="247">
        <v>0</v>
      </c>
      <c r="X60" s="317">
        <v>0.05</v>
      </c>
      <c r="Y60" s="247">
        <v>0.05</v>
      </c>
      <c r="Z60" s="247">
        <v>0.05</v>
      </c>
      <c r="AA60" s="247">
        <v>0.05</v>
      </c>
      <c r="AB60" s="247">
        <v>0.05</v>
      </c>
      <c r="AC60" s="247">
        <v>0.05</v>
      </c>
      <c r="AD60" s="247">
        <v>0</v>
      </c>
      <c r="AE60" s="247">
        <v>0.05</v>
      </c>
      <c r="AF60" s="247">
        <v>0</v>
      </c>
      <c r="AG60" s="247">
        <v>0</v>
      </c>
      <c r="AH60" s="247">
        <v>0</v>
      </c>
      <c r="AI60" s="247">
        <v>0</v>
      </c>
      <c r="AJ60" s="247">
        <v>0.05</v>
      </c>
      <c r="AK60" s="247">
        <v>0.05</v>
      </c>
      <c r="AL60" s="247">
        <v>0</v>
      </c>
      <c r="AM60" s="247">
        <v>0.05</v>
      </c>
    </row>
    <row r="61" spans="1:39" x14ac:dyDescent="0.3">
      <c r="A61" s="246" t="s">
        <v>505</v>
      </c>
      <c r="B61" s="247">
        <v>0.05</v>
      </c>
      <c r="C61" s="247">
        <v>0.05</v>
      </c>
      <c r="D61" s="247">
        <v>0.05</v>
      </c>
      <c r="E61" s="247">
        <v>0.05</v>
      </c>
      <c r="F61" s="247">
        <v>0.05</v>
      </c>
      <c r="G61" s="247">
        <v>0.05</v>
      </c>
      <c r="H61" s="247">
        <v>0.05</v>
      </c>
      <c r="I61" s="247">
        <v>0.05</v>
      </c>
      <c r="J61" s="247">
        <v>0.05</v>
      </c>
      <c r="K61" s="317">
        <v>0</v>
      </c>
      <c r="L61" s="337"/>
      <c r="M61" s="337"/>
      <c r="N61" s="247">
        <v>0.05</v>
      </c>
      <c r="O61" s="317">
        <v>0</v>
      </c>
      <c r="P61" s="247">
        <v>0.05</v>
      </c>
      <c r="Q61" s="247"/>
      <c r="R61" s="247">
        <v>0.05</v>
      </c>
      <c r="S61" s="247">
        <v>0.05</v>
      </c>
      <c r="T61" s="247">
        <v>0.05</v>
      </c>
      <c r="U61" s="247">
        <v>0.05</v>
      </c>
      <c r="V61" s="247">
        <v>0.05</v>
      </c>
      <c r="W61" s="247">
        <v>0.05</v>
      </c>
      <c r="X61" s="317">
        <v>0.05</v>
      </c>
      <c r="Y61" s="247">
        <v>0.05</v>
      </c>
      <c r="Z61" s="247">
        <v>0</v>
      </c>
      <c r="AA61" s="247">
        <v>0.05</v>
      </c>
      <c r="AB61" s="247">
        <v>0</v>
      </c>
      <c r="AC61" s="247">
        <v>0.05</v>
      </c>
      <c r="AD61" s="247">
        <v>0.05</v>
      </c>
      <c r="AE61" s="247">
        <v>0.05</v>
      </c>
      <c r="AF61" s="247">
        <v>0.05</v>
      </c>
      <c r="AG61" s="247">
        <v>0.05</v>
      </c>
      <c r="AH61" s="247">
        <v>0</v>
      </c>
      <c r="AI61" s="247">
        <v>0.05</v>
      </c>
      <c r="AJ61" s="247">
        <v>0.05</v>
      </c>
      <c r="AK61" s="247">
        <v>0.05</v>
      </c>
      <c r="AL61" s="247">
        <v>0</v>
      </c>
      <c r="AM61" s="247">
        <v>0.05</v>
      </c>
    </row>
    <row r="62" spans="1:39" x14ac:dyDescent="0.3">
      <c r="A62" s="250" t="s">
        <v>554</v>
      </c>
      <c r="B62" s="251">
        <v>1.9000000000000001</v>
      </c>
      <c r="C62" s="251">
        <v>2.0999999999999996</v>
      </c>
      <c r="D62" s="251">
        <v>1.9000000000000004</v>
      </c>
      <c r="E62" s="251">
        <v>1.9000000000000001</v>
      </c>
      <c r="F62" s="251">
        <v>1.9000000000000001</v>
      </c>
      <c r="G62" s="251">
        <v>1.85</v>
      </c>
      <c r="H62" s="251">
        <v>1.9500000000000004</v>
      </c>
      <c r="I62" s="251">
        <v>1.9000000000000001</v>
      </c>
      <c r="J62" s="251">
        <v>1.9000000000000004</v>
      </c>
      <c r="K62" s="318">
        <f>SUM(K46:K61)</f>
        <v>1</v>
      </c>
      <c r="L62" s="338"/>
      <c r="M62" s="338"/>
      <c r="N62" s="251">
        <v>1.9000000000000004</v>
      </c>
      <c r="O62" s="318">
        <v>1.85</v>
      </c>
      <c r="P62" s="251">
        <v>1.9000000000000001</v>
      </c>
      <c r="Q62" s="251">
        <v>0</v>
      </c>
      <c r="R62" s="251">
        <v>2.2999999999999994</v>
      </c>
      <c r="S62" s="251">
        <v>2.2999999999999998</v>
      </c>
      <c r="T62" s="251">
        <v>1.6000000000000003</v>
      </c>
      <c r="U62" s="251">
        <v>1.9000000000000001</v>
      </c>
      <c r="V62" s="251">
        <v>1.9000000000000004</v>
      </c>
      <c r="W62" s="251">
        <v>1.9</v>
      </c>
      <c r="X62" s="318">
        <f>SUM(X46:X61)</f>
        <v>1.7000000000000002</v>
      </c>
      <c r="Y62" s="251">
        <v>2.2999999999999994</v>
      </c>
      <c r="Z62" s="251">
        <v>2.1599999999999997</v>
      </c>
      <c r="AA62" s="251">
        <v>1.9000000000000001</v>
      </c>
      <c r="AB62" s="251">
        <v>2</v>
      </c>
      <c r="AC62" s="251">
        <v>2.2999999999999994</v>
      </c>
      <c r="AD62" s="251">
        <v>1.7000000000000004</v>
      </c>
      <c r="AE62" s="251">
        <v>1.9000000000000004</v>
      </c>
      <c r="AF62" s="251">
        <v>2.5999999999999996</v>
      </c>
      <c r="AG62" s="251">
        <v>1.9000000000000004</v>
      </c>
      <c r="AH62" s="251">
        <v>1.8500000000000003</v>
      </c>
      <c r="AI62" s="251">
        <v>1.9000000000000004</v>
      </c>
      <c r="AJ62" s="251">
        <v>2.1499999999999995</v>
      </c>
      <c r="AK62" s="251">
        <v>1.9000000000000004</v>
      </c>
      <c r="AL62" s="251">
        <v>1.7500000000000002</v>
      </c>
      <c r="AM62" s="251">
        <v>1.9000000000000001</v>
      </c>
    </row>
  </sheetData>
  <sheetProtection formatCells="0" formatColumns="0" formatRows="0" insertColumns="0" insertRows="0" insertHyperlinks="0" deleteColumns="0" deleteRows="0" selectLockedCells="1" sort="0" autoFilter="0" pivotTables="0"/>
  <sortState ref="E3:I38">
    <sortCondition ref="E3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FFFF00"/>
  </sheetPr>
  <dimension ref="B2:K17"/>
  <sheetViews>
    <sheetView showGridLines="0" workbookViewId="0">
      <selection activeCell="C31" sqref="C31"/>
    </sheetView>
  </sheetViews>
  <sheetFormatPr defaultColWidth="9.140625" defaultRowHeight="15" x14ac:dyDescent="0.3"/>
  <cols>
    <col min="1" max="1" width="7.85546875" style="146" customWidth="1"/>
    <col min="2" max="2" width="14.5703125" style="146" bestFit="1" customWidth="1"/>
    <col min="3" max="5" width="14.28515625" style="146" customWidth="1"/>
    <col min="6" max="6" width="11.85546875" style="146" customWidth="1"/>
    <col min="7" max="8" width="14.28515625" style="146" customWidth="1"/>
    <col min="9" max="9" width="11.28515625" style="146" bestFit="1" customWidth="1"/>
    <col min="10" max="10" width="9.140625" style="146"/>
    <col min="11" max="11" width="9.85546875" style="146" bestFit="1" customWidth="1"/>
    <col min="12" max="16384" width="9.140625" style="146"/>
  </cols>
  <sheetData>
    <row r="2" spans="2:11" ht="30" customHeight="1" x14ac:dyDescent="0.45">
      <c r="C2" s="384" t="s">
        <v>722</v>
      </c>
      <c r="D2" s="384"/>
      <c r="E2" s="384"/>
      <c r="F2" s="384"/>
      <c r="G2" s="384"/>
      <c r="H2" s="384"/>
      <c r="I2" s="384"/>
      <c r="J2" s="384"/>
    </row>
    <row r="4" spans="2:11" x14ac:dyDescent="0.3">
      <c r="B4" s="145" t="s">
        <v>571</v>
      </c>
      <c r="C4" s="145" t="s">
        <v>2</v>
      </c>
      <c r="D4" s="145" t="s">
        <v>3</v>
      </c>
      <c r="E4" s="145" t="s">
        <v>4</v>
      </c>
      <c r="F4" s="145" t="s">
        <v>806</v>
      </c>
      <c r="G4" s="145" t="s">
        <v>5</v>
      </c>
      <c r="H4" s="145" t="s">
        <v>559</v>
      </c>
      <c r="I4" s="145" t="s">
        <v>560</v>
      </c>
      <c r="J4" s="145" t="s">
        <v>569</v>
      </c>
      <c r="K4" s="145" t="s">
        <v>570</v>
      </c>
    </row>
    <row r="5" spans="2:11" x14ac:dyDescent="0.3">
      <c r="B5" s="147" t="str">
        <f>historico!M3</f>
        <v>Janeiro/2016</v>
      </c>
      <c r="C5" s="148">
        <f>IF(historico!N3=0,"",historico!N3)</f>
        <v>7530333.3899999997</v>
      </c>
      <c r="D5" s="148">
        <f>IF(historico!O3=0,"",historico!O3)</f>
        <v>1500576.83</v>
      </c>
      <c r="E5" s="148">
        <f>IF(historico!P3=0,"",historico!P3)</f>
        <v>1186467.6499999999</v>
      </c>
      <c r="F5" s="148" t="str">
        <f>IF(historico!Q3=0,"",historico!Q3)</f>
        <v/>
      </c>
      <c r="G5" s="148">
        <f>IF(historico!R3=0,"",historico!R3)</f>
        <v>7962133.5500000007</v>
      </c>
      <c r="H5" s="148">
        <f>IF(historico!S3=0,"",historico!S3)</f>
        <v>117690.98000000138</v>
      </c>
      <c r="I5" s="149">
        <f>IF(historico!T3=0,"",historico!T3)</f>
        <v>1.5003103018447032E-2</v>
      </c>
      <c r="J5" s="149">
        <f>IF(historico!U3=0,"",historico!U3)</f>
        <v>2.0041050578879727E-2</v>
      </c>
      <c r="K5" s="149">
        <f>IF(historico!V3=0,"",historico!V3)</f>
        <v>0.74861858959919303</v>
      </c>
    </row>
    <row r="6" spans="2:11" x14ac:dyDescent="0.3">
      <c r="B6" s="147" t="str">
        <f>historico!M4</f>
        <v>Fevereiro/2016</v>
      </c>
      <c r="C6" s="148">
        <f>IF(historico!N4=0,"",historico!N4)</f>
        <v>7962133.5500000007</v>
      </c>
      <c r="D6" s="148">
        <f>IF(historico!O4=0,"",historico!O4)</f>
        <v>4175278.71</v>
      </c>
      <c r="E6" s="148">
        <f>IF(historico!P4=0,"",historico!P4)</f>
        <v>4223423.1399999997</v>
      </c>
      <c r="F6" s="148">
        <f>IF(historico!Q4=0,"",historico!Q4)</f>
        <v>46170.46</v>
      </c>
      <c r="G6" s="148">
        <f>IF(historico!R4=0,"",historico!R4)</f>
        <v>7955238.4399999995</v>
      </c>
      <c r="H6" s="148">
        <f>IF(historico!S4=0,"",historico!S4)</f>
        <v>87419.779999997496</v>
      </c>
      <c r="I6" s="149">
        <f>IF(historico!T4=0,"",historico!T4)</f>
        <v>1.0979441559354087E-2</v>
      </c>
      <c r="J6" s="149">
        <f>IF(historico!U4=0,"",historico!U4)</f>
        <v>1.4413792295713934E-2</v>
      </c>
      <c r="K6" s="149">
        <f>IF(historico!V4=0,"",historico!V4)</f>
        <v>0.76173163412510936</v>
      </c>
    </row>
    <row r="7" spans="2:11" x14ac:dyDescent="0.3">
      <c r="B7" s="147" t="str">
        <f>historico!M5</f>
        <v>Março/2016</v>
      </c>
      <c r="C7" s="148">
        <f>IF(historico!N5=0,"",historico!N5)</f>
        <v>7955238.4399999995</v>
      </c>
      <c r="D7" s="148">
        <f>IF(historico!O5=0,"",historico!O5)</f>
        <v>5519280.0800000001</v>
      </c>
      <c r="E7" s="148">
        <f>IF(historico!P5=0,"",historico!P5)</f>
        <v>5519280.0800000001</v>
      </c>
      <c r="F7" s="148" t="str">
        <f>IF(historico!Q5=0,"",historico!Q5)</f>
        <v/>
      </c>
      <c r="G7" s="148">
        <f>IF(historico!R5=0,"",historico!R5)</f>
        <v>8167736.2599999998</v>
      </c>
      <c r="H7" s="148">
        <f>IF(historico!S5=0,"",historico!S5)</f>
        <v>212497.8200000003</v>
      </c>
      <c r="I7" s="149">
        <f>IF(historico!T5=0,"",historico!T5)</f>
        <v>2.671168458402616E-2</v>
      </c>
      <c r="J7" s="149">
        <f>IF(historico!U5=0,"",historico!U5)</f>
        <v>9.2889677878305044E-3</v>
      </c>
      <c r="K7" s="149">
        <f>IF(historico!V5=0,"",historico!V5)</f>
        <v>2.8756353982647234</v>
      </c>
    </row>
    <row r="8" spans="2:11" x14ac:dyDescent="0.3">
      <c r="B8" s="147" t="str">
        <f>historico!M6</f>
        <v>Abril/2016</v>
      </c>
      <c r="C8" s="148" t="str">
        <f>IF(historico!N6=0,"",historico!N6)</f>
        <v/>
      </c>
      <c r="D8" s="148" t="str">
        <f>IF(historico!O6=0,"",historico!O6)</f>
        <v/>
      </c>
      <c r="E8" s="148" t="str">
        <f>IF(historico!P6=0,"",historico!P6)</f>
        <v/>
      </c>
      <c r="F8" s="148" t="str">
        <f>IF(historico!Q6=0,"",historico!Q6)</f>
        <v/>
      </c>
      <c r="G8" s="148" t="str">
        <f>IF(historico!R6=0,"",historico!R6)</f>
        <v/>
      </c>
      <c r="H8" s="148" t="str">
        <f>IF(historico!S6=0,"",historico!S6)</f>
        <v/>
      </c>
      <c r="I8" s="149" t="str">
        <f>IF(historico!T6=0,"",historico!T6)</f>
        <v/>
      </c>
      <c r="J8" s="149" t="str">
        <f>IF(historico!U6=0,"",historico!U6)</f>
        <v/>
      </c>
      <c r="K8" s="149" t="str">
        <f>IF(historico!V6=0,"",historico!V6)</f>
        <v/>
      </c>
    </row>
    <row r="9" spans="2:11" x14ac:dyDescent="0.3">
      <c r="B9" s="147" t="str">
        <f>historico!M7</f>
        <v>Maio/2016</v>
      </c>
      <c r="C9" s="148" t="str">
        <f>IF(historico!N7=0,"",historico!N7)</f>
        <v/>
      </c>
      <c r="D9" s="148" t="str">
        <f>IF(historico!O7=0,"",historico!O7)</f>
        <v/>
      </c>
      <c r="E9" s="148" t="str">
        <f>IF(historico!P7=0,"",historico!P7)</f>
        <v/>
      </c>
      <c r="F9" s="148" t="str">
        <f>IF(historico!Q7=0,"",historico!Q7)</f>
        <v/>
      </c>
      <c r="G9" s="148" t="str">
        <f>IF(historico!R7=0,"",historico!R7)</f>
        <v/>
      </c>
      <c r="H9" s="148" t="str">
        <f>IF(historico!S7=0,"",historico!S7)</f>
        <v/>
      </c>
      <c r="I9" s="149" t="str">
        <f>IF(historico!T7=0,"",historico!T7)</f>
        <v/>
      </c>
      <c r="J9" s="149" t="str">
        <f>IF(historico!U7=0,"",historico!U7)</f>
        <v/>
      </c>
      <c r="K9" s="149" t="str">
        <f>IF(historico!V7=0,"",historico!V7)</f>
        <v/>
      </c>
    </row>
    <row r="10" spans="2:11" x14ac:dyDescent="0.3">
      <c r="B10" s="147" t="str">
        <f>historico!M8</f>
        <v>Junho/2016</v>
      </c>
      <c r="C10" s="148" t="str">
        <f>IF(historico!N8=0,"",historico!N8)</f>
        <v/>
      </c>
      <c r="D10" s="148" t="str">
        <f>IF(historico!O8=0,"",historico!O8)</f>
        <v/>
      </c>
      <c r="E10" s="148" t="str">
        <f>IF(historico!P8=0,"",historico!P8)</f>
        <v/>
      </c>
      <c r="F10" s="148" t="str">
        <f>IF(historico!Q8=0,"",historico!Q8)</f>
        <v/>
      </c>
      <c r="G10" s="148" t="str">
        <f>IF(historico!R8=0,"",historico!R8)</f>
        <v/>
      </c>
      <c r="H10" s="148" t="str">
        <f>IF(historico!S8=0,"",historico!S8)</f>
        <v/>
      </c>
      <c r="I10" s="149" t="str">
        <f>IF(historico!T8=0,"",historico!T8)</f>
        <v/>
      </c>
      <c r="J10" s="149" t="str">
        <f>IF(historico!U8=0,"",historico!U8)</f>
        <v/>
      </c>
      <c r="K10" s="149" t="str">
        <f>IF(historico!V8=0,"",historico!V8)</f>
        <v/>
      </c>
    </row>
    <row r="11" spans="2:11" x14ac:dyDescent="0.3">
      <c r="B11" s="147" t="str">
        <f>historico!M9</f>
        <v>Julho/2016</v>
      </c>
      <c r="C11" s="148" t="str">
        <f>IF(historico!N9=0,"",historico!N9)</f>
        <v/>
      </c>
      <c r="D11" s="148" t="str">
        <f>IF(historico!O9=0,"",historico!O9)</f>
        <v/>
      </c>
      <c r="E11" s="148" t="str">
        <f>IF(historico!P9=0,"",historico!P9)</f>
        <v/>
      </c>
      <c r="F11" s="148" t="str">
        <f>IF(historico!Q9=0,"",historico!Q9)</f>
        <v/>
      </c>
      <c r="G11" s="148" t="str">
        <f>IF(historico!R9=0,"",historico!R9)</f>
        <v/>
      </c>
      <c r="H11" s="148" t="str">
        <f>IF(historico!S9=0,"",historico!S9)</f>
        <v/>
      </c>
      <c r="I11" s="149" t="str">
        <f>IF(historico!T9=0,"",historico!T9)</f>
        <v/>
      </c>
      <c r="J11" s="149" t="str">
        <f>IF(historico!U9=0,"",historico!U9)</f>
        <v/>
      </c>
      <c r="K11" s="149" t="str">
        <f>IF(historico!V9=0,"",historico!V9)</f>
        <v/>
      </c>
    </row>
    <row r="12" spans="2:11" x14ac:dyDescent="0.3">
      <c r="B12" s="147" t="str">
        <f>historico!M10</f>
        <v>Agosto/2016</v>
      </c>
      <c r="C12" s="148" t="str">
        <f>IF(historico!N10=0,"",historico!N10)</f>
        <v/>
      </c>
      <c r="D12" s="148" t="str">
        <f>IF(historico!O10=0,"",historico!O10)</f>
        <v/>
      </c>
      <c r="E12" s="148" t="str">
        <f>IF(historico!P10=0,"",historico!P10)</f>
        <v/>
      </c>
      <c r="F12" s="148" t="str">
        <f>IF(historico!Q10=0,"",historico!Q10)</f>
        <v/>
      </c>
      <c r="G12" s="148" t="str">
        <f>IF(historico!R10=0,"",historico!R10)</f>
        <v/>
      </c>
      <c r="H12" s="148" t="str">
        <f>IF(historico!S10=0,"",historico!S10)</f>
        <v/>
      </c>
      <c r="I12" s="149" t="str">
        <f>IF(historico!T10=0,"",historico!T10)</f>
        <v/>
      </c>
      <c r="J12" s="149" t="str">
        <f>IF(historico!U10=0,"",historico!U10)</f>
        <v/>
      </c>
      <c r="K12" s="149" t="str">
        <f>IF(historico!V10=0,"",historico!V10)</f>
        <v/>
      </c>
    </row>
    <row r="13" spans="2:11" x14ac:dyDescent="0.3">
      <c r="B13" s="147" t="str">
        <f>historico!M11</f>
        <v>Setembro/2016</v>
      </c>
      <c r="C13" s="148" t="str">
        <f>IF(historico!N11=0,"",historico!N11)</f>
        <v/>
      </c>
      <c r="D13" s="148" t="str">
        <f>IF(historico!O11=0,"",historico!O11)</f>
        <v/>
      </c>
      <c r="E13" s="148" t="str">
        <f>IF(historico!P11=0,"",historico!P11)</f>
        <v/>
      </c>
      <c r="F13" s="148" t="str">
        <f>IF(historico!Q11=0,"",historico!Q11)</f>
        <v/>
      </c>
      <c r="G13" s="148" t="str">
        <f>IF(historico!R11=0,"",historico!R11)</f>
        <v/>
      </c>
      <c r="H13" s="148" t="str">
        <f>IF(historico!S11=0,"",historico!S11)</f>
        <v/>
      </c>
      <c r="I13" s="149" t="str">
        <f>IF(historico!T11=0,"",historico!T11)</f>
        <v/>
      </c>
      <c r="J13" s="149" t="str">
        <f>IF(historico!U11=0,"",historico!U11)</f>
        <v/>
      </c>
      <c r="K13" s="149" t="str">
        <f>IF(historico!V11=0,"",historico!V11)</f>
        <v/>
      </c>
    </row>
    <row r="14" spans="2:11" x14ac:dyDescent="0.3">
      <c r="B14" s="147" t="str">
        <f>historico!M12</f>
        <v>Outubro/2016</v>
      </c>
      <c r="C14" s="148" t="str">
        <f>IF(historico!N12=0,"",historico!N12)</f>
        <v/>
      </c>
      <c r="D14" s="148" t="str">
        <f>IF(historico!O12=0,"",historico!O12)</f>
        <v/>
      </c>
      <c r="E14" s="148" t="str">
        <f>IF(historico!P12=0,"",historico!P12)</f>
        <v/>
      </c>
      <c r="F14" s="148" t="str">
        <f>IF(historico!Q12=0,"",historico!Q12)</f>
        <v/>
      </c>
      <c r="G14" s="148" t="str">
        <f>IF(historico!R12=0,"",historico!R12)</f>
        <v/>
      </c>
      <c r="H14" s="148" t="str">
        <f>IF(historico!S12=0,"",historico!S12)</f>
        <v/>
      </c>
      <c r="I14" s="149" t="str">
        <f>IF(historico!T12=0,"",historico!T12)</f>
        <v/>
      </c>
      <c r="J14" s="149" t="str">
        <f>IF(historico!U12=0,"",historico!U12)</f>
        <v/>
      </c>
      <c r="K14" s="149" t="str">
        <f>IF(historico!V12=0,"",historico!V12)</f>
        <v/>
      </c>
    </row>
    <row r="15" spans="2:11" x14ac:dyDescent="0.3">
      <c r="B15" s="147" t="str">
        <f>historico!M13</f>
        <v>Novembro/2016</v>
      </c>
      <c r="C15" s="148" t="str">
        <f>IF(historico!N13=0,"",historico!N13)</f>
        <v/>
      </c>
      <c r="D15" s="148" t="str">
        <f>IF(historico!O13=0,"",historico!O13)</f>
        <v/>
      </c>
      <c r="E15" s="148" t="str">
        <f>IF(historico!P13=0,"",historico!P13)</f>
        <v/>
      </c>
      <c r="F15" s="148" t="str">
        <f>IF(historico!Q13=0,"",historico!Q13)</f>
        <v/>
      </c>
      <c r="G15" s="148" t="str">
        <f>IF(historico!R13=0,"",historico!R13)</f>
        <v/>
      </c>
      <c r="H15" s="148" t="str">
        <f>IF(historico!S13=0,"",historico!S13)</f>
        <v/>
      </c>
      <c r="I15" s="149" t="str">
        <f>IF(historico!T13=0,"",historico!T13)</f>
        <v/>
      </c>
      <c r="J15" s="149" t="str">
        <f>IF(historico!U13=0,"",historico!U13)</f>
        <v/>
      </c>
      <c r="K15" s="149" t="str">
        <f>IF(historico!V13=0,"",historico!V13)</f>
        <v/>
      </c>
    </row>
    <row r="16" spans="2:11" x14ac:dyDescent="0.3">
      <c r="B16" s="147" t="str">
        <f>historico!M14</f>
        <v>Dezembro/2016</v>
      </c>
      <c r="C16" s="148" t="str">
        <f>IF(historico!N14=0,"",historico!N14)</f>
        <v/>
      </c>
      <c r="D16" s="148" t="str">
        <f>IF(historico!O14=0,"",historico!O14)</f>
        <v/>
      </c>
      <c r="E16" s="148" t="str">
        <f>IF(historico!P14=0,"",historico!P14)</f>
        <v/>
      </c>
      <c r="F16" s="148" t="str">
        <f>IF(historico!Q14=0,"",historico!Q14)</f>
        <v/>
      </c>
      <c r="G16" s="148" t="str">
        <f>IF(historico!R14=0,"",historico!R14)</f>
        <v/>
      </c>
      <c r="H16" s="148" t="str">
        <f>IF(historico!S14=0,"",historico!S14)</f>
        <v/>
      </c>
      <c r="I16" s="149" t="str">
        <f>IF(historico!T14=0,"",historico!T14)</f>
        <v/>
      </c>
      <c r="J16" s="149" t="str">
        <f>IF(historico!U14=0,"",historico!U14)</f>
        <v/>
      </c>
      <c r="K16" s="149" t="str">
        <f>IF(historico!V14=0,"",historico!V14)</f>
        <v/>
      </c>
    </row>
    <row r="17" spans="2:11" x14ac:dyDescent="0.3">
      <c r="B17" s="147" t="str">
        <f>historico!M15</f>
        <v>Acumulado</v>
      </c>
      <c r="C17" s="148">
        <f>IF(historico!N15=0,"",historico!N15)</f>
        <v>7530333.3899999997</v>
      </c>
      <c r="D17" s="148">
        <f>IF(historico!O15=0,"",historico!O15)</f>
        <v>11195135.620000001</v>
      </c>
      <c r="E17" s="148">
        <f>IF(historico!P15=0,"",historico!P15)</f>
        <v>10929170.869999999</v>
      </c>
      <c r="F17" s="148">
        <f>IF(historico!Q15=0,"",historico!Q15)</f>
        <v>46170.46</v>
      </c>
      <c r="G17" s="148">
        <f>IF(historico!R15=0,"",historico!R15)</f>
        <v>8167736.2599999998</v>
      </c>
      <c r="H17" s="148">
        <f>IF(historico!S15=0,"",historico!S15)</f>
        <v>417608.57999999914</v>
      </c>
      <c r="I17" s="149">
        <f>IF(historico!T15=0,"",historico!T15)</f>
        <v>5.3557392490828581E-2</v>
      </c>
      <c r="J17" s="149">
        <f>IF(historico!U15=0,"",historico!U15)</f>
        <v>4.4355411409730872E-2</v>
      </c>
      <c r="K17" s="149">
        <f>IF(historico!V15=0,"",historico!V15)</f>
        <v>1.2074601675113523</v>
      </c>
    </row>
  </sheetData>
  <sheetProtection password="F591" sheet="1" objects="1" scenarios="1" formatCells="0" formatColumns="0" formatRows="0" insertColumns="0" insertRows="0" insertHyperlinks="0" deleteColumns="0" deleteRows="0" selectLockedCells="1" sort="0" autoFilter="0" pivotTables="0"/>
  <mergeCells count="1">
    <mergeCell ref="C2:J2"/>
  </mergeCells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>
    <tabColor rgb="FFFFFF00"/>
  </sheetPr>
  <dimension ref="A2:J52"/>
  <sheetViews>
    <sheetView showGridLines="0" topLeftCell="A11" zoomScale="95" zoomScaleNormal="95" workbookViewId="0">
      <selection activeCell="A11" sqref="A11"/>
    </sheetView>
  </sheetViews>
  <sheetFormatPr defaultColWidth="9.140625" defaultRowHeight="15" x14ac:dyDescent="0.3"/>
  <cols>
    <col min="1" max="1" width="4.85546875" style="224" customWidth="1"/>
    <col min="2" max="2" width="25.5703125" style="1" customWidth="1"/>
    <col min="3" max="3" width="14.28515625" style="1" customWidth="1"/>
    <col min="4" max="4" width="11.85546875" style="1" customWidth="1"/>
    <col min="5" max="5" width="11.5703125" style="1" customWidth="1"/>
    <col min="6" max="6" width="14" style="1" customWidth="1"/>
    <col min="7" max="7" width="14.7109375" style="1" customWidth="1"/>
    <col min="8" max="8" width="14.5703125" style="224" customWidth="1"/>
    <col min="9" max="9" width="15" style="224" customWidth="1"/>
    <col min="10" max="10" width="12.5703125" style="1" customWidth="1"/>
    <col min="11" max="16384" width="9.140625" style="1"/>
  </cols>
  <sheetData>
    <row r="2" spans="2:10" ht="20.25" x14ac:dyDescent="0.3">
      <c r="C2" s="385" t="s">
        <v>765</v>
      </c>
      <c r="D2" s="385"/>
      <c r="E2" s="385"/>
      <c r="F2" s="385"/>
    </row>
    <row r="9" spans="2:10" ht="30" x14ac:dyDescent="0.3">
      <c r="C9" s="287" t="s">
        <v>583</v>
      </c>
      <c r="D9" s="288" t="s">
        <v>615</v>
      </c>
      <c r="E9" s="288" t="s">
        <v>614</v>
      </c>
      <c r="F9" s="288" t="s">
        <v>617</v>
      </c>
      <c r="G9" s="288" t="s">
        <v>616</v>
      </c>
      <c r="H9" s="288" t="s">
        <v>1110</v>
      </c>
      <c r="I9" s="288" t="s">
        <v>1111</v>
      </c>
    </row>
    <row r="10" spans="2:10" x14ac:dyDescent="0.3">
      <c r="B10" s="152" t="s">
        <v>723</v>
      </c>
      <c r="C10" s="106">
        <f>VaR_Calculo!C153</f>
        <v>8167736.2599999998</v>
      </c>
      <c r="D10" s="23">
        <f>VaR_Calculo!D153</f>
        <v>7.5993838946030237E-4</v>
      </c>
      <c r="E10" s="106">
        <f>VaR_Calculo!E153</f>
        <v>6206.9763389609134</v>
      </c>
      <c r="F10" s="23">
        <f>VaR_Calculo!F153</f>
        <v>3.4824751932046663E-3</v>
      </c>
      <c r="G10" s="106">
        <f>VaR_Calculo!G153</f>
        <v>28443.938910088258</v>
      </c>
      <c r="H10" s="23">
        <f>VaR_Calculo!H153</f>
        <v>1.206364794145745E-2</v>
      </c>
      <c r="I10" s="106">
        <f>VaR_Calculo!I153</f>
        <v>98532.69471931638</v>
      </c>
      <c r="J10" s="150">
        <f>SMALL(F13:F52,1)</f>
        <v>0</v>
      </c>
    </row>
    <row r="12" spans="2:10" ht="30.75" customHeight="1" x14ac:dyDescent="0.3">
      <c r="B12" s="289" t="s">
        <v>73</v>
      </c>
      <c r="C12" s="289" t="s">
        <v>583</v>
      </c>
      <c r="D12" s="290" t="s">
        <v>615</v>
      </c>
      <c r="E12" s="290" t="s">
        <v>614</v>
      </c>
      <c r="F12" s="290" t="s">
        <v>617</v>
      </c>
      <c r="G12" s="290" t="s">
        <v>616</v>
      </c>
      <c r="H12" s="290" t="s">
        <v>1110</v>
      </c>
      <c r="I12" s="290" t="s">
        <v>1111</v>
      </c>
    </row>
    <row r="13" spans="2:10" x14ac:dyDescent="0.3">
      <c r="B13" s="1" t="str">
        <f>VaR_Calculo!B156</f>
        <v>BB IRF-M</v>
      </c>
      <c r="C13" s="34" t="str">
        <f>VaR_Calculo!C156</f>
        <v/>
      </c>
      <c r="D13" s="167">
        <f>VaR_Calculo!D156</f>
        <v>0</v>
      </c>
      <c r="E13" s="34">
        <f>VaR_Calculo!E156</f>
        <v>0</v>
      </c>
      <c r="F13" s="167">
        <f>VaR_Calculo!F156</f>
        <v>0</v>
      </c>
      <c r="G13" s="34">
        <f>VaR_Calculo!G156</f>
        <v>0</v>
      </c>
      <c r="H13" s="167">
        <f>VaR_Calculo!H156</f>
        <v>0</v>
      </c>
      <c r="I13" s="201">
        <f>VaR_Calculo!I156</f>
        <v>0</v>
      </c>
      <c r="J13" s="1" t="str">
        <f t="shared" ref="J13:J20" si="0">IF(F13=$J$10,"Menor VaR","")</f>
        <v>Menor VaR</v>
      </c>
    </row>
    <row r="14" spans="2:10" x14ac:dyDescent="0.3">
      <c r="B14" s="1" t="str">
        <f>VaR_Calculo!B157</f>
        <v>BB Perfil</v>
      </c>
      <c r="C14" s="34">
        <f>VaR_Calculo!C157</f>
        <v>368033.64</v>
      </c>
      <c r="D14" s="167">
        <f>VaR_Calculo!D157</f>
        <v>2.295148364817493E-6</v>
      </c>
      <c r="E14" s="34">
        <f>VaR_Calculo!E157</f>
        <v>18.746166521399545</v>
      </c>
      <c r="F14" s="167">
        <f>VaR_Calculo!F157</f>
        <v>1.0517691112930283E-5</v>
      </c>
      <c r="G14" s="34">
        <f>VaR_Calculo!G157</f>
        <v>85.905727074560417</v>
      </c>
      <c r="H14" s="167">
        <f>VaR_Calculo!H157</f>
        <v>3.6434350771821803E-5</v>
      </c>
      <c r="I14" s="201">
        <f>VaR_Calculo!I157</f>
        <v>297.58616790856792</v>
      </c>
      <c r="J14" s="1" t="str">
        <f t="shared" si="0"/>
        <v/>
      </c>
    </row>
    <row r="15" spans="2:10" x14ac:dyDescent="0.3">
      <c r="B15" s="1" t="str">
        <f>VaR_Calculo!B158</f>
        <v>BB IX TP</v>
      </c>
      <c r="C15" s="34">
        <f>VaR_Calculo!C158</f>
        <v>535928.17000000004</v>
      </c>
      <c r="D15" s="167">
        <f>VaR_Calculo!D158</f>
        <v>8.3814416341363926E-5</v>
      </c>
      <c r="E15" s="34">
        <f>VaR_Calculo!E158</f>
        <v>684.57404746209465</v>
      </c>
      <c r="F15" s="167">
        <f>VaR_Calculo!F158</f>
        <v>3.8408590721284385E-4</v>
      </c>
      <c r="G15" s="34">
        <f>VaR_Calculo!G158</f>
        <v>3137.1123912973403</v>
      </c>
      <c r="H15" s="167">
        <f>VaR_Calculo!H158</f>
        <v>1.3305126115276623E-3</v>
      </c>
      <c r="I15" s="201">
        <f>VaR_Calculo!I158</f>
        <v>10867.276101561782</v>
      </c>
      <c r="J15" s="1" t="str">
        <f t="shared" si="0"/>
        <v/>
      </c>
    </row>
    <row r="16" spans="2:10" x14ac:dyDescent="0.3">
      <c r="B16" s="1" t="str">
        <f>VaR_Calculo!B159</f>
        <v>BB IRF-M1</v>
      </c>
      <c r="C16" s="34">
        <f>VaR_Calculo!C159</f>
        <v>3391984.3</v>
      </c>
      <c r="D16" s="167">
        <f>VaR_Calculo!D159</f>
        <v>1.9435894850779165E-4</v>
      </c>
      <c r="E16" s="34">
        <f>VaR_Calculo!E159</f>
        <v>1587.4726311825627</v>
      </c>
      <c r="F16" s="167">
        <f>VaR_Calculo!F159</f>
        <v>8.9066459352897965E-4</v>
      </c>
      <c r="G16" s="34">
        <f>VaR_Calculo!G159</f>
        <v>7274.7134960648082</v>
      </c>
      <c r="H16" s="167">
        <f>VaR_Calculo!H159</f>
        <v>3.0853526569897503E-3</v>
      </c>
      <c r="I16" s="201">
        <f>VaR_Calculo!I159</f>
        <v>25200.346771382527</v>
      </c>
      <c r="J16" s="1" t="str">
        <f t="shared" si="0"/>
        <v/>
      </c>
    </row>
    <row r="17" spans="2:10" x14ac:dyDescent="0.3">
      <c r="B17" s="1" t="str">
        <f>VaR_Calculo!B160</f>
        <v>Caixa 2016 I TP RF</v>
      </c>
      <c r="C17" s="34">
        <f>VaR_Calculo!C160</f>
        <v>1086173</v>
      </c>
      <c r="D17" s="167">
        <f>VaR_Calculo!D160</f>
        <v>6.3327363691091632E-4</v>
      </c>
      <c r="E17" s="34">
        <f>VaR_Calculo!E160</f>
        <v>5172.4120466993654</v>
      </c>
      <c r="F17" s="167">
        <f>VaR_Calculo!F160</f>
        <v>2.9020243767642548E-3</v>
      </c>
      <c r="G17" s="34">
        <f>VaR_Calculo!G160</f>
        <v>23702.969729501303</v>
      </c>
      <c r="H17" s="167">
        <f>VaR_Calculo!H160</f>
        <v>1.005290733071819E-2</v>
      </c>
      <c r="I17" s="201">
        <f>VaR_Calculo!I160</f>
        <v>82109.495723526779</v>
      </c>
      <c r="J17" s="1" t="str">
        <f t="shared" si="0"/>
        <v/>
      </c>
    </row>
    <row r="18" spans="2:10" x14ac:dyDescent="0.3">
      <c r="B18" s="1" t="str">
        <f>VaR_Calculo!B161</f>
        <v>Caixa Ref. DI LP</v>
      </c>
      <c r="C18" s="34">
        <f>VaR_Calculo!C161</f>
        <v>635599.06999999995</v>
      </c>
      <c r="D18" s="167">
        <f>VaR_Calculo!D161</f>
        <v>4.1906504528015386E-6</v>
      </c>
      <c r="E18" s="34">
        <f>VaR_Calculo!E161</f>
        <v>34.228127656332546</v>
      </c>
      <c r="F18" s="167">
        <f>VaR_Calculo!F161</f>
        <v>1.9203972911064018E-5</v>
      </c>
      <c r="G18" s="34">
        <f>VaR_Calculo!G161</f>
        <v>156.85298588175533</v>
      </c>
      <c r="H18" s="167">
        <f>VaR_Calculo!H161</f>
        <v>6.6524513578278553E-5</v>
      </c>
      <c r="I18" s="201">
        <f>VaR_Calculo!I161</f>
        <v>543.35468173216805</v>
      </c>
      <c r="J18" s="1" t="str">
        <f t="shared" si="0"/>
        <v/>
      </c>
    </row>
    <row r="19" spans="2:10" x14ac:dyDescent="0.3">
      <c r="B19" s="1" t="str">
        <f>VaR_Calculo!B162</f>
        <v>Caixa IRF-M1</v>
      </c>
      <c r="C19" s="34">
        <f>VaR_Calculo!C162</f>
        <v>2150018.08</v>
      </c>
      <c r="D19" s="167">
        <f>VaR_Calculo!D162</f>
        <v>1.2437107238860576E-4</v>
      </c>
      <c r="E19" s="34">
        <f>VaR_Calculo!E162</f>
        <v>1015.8301176435001</v>
      </c>
      <c r="F19" s="167">
        <f>VaR_Calculo!F162</f>
        <v>5.6993985348361819E-4</v>
      </c>
      <c r="G19" s="34">
        <f>VaR_Calculo!G162</f>
        <v>4655.1184073172353</v>
      </c>
      <c r="H19" s="167">
        <f>VaR_Calculo!H162</f>
        <v>1.9743295669839771E-3</v>
      </c>
      <c r="I19" s="201">
        <f>VaR_Calculo!I162</f>
        <v>16125.803193445126</v>
      </c>
      <c r="J19" s="1" t="str">
        <f t="shared" si="0"/>
        <v/>
      </c>
    </row>
    <row r="20" spans="2:10" x14ac:dyDescent="0.3">
      <c r="B20" s="1" t="str">
        <f>VaR_Calculo!B163</f>
        <v>Caixa IRF-M1+</v>
      </c>
      <c r="C20" s="201">
        <v>0</v>
      </c>
      <c r="D20" s="167">
        <f>VaR_Calculo!D163</f>
        <v>0</v>
      </c>
      <c r="E20" s="34">
        <f>VaR_Calculo!E163</f>
        <v>0</v>
      </c>
      <c r="F20" s="167">
        <f>VaR_Calculo!F163</f>
        <v>0</v>
      </c>
      <c r="G20" s="34">
        <f>VaR_Calculo!G163</f>
        <v>0</v>
      </c>
      <c r="H20" s="167">
        <f>VaR_Calculo!H163</f>
        <v>0</v>
      </c>
      <c r="I20" s="201">
        <f>VaR_Calculo!I163</f>
        <v>0</v>
      </c>
      <c r="J20" s="1" t="str">
        <f t="shared" si="0"/>
        <v>Menor VaR</v>
      </c>
    </row>
    <row r="21" spans="2:10" x14ac:dyDescent="0.3">
      <c r="B21" s="1" t="str">
        <f>VaR_Calculo!B164</f>
        <v/>
      </c>
      <c r="C21" s="34" t="str">
        <f>VaR_Calculo!C164</f>
        <v/>
      </c>
      <c r="D21" s="167"/>
      <c r="E21" s="34"/>
      <c r="F21" s="167"/>
      <c r="G21" s="34"/>
      <c r="H21" s="167"/>
      <c r="I21" s="201"/>
    </row>
    <row r="22" spans="2:10" x14ac:dyDescent="0.3">
      <c r="B22" s="1" t="str">
        <f>VaR_Calculo!B165</f>
        <v/>
      </c>
      <c r="C22" s="34" t="str">
        <f>VaR_Calculo!C165</f>
        <v/>
      </c>
      <c r="D22" s="167"/>
      <c r="E22" s="34"/>
      <c r="F22" s="167"/>
      <c r="G22" s="34"/>
      <c r="H22" s="167"/>
      <c r="I22" s="201"/>
    </row>
    <row r="23" spans="2:10" x14ac:dyDescent="0.3">
      <c r="B23" s="1" t="str">
        <f>VaR_Calculo!B166</f>
        <v/>
      </c>
      <c r="C23" s="34" t="str">
        <f>VaR_Calculo!C166</f>
        <v/>
      </c>
      <c r="D23" s="167"/>
      <c r="E23" s="34"/>
      <c r="F23" s="167"/>
      <c r="G23" s="34"/>
      <c r="H23" s="167"/>
      <c r="I23" s="201"/>
    </row>
    <row r="24" spans="2:10" x14ac:dyDescent="0.3">
      <c r="B24" s="1" t="str">
        <f>VaR_Calculo!B167</f>
        <v/>
      </c>
      <c r="C24" s="34" t="str">
        <f>VaR_Calculo!C167</f>
        <v/>
      </c>
      <c r="D24" s="167"/>
      <c r="E24" s="34"/>
      <c r="F24" s="167"/>
      <c r="G24" s="34"/>
      <c r="H24" s="167"/>
      <c r="I24" s="201"/>
    </row>
    <row r="25" spans="2:10" x14ac:dyDescent="0.3">
      <c r="B25" s="1" t="str">
        <f>VaR_Calculo!B168</f>
        <v/>
      </c>
      <c r="C25" s="34" t="str">
        <f>VaR_Calculo!C168</f>
        <v/>
      </c>
      <c r="D25" s="167"/>
      <c r="E25" s="34"/>
      <c r="F25" s="167"/>
      <c r="G25" s="34"/>
      <c r="H25" s="167"/>
      <c r="I25" s="201"/>
    </row>
    <row r="26" spans="2:10" x14ac:dyDescent="0.3">
      <c r="B26" s="1" t="str">
        <f>VaR_Calculo!B169</f>
        <v/>
      </c>
      <c r="C26" s="34" t="str">
        <f>VaR_Calculo!C169</f>
        <v/>
      </c>
      <c r="D26" s="167"/>
      <c r="E26" s="34"/>
      <c r="F26" s="167"/>
      <c r="G26" s="34"/>
      <c r="H26" s="167"/>
      <c r="I26" s="201"/>
    </row>
    <row r="27" spans="2:10" x14ac:dyDescent="0.3">
      <c r="B27" s="1" t="str">
        <f>VaR_Calculo!B170</f>
        <v/>
      </c>
      <c r="C27" s="34" t="str">
        <f>VaR_Calculo!C170</f>
        <v/>
      </c>
      <c r="D27" s="167"/>
      <c r="E27" s="34"/>
      <c r="F27" s="167"/>
      <c r="G27" s="34"/>
      <c r="H27" s="167"/>
      <c r="I27" s="201"/>
    </row>
    <row r="28" spans="2:10" x14ac:dyDescent="0.3">
      <c r="B28" s="1" t="str">
        <f>VaR_Calculo!B171</f>
        <v/>
      </c>
      <c r="C28" s="34" t="str">
        <f>VaR_Calculo!C171</f>
        <v/>
      </c>
      <c r="D28" s="167"/>
      <c r="E28" s="34"/>
      <c r="F28" s="167"/>
      <c r="G28" s="34"/>
      <c r="H28" s="167"/>
      <c r="I28" s="201"/>
    </row>
    <row r="29" spans="2:10" x14ac:dyDescent="0.3">
      <c r="B29" s="1" t="str">
        <f>VaR_Calculo!B172</f>
        <v/>
      </c>
      <c r="C29" s="34" t="str">
        <f>VaR_Calculo!C172</f>
        <v/>
      </c>
      <c r="D29" s="167"/>
      <c r="E29" s="34"/>
      <c r="F29" s="167"/>
      <c r="G29" s="34"/>
      <c r="H29" s="167"/>
      <c r="I29" s="201"/>
    </row>
    <row r="30" spans="2:10" x14ac:dyDescent="0.3">
      <c r="B30" s="1" t="str">
        <f>VaR_Calculo!B173</f>
        <v/>
      </c>
      <c r="C30" s="34" t="str">
        <f>VaR_Calculo!C173</f>
        <v/>
      </c>
      <c r="D30" s="167"/>
      <c r="E30" s="34"/>
      <c r="F30" s="167"/>
      <c r="G30" s="34"/>
      <c r="H30" s="167"/>
      <c r="I30" s="201"/>
    </row>
    <row r="31" spans="2:10" x14ac:dyDescent="0.3">
      <c r="B31" s="1" t="str">
        <f>VaR_Calculo!B174</f>
        <v/>
      </c>
      <c r="C31" s="34" t="str">
        <f>VaR_Calculo!C174</f>
        <v/>
      </c>
      <c r="D31" s="167"/>
      <c r="E31" s="34"/>
      <c r="F31" s="167"/>
      <c r="G31" s="34"/>
      <c r="H31" s="167"/>
      <c r="I31" s="201"/>
    </row>
    <row r="32" spans="2:10" x14ac:dyDescent="0.3">
      <c r="B32" s="1" t="str">
        <f>VaR_Calculo!B175</f>
        <v/>
      </c>
      <c r="C32" s="34" t="str">
        <f>VaR_Calculo!C175</f>
        <v/>
      </c>
      <c r="D32" s="167"/>
      <c r="E32" s="34"/>
      <c r="F32" s="167"/>
      <c r="G32" s="34"/>
      <c r="H32" s="167"/>
      <c r="I32" s="201"/>
    </row>
    <row r="33" spans="2:10" x14ac:dyDescent="0.3">
      <c r="B33" s="1" t="str">
        <f>VaR_Calculo!B176</f>
        <v/>
      </c>
      <c r="C33" s="34" t="str">
        <f>VaR_Calculo!C176</f>
        <v/>
      </c>
      <c r="D33" s="167"/>
      <c r="E33" s="34"/>
      <c r="F33" s="167"/>
      <c r="G33" s="34"/>
      <c r="H33" s="167"/>
      <c r="I33" s="201"/>
    </row>
    <row r="34" spans="2:10" x14ac:dyDescent="0.3">
      <c r="B34" s="1" t="str">
        <f>VaR_Calculo!B177</f>
        <v/>
      </c>
      <c r="C34" s="34" t="str">
        <f>VaR_Calculo!C177</f>
        <v/>
      </c>
      <c r="D34" s="167"/>
      <c r="E34" s="34"/>
      <c r="F34" s="167"/>
      <c r="G34" s="34"/>
      <c r="H34" s="167"/>
      <c r="I34" s="201"/>
    </row>
    <row r="35" spans="2:10" x14ac:dyDescent="0.3">
      <c r="B35" s="1" t="str">
        <f>VaR_Calculo!B178</f>
        <v/>
      </c>
      <c r="C35" s="34" t="str">
        <f>VaR_Calculo!C178</f>
        <v/>
      </c>
      <c r="D35" s="167"/>
      <c r="E35" s="34"/>
      <c r="F35" s="167"/>
      <c r="G35" s="34"/>
      <c r="H35" s="167"/>
      <c r="I35" s="201"/>
    </row>
    <row r="36" spans="2:10" x14ac:dyDescent="0.3">
      <c r="B36" s="1" t="str">
        <f>VaR_Calculo!B179</f>
        <v/>
      </c>
      <c r="C36" s="34" t="str">
        <f>VaR_Calculo!C179</f>
        <v/>
      </c>
      <c r="D36" s="167"/>
      <c r="E36" s="34"/>
      <c r="F36" s="167"/>
      <c r="G36" s="34"/>
      <c r="H36" s="167"/>
      <c r="I36" s="201"/>
    </row>
    <row r="37" spans="2:10" x14ac:dyDescent="0.3">
      <c r="B37" s="1" t="str">
        <f>VaR_Calculo!B180</f>
        <v/>
      </c>
      <c r="C37" s="34" t="str">
        <f>VaR_Calculo!C180</f>
        <v/>
      </c>
      <c r="D37" s="167"/>
      <c r="E37" s="34"/>
      <c r="F37" s="167"/>
      <c r="G37" s="34"/>
      <c r="H37" s="167"/>
      <c r="I37" s="201"/>
    </row>
    <row r="38" spans="2:10" x14ac:dyDescent="0.3">
      <c r="B38" s="1" t="str">
        <f>VaR_Calculo!B181</f>
        <v/>
      </c>
      <c r="C38" s="34" t="str">
        <f>VaR_Calculo!C181</f>
        <v/>
      </c>
      <c r="D38" s="167"/>
      <c r="E38" s="201"/>
      <c r="F38" s="167"/>
      <c r="G38" s="201"/>
      <c r="H38" s="167"/>
      <c r="I38" s="201"/>
    </row>
    <row r="39" spans="2:10" x14ac:dyDescent="0.3">
      <c r="B39" s="1" t="str">
        <f>VaR_Calculo!B182</f>
        <v/>
      </c>
      <c r="C39" s="34" t="str">
        <f>VaR_Calculo!C182</f>
        <v/>
      </c>
      <c r="D39" s="167"/>
      <c r="E39" s="201"/>
      <c r="F39" s="167"/>
      <c r="G39" s="201"/>
      <c r="H39" s="167"/>
      <c r="I39" s="201"/>
    </row>
    <row r="40" spans="2:10" x14ac:dyDescent="0.3">
      <c r="B40" s="1" t="str">
        <f>VaR_Calculo!B183</f>
        <v/>
      </c>
      <c r="C40" s="34" t="str">
        <f>VaR_Calculo!C183</f>
        <v/>
      </c>
      <c r="D40" s="167"/>
      <c r="E40" s="34"/>
      <c r="F40" s="167"/>
      <c r="G40" s="34"/>
      <c r="H40" s="167"/>
      <c r="I40" s="201"/>
    </row>
    <row r="41" spans="2:10" x14ac:dyDescent="0.3">
      <c r="B41" s="224" t="str">
        <f>VaR_Calculo!B184</f>
        <v/>
      </c>
      <c r="C41" s="201" t="str">
        <f>VaR_Calculo!C184</f>
        <v/>
      </c>
      <c r="D41" s="167"/>
      <c r="E41" s="201"/>
      <c r="F41" s="167"/>
      <c r="G41" s="201"/>
      <c r="H41" s="167"/>
      <c r="I41" s="201"/>
    </row>
    <row r="42" spans="2:10" x14ac:dyDescent="0.3">
      <c r="B42" s="224" t="str">
        <f>VaR_Calculo!B185</f>
        <v/>
      </c>
      <c r="C42" s="201" t="str">
        <f>VaR_Calculo!C185</f>
        <v/>
      </c>
      <c r="D42" s="167"/>
      <c r="E42" s="201"/>
      <c r="F42" s="167"/>
      <c r="G42" s="201"/>
      <c r="H42" s="167"/>
      <c r="I42" s="201"/>
      <c r="J42" s="224"/>
    </row>
    <row r="43" spans="2:10" x14ac:dyDescent="0.3">
      <c r="B43" s="224" t="str">
        <f>VaR_Calculo!B186</f>
        <v/>
      </c>
      <c r="C43" s="201" t="str">
        <f>VaR_Calculo!C186</f>
        <v/>
      </c>
      <c r="D43" s="167"/>
      <c r="E43" s="201"/>
      <c r="F43" s="167"/>
      <c r="G43" s="201"/>
      <c r="H43" s="167"/>
      <c r="I43" s="201"/>
      <c r="J43" s="224"/>
    </row>
    <row r="44" spans="2:10" x14ac:dyDescent="0.3">
      <c r="B44" s="224" t="str">
        <f>VaR_Calculo!B187</f>
        <v/>
      </c>
      <c r="C44" s="201" t="str">
        <f>VaR_Calculo!C187</f>
        <v/>
      </c>
      <c r="D44" s="167"/>
      <c r="E44" s="201"/>
      <c r="F44" s="167"/>
      <c r="G44" s="201"/>
      <c r="H44" s="167"/>
      <c r="I44" s="201"/>
      <c r="J44" s="224"/>
    </row>
    <row r="45" spans="2:10" x14ac:dyDescent="0.3">
      <c r="B45" s="224"/>
      <c r="C45" s="201"/>
      <c r="D45" s="167"/>
      <c r="E45" s="201"/>
      <c r="F45" s="167"/>
      <c r="G45" s="201"/>
      <c r="H45" s="201"/>
      <c r="I45" s="201"/>
    </row>
    <row r="46" spans="2:10" x14ac:dyDescent="0.3">
      <c r="B46" s="224"/>
      <c r="C46" s="201"/>
      <c r="D46" s="167"/>
      <c r="E46" s="201"/>
      <c r="F46" s="167"/>
      <c r="G46" s="201"/>
      <c r="H46" s="201"/>
      <c r="I46" s="201"/>
    </row>
    <row r="47" spans="2:10" x14ac:dyDescent="0.3">
      <c r="B47" s="224"/>
      <c r="C47" s="201"/>
      <c r="D47" s="167"/>
      <c r="E47" s="201"/>
      <c r="F47" s="167"/>
      <c r="G47" s="201"/>
      <c r="H47" s="201"/>
      <c r="I47" s="201"/>
    </row>
    <row r="48" spans="2:10" x14ac:dyDescent="0.3">
      <c r="B48" s="224"/>
      <c r="C48" s="201"/>
      <c r="D48" s="167"/>
      <c r="E48" s="201"/>
      <c r="F48" s="167"/>
      <c r="G48" s="201"/>
      <c r="H48" s="201"/>
      <c r="I48" s="201"/>
    </row>
    <row r="49" spans="3:9" x14ac:dyDescent="0.3">
      <c r="C49" s="34"/>
      <c r="D49" s="33"/>
      <c r="E49" s="34"/>
      <c r="F49" s="33"/>
      <c r="G49" s="34"/>
      <c r="H49" s="201"/>
      <c r="I49" s="201"/>
    </row>
    <row r="50" spans="3:9" x14ac:dyDescent="0.3">
      <c r="C50" s="34"/>
      <c r="D50" s="33"/>
      <c r="E50" s="34"/>
      <c r="F50" s="33"/>
      <c r="G50" s="34"/>
      <c r="H50" s="201"/>
      <c r="I50" s="201"/>
    </row>
    <row r="51" spans="3:9" x14ac:dyDescent="0.3">
      <c r="C51" s="34"/>
      <c r="D51" s="33"/>
      <c r="E51" s="34"/>
      <c r="F51" s="33"/>
      <c r="G51" s="34"/>
      <c r="H51" s="201"/>
      <c r="I51" s="201"/>
    </row>
    <row r="52" spans="3:9" x14ac:dyDescent="0.3">
      <c r="C52" s="34"/>
      <c r="D52" s="33"/>
      <c r="E52" s="34"/>
      <c r="F52" s="33"/>
      <c r="G52" s="34"/>
      <c r="H52" s="201"/>
      <c r="I52" s="201"/>
    </row>
  </sheetData>
  <sheetProtection password="F591" sheet="1" objects="1" scenarios="1" formatCells="0" formatColumns="0" formatRows="0" insertColumns="0" insertRows="0" insertHyperlinks="0" deleteColumns="0" deleteRows="0" selectLockedCells="1" autoFilter="0" pivotTables="0"/>
  <mergeCells count="1">
    <mergeCell ref="C2:F2"/>
  </mergeCells>
  <conditionalFormatting sqref="B13:I52">
    <cfRule type="notContainsBlanks" dxfId="44" priority="7">
      <formula>LEN(TRIM(B13))&gt;0</formula>
    </cfRule>
  </conditionalFormatting>
  <conditionalFormatting sqref="G10:I10">
    <cfRule type="notContainsBlanks" dxfId="43" priority="6">
      <formula>LEN(TRIM(G10))&gt;0</formula>
    </cfRule>
  </conditionalFormatting>
  <conditionalFormatting sqref="E10">
    <cfRule type="notContainsBlanks" dxfId="42" priority="5">
      <formula>LEN(TRIM(E10))&gt;0</formula>
    </cfRule>
  </conditionalFormatting>
  <conditionalFormatting sqref="J13:J50">
    <cfRule type="notContainsBlanks" dxfId="41" priority="4">
      <formula>LEN(TRIM(J13))&gt;0</formula>
    </cfRule>
  </conditionalFormatting>
  <conditionalFormatting sqref="C1:F1 C3:F1048576 D10:I10 B1:B1048576 G1:XFD1048576 C13:I48">
    <cfRule type="containsBlanks" dxfId="40" priority="3">
      <formula>LEN(TRIM(B1))=0</formula>
    </cfRule>
  </conditionalFormatting>
  <conditionalFormatting sqref="A1:A110">
    <cfRule type="containsBlanks" dxfId="39" priority="2">
      <formula>LEN(TRIM(A1))=0</formula>
    </cfRule>
  </conditionalFormatting>
  <conditionalFormatting sqref="A1:A1048576">
    <cfRule type="containsBlanks" dxfId="38" priority="1">
      <formula>LEN(TRIM(A1))=0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>
    <tabColor rgb="FFFFFF00"/>
  </sheetPr>
  <dimension ref="B3:D50"/>
  <sheetViews>
    <sheetView showGridLines="0" workbookViewId="0"/>
  </sheetViews>
  <sheetFormatPr defaultColWidth="9.140625" defaultRowHeight="15" x14ac:dyDescent="0.3"/>
  <cols>
    <col min="1" max="1" width="9.140625" style="1"/>
    <col min="2" max="2" width="27.28515625" style="1" bestFit="1" customWidth="1"/>
    <col min="3" max="3" width="12.28515625" style="1" bestFit="1" customWidth="1"/>
    <col min="4" max="4" width="20" style="1" bestFit="1" customWidth="1"/>
    <col min="5" max="7" width="9.140625" style="1"/>
    <col min="8" max="8" width="6.28515625" style="1" customWidth="1"/>
    <col min="9" max="16384" width="9.140625" style="1"/>
  </cols>
  <sheetData>
    <row r="3" spans="2:4" ht="20.25" x14ac:dyDescent="0.35">
      <c r="C3" s="386" t="s">
        <v>557</v>
      </c>
      <c r="D3" s="386"/>
    </row>
    <row r="7" spans="2:4" ht="18.75" customHeight="1" x14ac:dyDescent="0.3"/>
    <row r="8" spans="2:4" ht="18.75" customHeight="1" x14ac:dyDescent="0.3"/>
    <row r="9" spans="2:4" ht="18.75" customHeight="1" x14ac:dyDescent="0.3"/>
    <row r="10" spans="2:4" x14ac:dyDescent="0.3">
      <c r="B10" s="153" t="s">
        <v>595</v>
      </c>
      <c r="C10" s="153" t="s">
        <v>557</v>
      </c>
      <c r="D10" s="154">
        <f>LARGE(C11:C50,1)</f>
        <v>6.4799999999999996E-2</v>
      </c>
    </row>
    <row r="11" spans="2:4" x14ac:dyDescent="0.3">
      <c r="B11" s="1" t="str">
        <f>Relatório!DW9</f>
        <v>BB IRF-M</v>
      </c>
      <c r="C11" s="72">
        <f>Relatório!DX9</f>
        <v>5.6099999999999997E-2</v>
      </c>
      <c r="D11" s="1" t="str">
        <f>IF(OR($D$10=0,C11&lt;&gt;$D$10),"","Melhor Índice Sharpe")</f>
        <v/>
      </c>
    </row>
    <row r="12" spans="2:4" x14ac:dyDescent="0.3">
      <c r="B12" s="1" t="str">
        <f>Relatório!DW10</f>
        <v>BB Perfil</v>
      </c>
      <c r="C12" s="72">
        <f>Relatório!DX10</f>
        <v>0</v>
      </c>
      <c r="D12" s="1" t="str">
        <f>IF(OR($D$10=0,C12&lt;&gt;$D$10),"","Melhor Índice Sharpe")</f>
        <v/>
      </c>
    </row>
    <row r="13" spans="2:4" x14ac:dyDescent="0.3">
      <c r="B13" s="1" t="str">
        <f>Relatório!DW11</f>
        <v>BB IX TP</v>
      </c>
      <c r="C13" s="72">
        <f>Relatório!DX11</f>
        <v>0</v>
      </c>
      <c r="D13" s="1" t="str">
        <f t="shared" ref="D13:D50" si="0">IF(OR($D$10=0,C13&lt;&gt;$D$10),"","Melhor Índice Sharpe")</f>
        <v/>
      </c>
    </row>
    <row r="14" spans="2:4" x14ac:dyDescent="0.3">
      <c r="B14" s="1" t="str">
        <f>Relatório!DW12</f>
        <v>BB IRF-M1</v>
      </c>
      <c r="C14" s="72">
        <f>Relatório!DX12</f>
        <v>1.7000000000000001E-2</v>
      </c>
      <c r="D14" s="1" t="str">
        <f t="shared" si="0"/>
        <v/>
      </c>
    </row>
    <row r="15" spans="2:4" x14ac:dyDescent="0.3">
      <c r="B15" s="1" t="str">
        <f>Relatório!DW13</f>
        <v>Caixa 2016 I TP RF</v>
      </c>
      <c r="C15" s="72">
        <f>Relatório!DX13</f>
        <v>0</v>
      </c>
      <c r="D15" s="1" t="str">
        <f t="shared" si="0"/>
        <v/>
      </c>
    </row>
    <row r="16" spans="2:4" x14ac:dyDescent="0.3">
      <c r="B16" s="1" t="str">
        <f>Relatório!DW14</f>
        <v>Caixa Ref. DI LP</v>
      </c>
      <c r="C16" s="72">
        <f>Relatório!DX14</f>
        <v>2.7400000000000001E-2</v>
      </c>
      <c r="D16" s="1" t="str">
        <f t="shared" si="0"/>
        <v/>
      </c>
    </row>
    <row r="17" spans="2:4" x14ac:dyDescent="0.3">
      <c r="B17" s="1" t="str">
        <f>Relatório!DW15</f>
        <v>Caixa IRF-M1</v>
      </c>
      <c r="C17" s="72">
        <f>Relatório!DX15</f>
        <v>2.1299999999999999E-2</v>
      </c>
      <c r="D17" s="1" t="str">
        <f t="shared" si="0"/>
        <v/>
      </c>
    </row>
    <row r="18" spans="2:4" x14ac:dyDescent="0.3">
      <c r="B18" s="1" t="str">
        <f>Relatório!DW16</f>
        <v>Caixa IRF-M1+</v>
      </c>
      <c r="C18" s="72">
        <f>Relatório!DX16</f>
        <v>6.4799999999999996E-2</v>
      </c>
      <c r="D18" s="1" t="str">
        <f t="shared" si="0"/>
        <v>Melhor Índice Sharpe</v>
      </c>
    </row>
    <row r="19" spans="2:4" x14ac:dyDescent="0.3">
      <c r="B19" s="1" t="str">
        <f>Relatório!DW17</f>
        <v/>
      </c>
      <c r="C19" s="72" t="str">
        <f>Relatório!DX17</f>
        <v/>
      </c>
      <c r="D19" s="1" t="str">
        <f t="shared" si="0"/>
        <v/>
      </c>
    </row>
    <row r="20" spans="2:4" x14ac:dyDescent="0.3">
      <c r="B20" s="1" t="str">
        <f>Relatório!DW18</f>
        <v/>
      </c>
      <c r="C20" s="72" t="str">
        <f>Relatório!DX18</f>
        <v/>
      </c>
      <c r="D20" s="1" t="str">
        <f t="shared" si="0"/>
        <v/>
      </c>
    </row>
    <row r="21" spans="2:4" x14ac:dyDescent="0.3">
      <c r="B21" s="1" t="str">
        <f>Relatório!DW19</f>
        <v/>
      </c>
      <c r="C21" s="72" t="str">
        <f>Relatório!DX19</f>
        <v/>
      </c>
      <c r="D21" s="1" t="str">
        <f t="shared" si="0"/>
        <v/>
      </c>
    </row>
    <row r="22" spans="2:4" x14ac:dyDescent="0.3">
      <c r="B22" s="1" t="str">
        <f>Relatório!DW20</f>
        <v/>
      </c>
      <c r="C22" s="72" t="str">
        <f>Relatório!DX20</f>
        <v/>
      </c>
      <c r="D22" s="1" t="str">
        <f t="shared" si="0"/>
        <v/>
      </c>
    </row>
    <row r="23" spans="2:4" x14ac:dyDescent="0.3">
      <c r="B23" s="1" t="str">
        <f>Relatório!DW21</f>
        <v/>
      </c>
      <c r="C23" s="72" t="str">
        <f>Relatório!DX21</f>
        <v/>
      </c>
      <c r="D23" s="1" t="str">
        <f t="shared" si="0"/>
        <v/>
      </c>
    </row>
    <row r="24" spans="2:4" x14ac:dyDescent="0.3">
      <c r="B24" s="1" t="str">
        <f>Relatório!DW22</f>
        <v/>
      </c>
      <c r="C24" s="72" t="str">
        <f>Relatório!DX22</f>
        <v/>
      </c>
      <c r="D24" s="1" t="str">
        <f t="shared" si="0"/>
        <v/>
      </c>
    </row>
    <row r="25" spans="2:4" x14ac:dyDescent="0.3">
      <c r="B25" s="1" t="str">
        <f>Relatório!DW23</f>
        <v/>
      </c>
      <c r="C25" s="72" t="str">
        <f>Relatório!DX23</f>
        <v/>
      </c>
      <c r="D25" s="1" t="str">
        <f t="shared" si="0"/>
        <v/>
      </c>
    </row>
    <row r="26" spans="2:4" x14ac:dyDescent="0.3">
      <c r="B26" s="1" t="str">
        <f>Relatório!DW24</f>
        <v/>
      </c>
      <c r="C26" s="72" t="str">
        <f>Relatório!DX24</f>
        <v/>
      </c>
      <c r="D26" s="1" t="str">
        <f t="shared" si="0"/>
        <v/>
      </c>
    </row>
    <row r="27" spans="2:4" x14ac:dyDescent="0.3">
      <c r="B27" s="1" t="str">
        <f>Relatório!DW25</f>
        <v/>
      </c>
      <c r="C27" s="72" t="str">
        <f>Relatório!DX25</f>
        <v/>
      </c>
      <c r="D27" s="1" t="str">
        <f t="shared" si="0"/>
        <v/>
      </c>
    </row>
    <row r="28" spans="2:4" x14ac:dyDescent="0.3">
      <c r="B28" s="224" t="str">
        <f>Relatório!DW26</f>
        <v/>
      </c>
      <c r="C28" s="72" t="str">
        <f>Relatório!DX26</f>
        <v/>
      </c>
      <c r="D28" s="1" t="str">
        <f t="shared" si="0"/>
        <v/>
      </c>
    </row>
    <row r="29" spans="2:4" x14ac:dyDescent="0.3">
      <c r="B29" s="224" t="str">
        <f>Relatório!DW27</f>
        <v/>
      </c>
      <c r="C29" s="72" t="str">
        <f>Relatório!DX27</f>
        <v/>
      </c>
      <c r="D29" s="1" t="str">
        <f t="shared" si="0"/>
        <v/>
      </c>
    </row>
    <row r="30" spans="2:4" x14ac:dyDescent="0.3">
      <c r="B30" s="224" t="str">
        <f>Relatório!DW28</f>
        <v/>
      </c>
      <c r="C30" s="72" t="str">
        <f>Relatório!DX28</f>
        <v/>
      </c>
      <c r="D30" s="1" t="str">
        <f t="shared" si="0"/>
        <v/>
      </c>
    </row>
    <row r="31" spans="2:4" x14ac:dyDescent="0.3">
      <c r="B31" s="224" t="str">
        <f>Relatório!DZ9</f>
        <v/>
      </c>
      <c r="C31" s="72" t="str">
        <f>Relatório!EA9</f>
        <v/>
      </c>
      <c r="D31" s="1" t="str">
        <f t="shared" si="0"/>
        <v/>
      </c>
    </row>
    <row r="32" spans="2:4" x14ac:dyDescent="0.3">
      <c r="B32" s="224" t="str">
        <f>Relatório!DZ10</f>
        <v/>
      </c>
      <c r="C32" s="72" t="str">
        <f>Relatório!EA10</f>
        <v/>
      </c>
      <c r="D32" s="1" t="str">
        <f t="shared" si="0"/>
        <v/>
      </c>
    </row>
    <row r="33" spans="2:4" x14ac:dyDescent="0.3">
      <c r="B33" s="224" t="str">
        <f>Relatório!DZ11</f>
        <v/>
      </c>
      <c r="C33" s="72" t="str">
        <f>Relatório!EA11</f>
        <v/>
      </c>
      <c r="D33" s="1" t="str">
        <f t="shared" si="0"/>
        <v/>
      </c>
    </row>
    <row r="34" spans="2:4" x14ac:dyDescent="0.3">
      <c r="B34" s="224" t="str">
        <f>Relatório!DZ12</f>
        <v/>
      </c>
      <c r="C34" s="72" t="str">
        <f>Relatório!EA12</f>
        <v/>
      </c>
      <c r="D34" s="1" t="str">
        <f t="shared" si="0"/>
        <v/>
      </c>
    </row>
    <row r="35" spans="2:4" x14ac:dyDescent="0.3">
      <c r="B35" s="224" t="str">
        <f>Relatório!DZ13</f>
        <v/>
      </c>
      <c r="C35" s="72" t="str">
        <f>Relatório!EA13</f>
        <v/>
      </c>
      <c r="D35" s="1" t="str">
        <f t="shared" si="0"/>
        <v/>
      </c>
    </row>
    <row r="36" spans="2:4" x14ac:dyDescent="0.3">
      <c r="B36" s="224" t="str">
        <f>Relatório!DZ14</f>
        <v/>
      </c>
      <c r="C36" s="72" t="str">
        <f>Relatório!EA14</f>
        <v/>
      </c>
      <c r="D36" s="1" t="str">
        <f t="shared" si="0"/>
        <v/>
      </c>
    </row>
    <row r="37" spans="2:4" x14ac:dyDescent="0.3">
      <c r="B37" s="224" t="str">
        <f>Relatório!DZ15</f>
        <v/>
      </c>
      <c r="C37" s="72" t="str">
        <f>Relatório!EA15</f>
        <v/>
      </c>
      <c r="D37" s="1" t="str">
        <f t="shared" si="0"/>
        <v/>
      </c>
    </row>
    <row r="38" spans="2:4" x14ac:dyDescent="0.3">
      <c r="B38" s="224" t="str">
        <f>Relatório!DZ16</f>
        <v/>
      </c>
      <c r="C38" s="72" t="str">
        <f>Relatório!EA16</f>
        <v/>
      </c>
      <c r="D38" s="1" t="str">
        <f t="shared" si="0"/>
        <v/>
      </c>
    </row>
    <row r="39" spans="2:4" x14ac:dyDescent="0.3">
      <c r="B39" s="224" t="str">
        <f>Relatório!DZ17</f>
        <v/>
      </c>
      <c r="C39" s="72" t="str">
        <f>Relatório!EA17</f>
        <v/>
      </c>
      <c r="D39" s="1" t="str">
        <f t="shared" si="0"/>
        <v/>
      </c>
    </row>
    <row r="40" spans="2:4" x14ac:dyDescent="0.3">
      <c r="B40" s="224" t="str">
        <f>Relatório!DZ18</f>
        <v/>
      </c>
      <c r="C40" s="72" t="str">
        <f>Relatório!EA18</f>
        <v/>
      </c>
      <c r="D40" s="1" t="str">
        <f t="shared" si="0"/>
        <v/>
      </c>
    </row>
    <row r="41" spans="2:4" x14ac:dyDescent="0.3">
      <c r="B41" s="224" t="str">
        <f>Relatório!DZ19</f>
        <v/>
      </c>
      <c r="C41" s="72" t="str">
        <f>Relatório!EA19</f>
        <v/>
      </c>
      <c r="D41" s="1" t="str">
        <f t="shared" si="0"/>
        <v/>
      </c>
    </row>
    <row r="42" spans="2:4" x14ac:dyDescent="0.3">
      <c r="B42" s="224" t="str">
        <f>Relatório!DZ20</f>
        <v/>
      </c>
      <c r="C42" s="72" t="str">
        <f>Relatório!EA20</f>
        <v/>
      </c>
      <c r="D42" s="1" t="str">
        <f t="shared" si="0"/>
        <v/>
      </c>
    </row>
    <row r="43" spans="2:4" x14ac:dyDescent="0.3">
      <c r="B43" s="224" t="str">
        <f>Relatório!DZ21</f>
        <v/>
      </c>
      <c r="C43" s="72" t="str">
        <f>Relatório!EA21</f>
        <v/>
      </c>
      <c r="D43" s="1" t="str">
        <f t="shared" si="0"/>
        <v/>
      </c>
    </row>
    <row r="44" spans="2:4" x14ac:dyDescent="0.3">
      <c r="C44" s="72"/>
      <c r="D44" s="1" t="str">
        <f t="shared" si="0"/>
        <v/>
      </c>
    </row>
    <row r="45" spans="2:4" x14ac:dyDescent="0.3">
      <c r="C45" s="72"/>
      <c r="D45" s="1" t="str">
        <f t="shared" si="0"/>
        <v/>
      </c>
    </row>
    <row r="46" spans="2:4" x14ac:dyDescent="0.3">
      <c r="C46" s="72"/>
      <c r="D46" s="1" t="str">
        <f t="shared" si="0"/>
        <v/>
      </c>
    </row>
    <row r="47" spans="2:4" x14ac:dyDescent="0.3">
      <c r="C47" s="72"/>
      <c r="D47" s="1" t="str">
        <f t="shared" si="0"/>
        <v/>
      </c>
    </row>
    <row r="48" spans="2:4" x14ac:dyDescent="0.3">
      <c r="C48" s="72"/>
      <c r="D48" s="1" t="str">
        <f t="shared" si="0"/>
        <v/>
      </c>
    </row>
    <row r="49" spans="3:4" x14ac:dyDescent="0.3">
      <c r="C49" s="72"/>
      <c r="D49" s="1" t="str">
        <f t="shared" si="0"/>
        <v/>
      </c>
    </row>
    <row r="50" spans="3:4" x14ac:dyDescent="0.3">
      <c r="C50" s="72"/>
      <c r="D50" s="1" t="str">
        <f t="shared" si="0"/>
        <v/>
      </c>
    </row>
  </sheetData>
  <sheetProtection password="F591" sheet="1" objects="1" scenarios="1" selectLockedCells="1"/>
  <mergeCells count="1">
    <mergeCell ref="C3:D3"/>
  </mergeCells>
  <conditionalFormatting sqref="B11:C50">
    <cfRule type="notContainsBlanks" dxfId="37" priority="3">
      <formula>LEN(TRIM(B11))&gt;0</formula>
    </cfRule>
  </conditionalFormatting>
  <conditionalFormatting sqref="D11:D50">
    <cfRule type="notContainsBlanks" dxfId="36" priority="2">
      <formula>LEN(TRIM(D11))&gt;0</formula>
    </cfRule>
  </conditionalFormatting>
  <conditionalFormatting sqref="E1:XFD1048576 C1:D2 C4:D1048576 A1:B1048576 B43:C43">
    <cfRule type="containsBlanks" dxfId="35" priority="1">
      <formula>LEN(TRIM(A1))=0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>
    <tabColor rgb="FFFFFF00"/>
  </sheetPr>
  <dimension ref="A1"/>
  <sheetViews>
    <sheetView workbookViewId="0">
      <selection activeCell="G9" sqref="G9"/>
    </sheetView>
  </sheetViews>
  <sheetFormatPr defaultRowHeight="15" x14ac:dyDescent="0.3"/>
  <sheetData/>
  <sheetProtection password="F591" sheet="1" objects="1" scenarios="1"/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>
    <tabColor rgb="FFFFFF00"/>
  </sheetPr>
  <dimension ref="B5:O45"/>
  <sheetViews>
    <sheetView showGridLines="0" workbookViewId="0"/>
  </sheetViews>
  <sheetFormatPr defaultColWidth="9.140625" defaultRowHeight="15" x14ac:dyDescent="0.3"/>
  <cols>
    <col min="1" max="1" width="4.28515625" style="1" customWidth="1"/>
    <col min="2" max="2" width="26.5703125" style="1" customWidth="1"/>
    <col min="3" max="3" width="14.28515625" style="1" bestFit="1" customWidth="1"/>
    <col min="4" max="4" width="8.140625" style="1" bestFit="1" customWidth="1"/>
    <col min="5" max="5" width="9.7109375" style="1" bestFit="1" customWidth="1"/>
    <col min="6" max="6" width="48.5703125" style="1" customWidth="1"/>
    <col min="7" max="7" width="9.28515625" style="1" bestFit="1" customWidth="1"/>
    <col min="8" max="8" width="15.7109375" style="1" customWidth="1"/>
    <col min="9" max="9" width="9.140625" style="1"/>
    <col min="10" max="10" width="47.140625" style="1" customWidth="1"/>
    <col min="11" max="11" width="11.7109375" style="1" bestFit="1" customWidth="1"/>
    <col min="12" max="12" width="17.28515625" style="1" customWidth="1"/>
    <col min="13" max="13" width="8.140625" style="1" bestFit="1" customWidth="1"/>
    <col min="14" max="16384" width="9.140625" style="1"/>
  </cols>
  <sheetData>
    <row r="5" spans="2:15" ht="30" customHeight="1" x14ac:dyDescent="0.3">
      <c r="B5" s="155" t="s">
        <v>73</v>
      </c>
      <c r="C5" s="155" t="s">
        <v>573</v>
      </c>
      <c r="D5" s="155" t="s">
        <v>541</v>
      </c>
      <c r="E5" s="155" t="s">
        <v>558</v>
      </c>
      <c r="F5" s="155" t="s">
        <v>494</v>
      </c>
      <c r="G5" s="155" t="s">
        <v>543</v>
      </c>
      <c r="H5" s="155" t="s">
        <v>724</v>
      </c>
      <c r="J5" s="155" t="s">
        <v>494</v>
      </c>
      <c r="K5" s="155" t="s">
        <v>625</v>
      </c>
      <c r="L5" s="155" t="s">
        <v>626</v>
      </c>
      <c r="M5" s="155" t="s">
        <v>627</v>
      </c>
    </row>
    <row r="6" spans="2:15" x14ac:dyDescent="0.3">
      <c r="B6" s="1" t="str">
        <f>Relatório!EW5</f>
        <v>BB IRF-M</v>
      </c>
      <c r="C6" s="34">
        <f>Relatório!EX5</f>
        <v>0</v>
      </c>
      <c r="D6" s="33">
        <f>Relatório!EY5</f>
        <v>0</v>
      </c>
      <c r="E6" s="69">
        <f>Relatório!EZ5</f>
        <v>1</v>
      </c>
      <c r="F6" s="1" t="str">
        <f>Relatório!FA5</f>
        <v>FI 100% títulos TN - Art. 7º, I, "b"</v>
      </c>
      <c r="G6" s="33">
        <f>Relatório!FB5</f>
        <v>0</v>
      </c>
      <c r="H6" s="1" t="str">
        <f t="shared" ref="H6:H35" si="0">IF(B6="","",IF(OR(D6&gt;E6,G6&gt;0.25),"Desenquadrado","Enquadrado"))</f>
        <v>Enquadrado</v>
      </c>
      <c r="J6" s="131" t="s">
        <v>507</v>
      </c>
      <c r="K6" s="135">
        <f>Relatório!FG5</f>
        <v>1</v>
      </c>
      <c r="L6" s="135" t="str">
        <f>IF(Relatório!FH5=0,"",Relatório!FH5)</f>
        <v/>
      </c>
      <c r="M6" s="133" t="str">
        <f>IF(Relatório!FI5=0,"",Relatório!FI5)</f>
        <v/>
      </c>
    </row>
    <row r="7" spans="2:15" x14ac:dyDescent="0.3">
      <c r="B7" s="1" t="str">
        <f>Relatório!EW6</f>
        <v>BB Perfil</v>
      </c>
      <c r="C7" s="34">
        <f>Relatório!EX6</f>
        <v>368033.64</v>
      </c>
      <c r="D7" s="33">
        <f>Relatório!EY6</f>
        <v>4.5059442210735635E-2</v>
      </c>
      <c r="E7" s="69">
        <f>Relatório!EZ6</f>
        <v>0.2</v>
      </c>
      <c r="F7" s="1" t="str">
        <f>Relatório!FA6</f>
        <v>FI de Renda Fixa - Art. 7º, IV</v>
      </c>
      <c r="G7" s="33">
        <f>Relatório!FB6</f>
        <v>5.6662010286147599E-5</v>
      </c>
      <c r="H7" s="1" t="str">
        <f t="shared" si="0"/>
        <v>Enquadrado</v>
      </c>
      <c r="J7" s="131" t="s">
        <v>497</v>
      </c>
      <c r="K7" s="135">
        <f>Relatório!FG6</f>
        <v>1</v>
      </c>
      <c r="L7" s="135">
        <f>IF(Relatório!FH6=0,"",Relatório!FH6)</f>
        <v>1</v>
      </c>
      <c r="M7" s="133">
        <f>IF(Relatório!FI6=0,"",Relatório!FI6)</f>
        <v>0.87712229214413928</v>
      </c>
      <c r="O7" s="1" t="s">
        <v>539</v>
      </c>
    </row>
    <row r="8" spans="2:15" x14ac:dyDescent="0.3">
      <c r="B8" s="1" t="str">
        <f>Relatório!EW7</f>
        <v>BB IX TP</v>
      </c>
      <c r="C8" s="34">
        <f>Relatório!EX7</f>
        <v>535928.17000000004</v>
      </c>
      <c r="D8" s="33">
        <f>Relatório!EY7</f>
        <v>6.561526387973747E-2</v>
      </c>
      <c r="E8" s="69">
        <f>Relatório!EZ7</f>
        <v>1</v>
      </c>
      <c r="F8" s="1" t="str">
        <f>Relatório!FA7</f>
        <v>FI 100% títulos TN - Art. 7º, I, "b"</v>
      </c>
      <c r="G8" s="33">
        <f>Relatório!FB7</f>
        <v>2.3775467278348004E-4</v>
      </c>
      <c r="H8" s="1" t="str">
        <f t="shared" si="0"/>
        <v>Enquadrado</v>
      </c>
      <c r="J8" s="131" t="s">
        <v>508</v>
      </c>
      <c r="K8" s="135">
        <f>Relatório!FG7</f>
        <v>0.15</v>
      </c>
      <c r="L8" s="135" t="str">
        <f>IF(Relatório!FH7=0,"",Relatório!FH7)</f>
        <v/>
      </c>
      <c r="M8" s="133" t="str">
        <f>IF(Relatório!FI7=0,"",Relatório!FI7)</f>
        <v/>
      </c>
    </row>
    <row r="9" spans="2:15" x14ac:dyDescent="0.3">
      <c r="B9" s="1" t="str">
        <f>Relatório!EW8</f>
        <v>BB IRF-M1</v>
      </c>
      <c r="C9" s="34">
        <f>Relatório!EX8</f>
        <v>3391984.3</v>
      </c>
      <c r="D9" s="33">
        <f>Relatório!EY8</f>
        <v>0.41529062545905465</v>
      </c>
      <c r="E9" s="69">
        <f>Relatório!EZ8</f>
        <v>1</v>
      </c>
      <c r="F9" s="1" t="str">
        <f>Relatório!FA8</f>
        <v>FI 100% títulos TN - Art. 7º, I, "b"</v>
      </c>
      <c r="G9" s="33">
        <f>Relatório!FB8</f>
        <v>4.3598621460382649E-4</v>
      </c>
      <c r="H9" s="1" t="str">
        <f t="shared" si="0"/>
        <v>Enquadrado</v>
      </c>
      <c r="J9" s="131" t="s">
        <v>495</v>
      </c>
      <c r="K9" s="135">
        <f>Relatório!FG8</f>
        <v>0.8</v>
      </c>
      <c r="L9" s="135">
        <f>IF(Relatório!FH8=0,"",Relatório!FH8)</f>
        <v>0.2</v>
      </c>
      <c r="M9" s="133" t="str">
        <f>IF(Relatório!FI8=0,"",Relatório!FI8)</f>
        <v/>
      </c>
    </row>
    <row r="10" spans="2:15" x14ac:dyDescent="0.3">
      <c r="B10" s="1" t="str">
        <f>Relatório!EW9</f>
        <v>Caixa 2016 I TP RF</v>
      </c>
      <c r="C10" s="34">
        <f>Relatório!EX9</f>
        <v>1086173</v>
      </c>
      <c r="D10" s="33">
        <f>Relatório!EY9</f>
        <v>0.13298335859831009</v>
      </c>
      <c r="E10" s="69">
        <f>Relatório!EZ9</f>
        <v>1</v>
      </c>
      <c r="F10" s="1" t="str">
        <f>Relatório!FA9</f>
        <v>FI 100% títulos TN - Art. 7º, I, "b"</v>
      </c>
      <c r="G10" s="33">
        <f>Relatório!FB9</f>
        <v>7.4058677255630073E-4</v>
      </c>
      <c r="H10" s="1" t="str">
        <f t="shared" si="0"/>
        <v>Enquadrado</v>
      </c>
      <c r="J10" s="131" t="s">
        <v>496</v>
      </c>
      <c r="K10" s="135">
        <f>Relatório!FG9</f>
        <v>0.3</v>
      </c>
      <c r="L10" s="135">
        <f>IF(Relatório!FH9=0,"",Relatório!FH9)</f>
        <v>0.3</v>
      </c>
      <c r="M10" s="133">
        <f>IF(Relatório!FI9=0,"",Relatório!FI9)</f>
        <v>0.12287770785586066</v>
      </c>
    </row>
    <row r="11" spans="2:15" x14ac:dyDescent="0.3">
      <c r="B11" s="1" t="str">
        <f>Relatório!EW10</f>
        <v>Caixa Ref. DI LP</v>
      </c>
      <c r="C11" s="34">
        <f>Relatório!EX10</f>
        <v>635599.06999999995</v>
      </c>
      <c r="D11" s="33">
        <f>Relatório!EY10</f>
        <v>7.781826564512502E-2</v>
      </c>
      <c r="E11" s="69">
        <f>Relatório!EZ10</f>
        <v>0.2</v>
      </c>
      <c r="F11" s="1" t="str">
        <f>Relatório!FA10</f>
        <v>FI de Renda Fixa - Art. 7º, IV</v>
      </c>
      <c r="G11" s="33">
        <f>Relatório!FB10</f>
        <v>1.4551989179380903E-4</v>
      </c>
      <c r="H11" s="1" t="str">
        <f t="shared" si="0"/>
        <v>Enquadrado</v>
      </c>
      <c r="J11" s="131" t="s">
        <v>509</v>
      </c>
      <c r="K11" s="135">
        <f>Relatório!FG10</f>
        <v>0.2</v>
      </c>
      <c r="L11" s="135" t="str">
        <f>IF(Relatório!FH10=0,"",Relatório!FH10)</f>
        <v/>
      </c>
      <c r="M11" s="133" t="str">
        <f>IF(Relatório!FI10=0,"",Relatório!FI10)</f>
        <v/>
      </c>
    </row>
    <row r="12" spans="2:15" x14ac:dyDescent="0.3">
      <c r="B12" s="1" t="str">
        <f>Relatório!EW11</f>
        <v>Caixa IRF-M1</v>
      </c>
      <c r="C12" s="34">
        <f>Relatório!EX11</f>
        <v>2150018.08</v>
      </c>
      <c r="D12" s="33">
        <f>Relatório!EY11</f>
        <v>0.26323304420703714</v>
      </c>
      <c r="E12" s="69">
        <f>Relatório!EZ11</f>
        <v>1</v>
      </c>
      <c r="F12" s="1" t="str">
        <f>Relatório!FA11</f>
        <v>FI 100% títulos TN - Art. 7º, I, "b"</v>
      </c>
      <c r="G12" s="33">
        <f>Relatório!FB11</f>
        <v>2.3077915583687701E-4</v>
      </c>
      <c r="H12" s="1" t="str">
        <f t="shared" si="0"/>
        <v>Enquadrado</v>
      </c>
      <c r="J12" s="131" t="s">
        <v>501</v>
      </c>
      <c r="K12" s="135">
        <f>Relatório!FG11</f>
        <v>0.15</v>
      </c>
      <c r="L12" s="135">
        <f>IF(Relatório!FH11=0,"",Relatório!FH11)</f>
        <v>0.15</v>
      </c>
      <c r="M12" s="133" t="str">
        <f>IF(Relatório!FI11=0,"",Relatório!FI11)</f>
        <v/>
      </c>
    </row>
    <row r="13" spans="2:15" x14ac:dyDescent="0.3">
      <c r="B13" s="1" t="str">
        <f>Relatório!EW12</f>
        <v>Caixa IRF-M1+</v>
      </c>
      <c r="C13" s="34">
        <f>Relatório!EX12</f>
        <v>0</v>
      </c>
      <c r="D13" s="33">
        <f>Relatório!EY12</f>
        <v>0</v>
      </c>
      <c r="E13" s="69">
        <f>Relatório!EZ12</f>
        <v>1</v>
      </c>
      <c r="F13" s="1" t="str">
        <f>Relatório!FA12</f>
        <v>FI 100% títulos TN - Art. 7º, I, "b"</v>
      </c>
      <c r="G13" s="33">
        <f>Relatório!FB12</f>
        <v>0</v>
      </c>
      <c r="H13" s="1" t="str">
        <f t="shared" si="0"/>
        <v>Enquadrado</v>
      </c>
      <c r="J13" s="131" t="s">
        <v>504</v>
      </c>
      <c r="K13" s="135">
        <f>Relatório!FG12</f>
        <v>0.05</v>
      </c>
      <c r="L13" s="135" t="str">
        <f>IF(Relatório!FH12=0,"",Relatório!FH12)</f>
        <v/>
      </c>
      <c r="M13" s="133" t="str">
        <f>IF(Relatório!FI12=0,"",Relatório!FI12)</f>
        <v/>
      </c>
    </row>
    <row r="14" spans="2:15" x14ac:dyDescent="0.3">
      <c r="B14" s="1" t="str">
        <f>Relatório!EW13</f>
        <v/>
      </c>
      <c r="C14" s="34" t="str">
        <f>Relatório!EX13</f>
        <v/>
      </c>
      <c r="D14" s="33" t="str">
        <f>Relatório!EY13</f>
        <v/>
      </c>
      <c r="E14" s="69" t="str">
        <f>Relatório!EZ13</f>
        <v/>
      </c>
      <c r="F14" s="1" t="str">
        <f>Relatório!FA13</f>
        <v/>
      </c>
      <c r="G14" s="33" t="str">
        <f>Relatório!FB13</f>
        <v/>
      </c>
      <c r="H14" s="1" t="str">
        <f t="shared" si="0"/>
        <v/>
      </c>
      <c r="J14" s="131" t="s">
        <v>500</v>
      </c>
      <c r="K14" s="135">
        <f>Relatório!FG13</f>
        <v>0.05</v>
      </c>
      <c r="L14" s="135" t="str">
        <f>IF(Relatório!FH13=0,"",Relatório!FH13)</f>
        <v/>
      </c>
      <c r="M14" s="133" t="str">
        <f>IF(Relatório!FI13=0,"",Relatório!FI13)</f>
        <v/>
      </c>
    </row>
    <row r="15" spans="2:15" x14ac:dyDescent="0.3">
      <c r="B15" s="1" t="str">
        <f>Relatório!EW14</f>
        <v/>
      </c>
      <c r="C15" s="34" t="str">
        <f>Relatório!EX14</f>
        <v/>
      </c>
      <c r="D15" s="33" t="str">
        <f>Relatório!EY14</f>
        <v/>
      </c>
      <c r="E15" s="69" t="str">
        <f>Relatório!EZ14</f>
        <v/>
      </c>
      <c r="F15" s="1" t="str">
        <f>Relatório!FA14</f>
        <v/>
      </c>
      <c r="G15" s="33" t="str">
        <f>Relatório!FB14</f>
        <v/>
      </c>
      <c r="H15" s="1" t="str">
        <f t="shared" si="0"/>
        <v/>
      </c>
      <c r="K15" s="134"/>
      <c r="L15" s="136"/>
      <c r="M15" s="160"/>
    </row>
    <row r="16" spans="2:15" x14ac:dyDescent="0.3">
      <c r="B16" s="1" t="str">
        <f>Relatório!EW15</f>
        <v/>
      </c>
      <c r="C16" s="34" t="str">
        <f>Relatório!EX15</f>
        <v/>
      </c>
      <c r="D16" s="33" t="str">
        <f>Relatório!EY15</f>
        <v/>
      </c>
      <c r="E16" s="69" t="str">
        <f>Relatório!EZ15</f>
        <v/>
      </c>
      <c r="F16" s="1" t="str">
        <f>Relatório!FA15</f>
        <v/>
      </c>
      <c r="G16" s="33" t="str">
        <f>Relatório!FB15</f>
        <v/>
      </c>
      <c r="H16" s="1" t="str">
        <f t="shared" si="0"/>
        <v/>
      </c>
      <c r="J16" s="131" t="s">
        <v>502</v>
      </c>
      <c r="K16" s="135">
        <f>Relatório!FG15</f>
        <v>0.3</v>
      </c>
      <c r="L16" s="135">
        <f>IF(Relatório!FH15=0,"",Relatório!FH15)</f>
        <v>0.05</v>
      </c>
      <c r="M16" s="133" t="str">
        <f>IF(Relatório!FI15=0,"",Relatório!FI15)</f>
        <v/>
      </c>
    </row>
    <row r="17" spans="2:13" x14ac:dyDescent="0.3">
      <c r="B17" s="1" t="str">
        <f>Relatório!EW16</f>
        <v/>
      </c>
      <c r="C17" s="34" t="str">
        <f>Relatório!EX16</f>
        <v/>
      </c>
      <c r="D17" s="33" t="str">
        <f>Relatório!EY16</f>
        <v/>
      </c>
      <c r="E17" s="69" t="str">
        <f>Relatório!EZ16</f>
        <v/>
      </c>
      <c r="F17" s="1" t="str">
        <f>Relatório!FA16</f>
        <v/>
      </c>
      <c r="G17" s="33" t="str">
        <f>Relatório!FB16</f>
        <v/>
      </c>
      <c r="H17" s="1" t="str">
        <f t="shared" si="0"/>
        <v/>
      </c>
      <c r="J17" s="131" t="s">
        <v>503</v>
      </c>
      <c r="K17" s="135">
        <f>Relatório!FG16</f>
        <v>0.2</v>
      </c>
      <c r="L17" s="135">
        <f>IF(Relatório!FH16=0,"",Relatório!FH16)</f>
        <v>0.05</v>
      </c>
      <c r="M17" s="133" t="str">
        <f>IF(Relatório!FI16=0,"",Relatório!FI16)</f>
        <v/>
      </c>
    </row>
    <row r="18" spans="2:13" x14ac:dyDescent="0.3">
      <c r="B18" s="1" t="str">
        <f>Relatório!EW17</f>
        <v/>
      </c>
      <c r="C18" s="34" t="str">
        <f>Relatório!EX17</f>
        <v/>
      </c>
      <c r="D18" s="33" t="str">
        <f>Relatório!EY17</f>
        <v/>
      </c>
      <c r="E18" s="69" t="str">
        <f>Relatório!EZ17</f>
        <v/>
      </c>
      <c r="F18" s="1" t="str">
        <f>Relatório!FA17</f>
        <v/>
      </c>
      <c r="G18" s="33" t="str">
        <f>Relatório!FB17</f>
        <v/>
      </c>
      <c r="H18" s="1" t="str">
        <f t="shared" si="0"/>
        <v/>
      </c>
      <c r="J18" s="131" t="s">
        <v>498</v>
      </c>
      <c r="K18" s="135">
        <f>Relatório!FG17</f>
        <v>0.15</v>
      </c>
      <c r="L18" s="135">
        <f>IF(Relatório!FH17=0,"",Relatório!FH17)</f>
        <v>0.05</v>
      </c>
      <c r="M18" s="133" t="str">
        <f>IF(Relatório!FI17=0,"",Relatório!FI17)</f>
        <v/>
      </c>
    </row>
    <row r="19" spans="2:13" x14ac:dyDescent="0.3">
      <c r="B19" s="1" t="str">
        <f>Relatório!EW18</f>
        <v/>
      </c>
      <c r="C19" s="34" t="str">
        <f>Relatório!EX18</f>
        <v/>
      </c>
      <c r="D19" s="33" t="str">
        <f>Relatório!EY18</f>
        <v/>
      </c>
      <c r="E19" s="69" t="str">
        <f>Relatório!EZ18</f>
        <v/>
      </c>
      <c r="F19" s="1" t="str">
        <f>Relatório!FA18</f>
        <v/>
      </c>
      <c r="G19" s="33" t="str">
        <f>Relatório!FB18</f>
        <v/>
      </c>
      <c r="H19" s="1" t="str">
        <f t="shared" si="0"/>
        <v/>
      </c>
      <c r="J19" s="131" t="s">
        <v>499</v>
      </c>
      <c r="K19" s="135">
        <f>Relatório!FG18</f>
        <v>0.05</v>
      </c>
      <c r="L19" s="135" t="str">
        <f>IF(Relatório!FH18=0,"",Relatório!FH18)</f>
        <v/>
      </c>
      <c r="M19" s="133" t="str">
        <f>IF(Relatório!FI18=0,"",Relatório!FI18)</f>
        <v/>
      </c>
    </row>
    <row r="20" spans="2:13" x14ac:dyDescent="0.3">
      <c r="B20" s="1" t="str">
        <f>Relatório!EW19</f>
        <v/>
      </c>
      <c r="C20" s="34" t="str">
        <f>Relatório!EX19</f>
        <v/>
      </c>
      <c r="D20" s="33" t="str">
        <f>Relatório!EY19</f>
        <v/>
      </c>
      <c r="E20" s="69" t="str">
        <f>Relatório!EZ19</f>
        <v/>
      </c>
      <c r="F20" s="1" t="str">
        <f>Relatório!FA19</f>
        <v/>
      </c>
      <c r="G20" s="33" t="str">
        <f>Relatório!FB19</f>
        <v/>
      </c>
      <c r="H20" s="1" t="str">
        <f t="shared" si="0"/>
        <v/>
      </c>
      <c r="J20" s="131" t="s">
        <v>510</v>
      </c>
      <c r="K20" s="135">
        <f>Relatório!FG19</f>
        <v>0.05</v>
      </c>
      <c r="L20" s="135">
        <f>IF(Relatório!FH19=0,"",Relatório!FH19)</f>
        <v>0.05</v>
      </c>
      <c r="M20" s="133" t="str">
        <f>IF(Relatório!FI19=0,"",Relatório!FI19)</f>
        <v/>
      </c>
    </row>
    <row r="21" spans="2:13" x14ac:dyDescent="0.3">
      <c r="B21" s="1" t="str">
        <f>Relatório!EW20</f>
        <v/>
      </c>
      <c r="C21" s="34" t="str">
        <f>Relatório!EX20</f>
        <v/>
      </c>
      <c r="D21" s="33" t="str">
        <f>Relatório!EY20</f>
        <v/>
      </c>
      <c r="E21" s="69" t="str">
        <f>Relatório!EZ20</f>
        <v/>
      </c>
      <c r="F21" s="1" t="str">
        <f>Relatório!FA20</f>
        <v/>
      </c>
      <c r="G21" s="33" t="str">
        <f>Relatório!FB20</f>
        <v/>
      </c>
      <c r="H21" s="1" t="str">
        <f t="shared" si="0"/>
        <v/>
      </c>
      <c r="J21" s="131" t="s">
        <v>505</v>
      </c>
      <c r="K21" s="135">
        <f>Relatório!FG20</f>
        <v>0.05</v>
      </c>
      <c r="L21" s="135">
        <f>IF(Relatório!FH20=0,"",Relatório!FH20)</f>
        <v>0.05</v>
      </c>
      <c r="M21" s="133" t="str">
        <f>IF(Relatório!FI20=0,"",Relatório!FI20)</f>
        <v/>
      </c>
    </row>
    <row r="22" spans="2:13" x14ac:dyDescent="0.3">
      <c r="B22" s="1" t="str">
        <f>Relatório!EW21</f>
        <v/>
      </c>
      <c r="C22" s="34" t="str">
        <f>Relatório!EX21</f>
        <v/>
      </c>
      <c r="D22" s="33" t="str">
        <f>Relatório!EY21</f>
        <v/>
      </c>
      <c r="E22" s="69" t="str">
        <f>Relatório!EZ21</f>
        <v/>
      </c>
      <c r="F22" s="1" t="str">
        <f>Relatório!FA21</f>
        <v/>
      </c>
      <c r="G22" s="33" t="str">
        <f>Relatório!FB21</f>
        <v/>
      </c>
      <c r="H22" s="1" t="str">
        <f t="shared" si="0"/>
        <v/>
      </c>
    </row>
    <row r="23" spans="2:13" x14ac:dyDescent="0.3">
      <c r="B23" s="1" t="str">
        <f>Relatório!EW22</f>
        <v/>
      </c>
      <c r="C23" s="34" t="str">
        <f>Relatório!EX22</f>
        <v/>
      </c>
      <c r="D23" s="33" t="str">
        <f>Relatório!EY22</f>
        <v/>
      </c>
      <c r="E23" s="69" t="str">
        <f>Relatório!EZ22</f>
        <v/>
      </c>
      <c r="F23" s="1" t="str">
        <f>Relatório!FA22</f>
        <v/>
      </c>
      <c r="G23" s="33" t="str">
        <f>Relatório!FB22</f>
        <v/>
      </c>
      <c r="H23" s="1" t="str">
        <f t="shared" si="0"/>
        <v/>
      </c>
    </row>
    <row r="24" spans="2:13" x14ac:dyDescent="0.3">
      <c r="B24" s="1" t="str">
        <f>Relatório!EW23</f>
        <v/>
      </c>
      <c r="C24" s="34" t="str">
        <f>Relatório!EX23</f>
        <v/>
      </c>
      <c r="D24" s="33" t="str">
        <f>Relatório!EY23</f>
        <v/>
      </c>
      <c r="E24" s="69" t="str">
        <f>Relatório!EZ23</f>
        <v/>
      </c>
      <c r="F24" s="1" t="str">
        <f>Relatório!FA23</f>
        <v/>
      </c>
      <c r="G24" s="33" t="str">
        <f>Relatório!FB23</f>
        <v/>
      </c>
      <c r="H24" s="1" t="str">
        <f t="shared" si="0"/>
        <v/>
      </c>
    </row>
    <row r="25" spans="2:13" x14ac:dyDescent="0.3">
      <c r="B25" s="1" t="str">
        <f>Relatório!EW24</f>
        <v/>
      </c>
      <c r="C25" s="34" t="str">
        <f>Relatório!EX24</f>
        <v/>
      </c>
      <c r="D25" s="33" t="str">
        <f>Relatório!EY24</f>
        <v/>
      </c>
      <c r="E25" s="69" t="str">
        <f>Relatório!EZ24</f>
        <v/>
      </c>
      <c r="F25" s="1" t="str">
        <f>Relatório!FA24</f>
        <v/>
      </c>
      <c r="G25" s="33" t="str">
        <f>Relatório!FB24</f>
        <v/>
      </c>
      <c r="H25" s="1" t="str">
        <f t="shared" si="0"/>
        <v/>
      </c>
    </row>
    <row r="26" spans="2:13" x14ac:dyDescent="0.3">
      <c r="B26" s="1" t="str">
        <f>Relatório!EW25</f>
        <v/>
      </c>
      <c r="C26" s="34" t="str">
        <f>Relatório!EX25</f>
        <v/>
      </c>
      <c r="D26" s="33" t="str">
        <f>Relatório!EY25</f>
        <v/>
      </c>
      <c r="E26" s="69" t="str">
        <f>Relatório!EZ25</f>
        <v/>
      </c>
      <c r="F26" s="1" t="str">
        <f>Relatório!FA25</f>
        <v/>
      </c>
      <c r="G26" s="33" t="str">
        <f>Relatório!FB25</f>
        <v/>
      </c>
      <c r="H26" s="1" t="str">
        <f t="shared" si="0"/>
        <v/>
      </c>
    </row>
    <row r="27" spans="2:13" x14ac:dyDescent="0.3">
      <c r="B27" s="1" t="str">
        <f>Relatório!EW26</f>
        <v/>
      </c>
      <c r="C27" s="34" t="str">
        <f>Relatório!EX26</f>
        <v/>
      </c>
      <c r="D27" s="33" t="str">
        <f>Relatório!EY26</f>
        <v/>
      </c>
      <c r="E27" s="69" t="str">
        <f>Relatório!EZ26</f>
        <v/>
      </c>
      <c r="F27" s="1" t="str">
        <f>Relatório!FA26</f>
        <v/>
      </c>
      <c r="G27" s="33" t="str">
        <f>Relatório!FB26</f>
        <v/>
      </c>
      <c r="H27" s="1" t="str">
        <f t="shared" si="0"/>
        <v/>
      </c>
    </row>
    <row r="28" spans="2:13" x14ac:dyDescent="0.3">
      <c r="B28" s="1" t="str">
        <f>Relatório!EW27</f>
        <v/>
      </c>
      <c r="C28" s="34" t="str">
        <f>Relatório!EX27</f>
        <v/>
      </c>
      <c r="D28" s="33" t="str">
        <f>Relatório!EY27</f>
        <v/>
      </c>
      <c r="E28" s="69" t="str">
        <f>Relatório!EZ27</f>
        <v/>
      </c>
      <c r="F28" s="1" t="str">
        <f>Relatório!FA27</f>
        <v/>
      </c>
      <c r="G28" s="33" t="str">
        <f>Relatório!FB27</f>
        <v/>
      </c>
      <c r="H28" s="1" t="str">
        <f t="shared" si="0"/>
        <v/>
      </c>
    </row>
    <row r="29" spans="2:13" x14ac:dyDescent="0.3">
      <c r="B29" s="1" t="str">
        <f>Relatório!EW28</f>
        <v/>
      </c>
      <c r="C29" s="34" t="str">
        <f>Relatório!EX28</f>
        <v/>
      </c>
      <c r="D29" s="33" t="str">
        <f>Relatório!EY28</f>
        <v/>
      </c>
      <c r="E29" s="69" t="str">
        <f>Relatório!EZ28</f>
        <v/>
      </c>
      <c r="F29" s="1" t="str">
        <f>Relatório!FA28</f>
        <v/>
      </c>
      <c r="G29" s="33" t="str">
        <f>Relatório!FB28</f>
        <v/>
      </c>
      <c r="H29" s="1" t="str">
        <f t="shared" si="0"/>
        <v/>
      </c>
    </row>
    <row r="30" spans="2:13" x14ac:dyDescent="0.3">
      <c r="B30" s="1" t="str">
        <f>Relatório!EW29</f>
        <v/>
      </c>
      <c r="C30" s="34" t="str">
        <f>Relatório!EX29</f>
        <v/>
      </c>
      <c r="D30" s="33" t="str">
        <f>Relatório!EY29</f>
        <v/>
      </c>
      <c r="E30" s="69" t="str">
        <f>Relatório!EZ29</f>
        <v/>
      </c>
      <c r="F30" s="1" t="str">
        <f>Relatório!FA29</f>
        <v/>
      </c>
      <c r="G30" s="33" t="str">
        <f>Relatório!FB29</f>
        <v/>
      </c>
      <c r="H30" s="1" t="str">
        <f t="shared" si="0"/>
        <v/>
      </c>
    </row>
    <row r="31" spans="2:13" x14ac:dyDescent="0.3">
      <c r="B31" s="1" t="str">
        <f>Relatório!EW30</f>
        <v/>
      </c>
      <c r="C31" s="34" t="str">
        <f>Relatório!EX30</f>
        <v/>
      </c>
      <c r="D31" s="33" t="str">
        <f>Relatório!EY30</f>
        <v/>
      </c>
      <c r="E31" s="69" t="str">
        <f>Relatório!EZ30</f>
        <v/>
      </c>
      <c r="F31" s="1" t="str">
        <f>Relatório!FA30</f>
        <v/>
      </c>
      <c r="G31" s="33" t="str">
        <f>Relatório!FB30</f>
        <v/>
      </c>
      <c r="H31" s="1" t="str">
        <f t="shared" si="0"/>
        <v/>
      </c>
    </row>
    <row r="32" spans="2:13" x14ac:dyDescent="0.3">
      <c r="B32" s="1" t="str">
        <f>Relatório!EW31</f>
        <v/>
      </c>
      <c r="C32" s="34" t="str">
        <f>Relatório!EX31</f>
        <v/>
      </c>
      <c r="D32" s="33" t="str">
        <f>Relatório!EY31</f>
        <v/>
      </c>
      <c r="E32" s="69" t="str">
        <f>Relatório!EZ31</f>
        <v/>
      </c>
      <c r="F32" s="1" t="str">
        <f>Relatório!FA31</f>
        <v/>
      </c>
      <c r="G32" s="33" t="str">
        <f>Relatório!FB31</f>
        <v/>
      </c>
      <c r="H32" s="1" t="str">
        <f t="shared" si="0"/>
        <v/>
      </c>
    </row>
    <row r="33" spans="2:8" x14ac:dyDescent="0.3">
      <c r="B33" s="1" t="str">
        <f>Relatório!EW32</f>
        <v/>
      </c>
      <c r="C33" s="34" t="str">
        <f>Relatório!EX32</f>
        <v/>
      </c>
      <c r="D33" s="33" t="str">
        <f>Relatório!EY32</f>
        <v/>
      </c>
      <c r="E33" s="69" t="str">
        <f>Relatório!EZ32</f>
        <v/>
      </c>
      <c r="F33" s="1" t="str">
        <f>Relatório!FA32</f>
        <v/>
      </c>
      <c r="G33" s="33" t="str">
        <f>Relatório!FB32</f>
        <v/>
      </c>
      <c r="H33" s="1" t="str">
        <f t="shared" si="0"/>
        <v/>
      </c>
    </row>
    <row r="34" spans="2:8" x14ac:dyDescent="0.3">
      <c r="B34" s="1" t="str">
        <f>Relatório!EW33</f>
        <v/>
      </c>
      <c r="C34" s="34" t="str">
        <f>Relatório!EX33</f>
        <v/>
      </c>
      <c r="D34" s="33" t="str">
        <f>Relatório!EY33</f>
        <v/>
      </c>
      <c r="E34" s="69" t="str">
        <f>Relatório!EZ33</f>
        <v/>
      </c>
      <c r="F34" s="1" t="str">
        <f>Relatório!FA33</f>
        <v/>
      </c>
      <c r="G34" s="33" t="str">
        <f>Relatório!FB33</f>
        <v/>
      </c>
      <c r="H34" s="1" t="str">
        <f t="shared" si="0"/>
        <v/>
      </c>
    </row>
    <row r="35" spans="2:8" x14ac:dyDescent="0.3">
      <c r="B35" s="1" t="str">
        <f>Relatório!EW34</f>
        <v/>
      </c>
      <c r="C35" s="34" t="str">
        <f>Relatório!EX34</f>
        <v/>
      </c>
      <c r="D35" s="33" t="str">
        <f>Relatório!EY34</f>
        <v/>
      </c>
      <c r="E35" s="69" t="str">
        <f>Relatório!EZ34</f>
        <v/>
      </c>
      <c r="F35" s="1" t="str">
        <f>Relatório!FA34</f>
        <v/>
      </c>
      <c r="G35" s="33" t="str">
        <f>Relatório!FB34</f>
        <v/>
      </c>
      <c r="H35" s="1" t="str">
        <f t="shared" si="0"/>
        <v/>
      </c>
    </row>
    <row r="36" spans="2:8" x14ac:dyDescent="0.3">
      <c r="B36" s="224" t="str">
        <f>Relatório!EW35</f>
        <v/>
      </c>
      <c r="C36" s="201" t="str">
        <f>Relatório!EX35</f>
        <v/>
      </c>
      <c r="D36" s="167" t="str">
        <f>Relatório!EY35</f>
        <v/>
      </c>
      <c r="E36" s="69" t="str">
        <f>Relatório!EZ35</f>
        <v/>
      </c>
      <c r="F36" s="224" t="str">
        <f>Relatório!FA35</f>
        <v/>
      </c>
      <c r="G36" s="167" t="str">
        <f>Relatório!FB35</f>
        <v/>
      </c>
      <c r="H36" s="224" t="str">
        <f>IF(B36="","",IF(OR(D36&gt;E36,G36&gt;0.25),"Desenquadrado","Enquadrado"))</f>
        <v/>
      </c>
    </row>
    <row r="37" spans="2:8" x14ac:dyDescent="0.3">
      <c r="B37" s="224" t="str">
        <f>Relatório!EW36</f>
        <v/>
      </c>
      <c r="C37" s="201" t="str">
        <f>Relatório!EX36</f>
        <v/>
      </c>
      <c r="D37" s="167" t="str">
        <f>Relatório!EY36</f>
        <v/>
      </c>
      <c r="E37" s="69" t="str">
        <f>Relatório!EZ36</f>
        <v/>
      </c>
      <c r="F37" s="224" t="str">
        <f>Relatório!FA36</f>
        <v/>
      </c>
      <c r="G37" s="167">
        <f>Relatório!FB36</f>
        <v>0</v>
      </c>
      <c r="H37" s="224" t="str">
        <f>IF(B37="","",IF(OR(D37&gt;E37,G37&gt;0.25),"Desenquadrado","Enquadrado"))</f>
        <v/>
      </c>
    </row>
    <row r="38" spans="2:8" x14ac:dyDescent="0.3">
      <c r="B38" s="224"/>
      <c r="C38" s="201"/>
      <c r="D38" s="167"/>
      <c r="E38" s="69"/>
      <c r="F38" s="224"/>
      <c r="G38" s="167"/>
      <c r="H38" s="224"/>
    </row>
    <row r="39" spans="2:8" x14ac:dyDescent="0.3">
      <c r="C39" s="34"/>
      <c r="D39" s="33"/>
      <c r="E39" s="69"/>
      <c r="G39" s="33"/>
    </row>
    <row r="40" spans="2:8" x14ac:dyDescent="0.3">
      <c r="C40" s="34"/>
      <c r="D40" s="33"/>
      <c r="E40" s="69"/>
      <c r="G40" s="33"/>
    </row>
    <row r="41" spans="2:8" x14ac:dyDescent="0.3">
      <c r="C41" s="34"/>
      <c r="D41" s="33"/>
      <c r="E41" s="69"/>
      <c r="G41" s="33"/>
    </row>
    <row r="42" spans="2:8" x14ac:dyDescent="0.3">
      <c r="C42" s="34"/>
      <c r="D42" s="33"/>
      <c r="E42" s="69"/>
      <c r="G42" s="33"/>
    </row>
    <row r="43" spans="2:8" x14ac:dyDescent="0.3">
      <c r="C43" s="34"/>
      <c r="D43" s="33"/>
      <c r="E43" s="69"/>
      <c r="G43" s="33"/>
    </row>
    <row r="44" spans="2:8" x14ac:dyDescent="0.3">
      <c r="C44" s="34"/>
      <c r="D44" s="33"/>
      <c r="E44" s="69"/>
      <c r="G44" s="33"/>
    </row>
    <row r="45" spans="2:8" x14ac:dyDescent="0.3">
      <c r="C45" s="34"/>
      <c r="D45" s="33"/>
      <c r="E45" s="69"/>
      <c r="G45" s="33"/>
    </row>
  </sheetData>
  <sheetProtection password="FA51" sheet="1" objects="1" scenarios="1" formatCells="0" formatColumns="0" formatRows="0" insertColumns="0" insertRows="0" insertHyperlinks="0" deleteColumns="0" deleteRows="0" selectLockedCells="1" sort="0" autoFilter="0" pivotTables="0"/>
  <conditionalFormatting sqref="B6:G38">
    <cfRule type="notContainsBlanks" dxfId="34" priority="52">
      <formula>LEN(TRIM(B6))&gt;0</formula>
    </cfRule>
  </conditionalFormatting>
  <conditionalFormatting sqref="D6">
    <cfRule type="cellIs" dxfId="33" priority="51" operator="greaterThan">
      <formula>E6</formula>
    </cfRule>
  </conditionalFormatting>
  <conditionalFormatting sqref="D7">
    <cfRule type="cellIs" dxfId="32" priority="50" operator="greaterThan">
      <formula>$E$7</formula>
    </cfRule>
  </conditionalFormatting>
  <conditionalFormatting sqref="D8">
    <cfRule type="cellIs" dxfId="31" priority="49" operator="greaterThan">
      <formula>$E$8</formula>
    </cfRule>
  </conditionalFormatting>
  <conditionalFormatting sqref="D9">
    <cfRule type="cellIs" dxfId="30" priority="48" operator="greaterThan">
      <formula>$E$9</formula>
    </cfRule>
  </conditionalFormatting>
  <conditionalFormatting sqref="D10">
    <cfRule type="cellIs" dxfId="29" priority="47" operator="greaterThan">
      <formula>$E$10</formula>
    </cfRule>
  </conditionalFormatting>
  <conditionalFormatting sqref="D11">
    <cfRule type="cellIs" dxfId="28" priority="46" operator="greaterThan">
      <formula>$E$11</formula>
    </cfRule>
  </conditionalFormatting>
  <conditionalFormatting sqref="D12">
    <cfRule type="cellIs" dxfId="27" priority="45" operator="greaterThan">
      <formula>$E$12</formula>
    </cfRule>
  </conditionalFormatting>
  <conditionalFormatting sqref="D13">
    <cfRule type="cellIs" dxfId="26" priority="44" operator="greaterThan">
      <formula>$E$13</formula>
    </cfRule>
  </conditionalFormatting>
  <conditionalFormatting sqref="D14">
    <cfRule type="cellIs" dxfId="25" priority="43" operator="greaterThan">
      <formula>$E$14</formula>
    </cfRule>
  </conditionalFormatting>
  <conditionalFormatting sqref="D15">
    <cfRule type="cellIs" dxfId="24" priority="42" operator="greaterThan">
      <formula>$E$15</formula>
    </cfRule>
  </conditionalFormatting>
  <conditionalFormatting sqref="D16">
    <cfRule type="cellIs" dxfId="23" priority="41" operator="greaterThan">
      <formula>$E$16</formula>
    </cfRule>
  </conditionalFormatting>
  <conditionalFormatting sqref="D17">
    <cfRule type="cellIs" dxfId="22" priority="40" operator="greaterThan">
      <formula>$E$17</formula>
    </cfRule>
  </conditionalFormatting>
  <conditionalFormatting sqref="D18">
    <cfRule type="cellIs" dxfId="21" priority="39" operator="greaterThan">
      <formula>$E$18</formula>
    </cfRule>
  </conditionalFormatting>
  <conditionalFormatting sqref="D19">
    <cfRule type="cellIs" dxfId="20" priority="38" operator="greaterThan">
      <formula>$E$19</formula>
    </cfRule>
  </conditionalFormatting>
  <conditionalFormatting sqref="D20">
    <cfRule type="cellIs" dxfId="19" priority="37" operator="greaterThan">
      <formula>$E$20</formula>
    </cfRule>
  </conditionalFormatting>
  <conditionalFormatting sqref="D21">
    <cfRule type="cellIs" dxfId="18" priority="36" operator="greaterThan">
      <formula>$E$21</formula>
    </cfRule>
  </conditionalFormatting>
  <conditionalFormatting sqref="D22">
    <cfRule type="cellIs" dxfId="17" priority="35" operator="greaterThan">
      <formula>$E$22</formula>
    </cfRule>
  </conditionalFormatting>
  <conditionalFormatting sqref="D23">
    <cfRule type="cellIs" dxfId="16" priority="34" operator="greaterThan">
      <formula>$E$23</formula>
    </cfRule>
  </conditionalFormatting>
  <conditionalFormatting sqref="D24">
    <cfRule type="cellIs" dxfId="15" priority="33" operator="greaterThan">
      <formula>$E$24</formula>
    </cfRule>
  </conditionalFormatting>
  <conditionalFormatting sqref="D25">
    <cfRule type="cellIs" dxfId="14" priority="32" operator="greaterThan">
      <formula>$E$25</formula>
    </cfRule>
  </conditionalFormatting>
  <conditionalFormatting sqref="D26">
    <cfRule type="cellIs" dxfId="13" priority="31" operator="greaterThan">
      <formula>$E$26</formula>
    </cfRule>
  </conditionalFormatting>
  <conditionalFormatting sqref="D27">
    <cfRule type="cellIs" dxfId="12" priority="30" operator="greaterThan">
      <formula>$E$27</formula>
    </cfRule>
  </conditionalFormatting>
  <conditionalFormatting sqref="D28">
    <cfRule type="cellIs" dxfId="11" priority="29" operator="greaterThan">
      <formula>$E$28</formula>
    </cfRule>
  </conditionalFormatting>
  <conditionalFormatting sqref="D29">
    <cfRule type="cellIs" dxfId="10" priority="28" operator="greaterThan">
      <formula>$E$29</formula>
    </cfRule>
  </conditionalFormatting>
  <conditionalFormatting sqref="D30">
    <cfRule type="cellIs" dxfId="9" priority="27" operator="greaterThan">
      <formula>$E$30</formula>
    </cfRule>
  </conditionalFormatting>
  <conditionalFormatting sqref="D31">
    <cfRule type="cellIs" dxfId="8" priority="26" operator="greaterThan">
      <formula>$E$31</formula>
    </cfRule>
  </conditionalFormatting>
  <conditionalFormatting sqref="D32">
    <cfRule type="cellIs" dxfId="7" priority="25" operator="greaterThan">
      <formula>$E$32</formula>
    </cfRule>
  </conditionalFormatting>
  <conditionalFormatting sqref="D33">
    <cfRule type="cellIs" dxfId="6" priority="24" operator="greaterThan">
      <formula>$E$33</formula>
    </cfRule>
  </conditionalFormatting>
  <conditionalFormatting sqref="D34">
    <cfRule type="cellIs" dxfId="5" priority="23" operator="greaterThan">
      <formula>$E$34</formula>
    </cfRule>
  </conditionalFormatting>
  <conditionalFormatting sqref="D35:D38">
    <cfRule type="cellIs" dxfId="4" priority="22" operator="greaterThan">
      <formula>$E$35</formula>
    </cfRule>
  </conditionalFormatting>
  <conditionalFormatting sqref="G6:G38">
    <cfRule type="cellIs" dxfId="3" priority="21" operator="greaterThan">
      <formula>0.25</formula>
    </cfRule>
  </conditionalFormatting>
  <conditionalFormatting sqref="H6:H38">
    <cfRule type="cellIs" dxfId="2" priority="19" operator="equal">
      <formula>"Desenquadrado"</formula>
    </cfRule>
    <cfRule type="notContainsBlanks" dxfId="1" priority="20">
      <formula>LEN(TRIM(H6))&gt;0</formula>
    </cfRule>
  </conditionalFormatting>
  <conditionalFormatting sqref="N1:XFD1048576 J1:M5 J15:M15 J22:M1048576 A1:I1048576">
    <cfRule type="containsBlanks" dxfId="0" priority="3">
      <formula>LEN(TRIM(A1))=0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rgb="FF00B050"/>
  </sheetPr>
  <dimension ref="A1:O405"/>
  <sheetViews>
    <sheetView showGridLines="0" topLeftCell="A366" zoomScaleNormal="100" workbookViewId="0">
      <selection activeCell="E388" sqref="E388"/>
    </sheetView>
  </sheetViews>
  <sheetFormatPr defaultRowHeight="15" x14ac:dyDescent="0.3"/>
  <cols>
    <col min="1" max="1" width="9.140625" style="1"/>
    <col min="2" max="2" width="39.140625" bestFit="1" customWidth="1"/>
    <col min="3" max="3" width="20.28515625" style="206" customWidth="1"/>
    <col min="4" max="4" width="16.42578125" bestFit="1" customWidth="1"/>
    <col min="5" max="5" width="23.7109375" customWidth="1"/>
    <col min="6" max="6" width="18.42578125" bestFit="1" customWidth="1"/>
    <col min="7" max="7" width="35.7109375" bestFit="1" customWidth="1"/>
    <col min="8" max="8" width="39.5703125" bestFit="1" customWidth="1"/>
    <col min="9" max="9" width="19.5703125" bestFit="1" customWidth="1"/>
    <col min="10" max="10" width="11.140625" customWidth="1"/>
    <col min="11" max="11" width="20.42578125" bestFit="1" customWidth="1"/>
    <col min="12" max="12" width="18.42578125" bestFit="1" customWidth="1"/>
    <col min="13" max="13" width="47.85546875" bestFit="1" customWidth="1"/>
    <col min="14" max="14" width="18.42578125" bestFit="1" customWidth="1"/>
  </cols>
  <sheetData>
    <row r="1" spans="1:14" x14ac:dyDescent="0.3">
      <c r="A1" s="350" t="s">
        <v>1083</v>
      </c>
      <c r="B1" s="350"/>
      <c r="C1" s="350"/>
    </row>
    <row r="2" spans="1:14" x14ac:dyDescent="0.3">
      <c r="A2" s="4" t="s">
        <v>405</v>
      </c>
      <c r="B2" s="4" t="s">
        <v>406</v>
      </c>
      <c r="C2" s="351" t="s">
        <v>538</v>
      </c>
      <c r="D2" s="351"/>
      <c r="E2" s="351"/>
      <c r="F2" s="4" t="s">
        <v>1</v>
      </c>
      <c r="G2" s="4" t="s">
        <v>407</v>
      </c>
      <c r="H2" s="4" t="s">
        <v>433</v>
      </c>
      <c r="I2" s="4" t="s">
        <v>464</v>
      </c>
      <c r="J2" s="4" t="s">
        <v>465</v>
      </c>
      <c r="K2" s="4" t="s">
        <v>486</v>
      </c>
      <c r="L2" s="4" t="s">
        <v>487</v>
      </c>
      <c r="M2" s="4" t="s">
        <v>494</v>
      </c>
      <c r="N2" s="4" t="s">
        <v>533</v>
      </c>
    </row>
    <row r="3" spans="1:14" x14ac:dyDescent="0.3">
      <c r="A3" s="1">
        <v>2</v>
      </c>
      <c r="B3" s="25" t="s">
        <v>693</v>
      </c>
      <c r="C3" s="346" t="s">
        <v>697</v>
      </c>
      <c r="D3" s="346"/>
      <c r="E3" s="346"/>
      <c r="F3" s="25">
        <v>1</v>
      </c>
      <c r="M3" s="25" t="s">
        <v>507</v>
      </c>
    </row>
    <row r="4" spans="1:14" x14ac:dyDescent="0.3">
      <c r="A4" s="1">
        <v>3</v>
      </c>
      <c r="B4" s="25" t="s">
        <v>694</v>
      </c>
      <c r="C4" s="346" t="s">
        <v>698</v>
      </c>
      <c r="D4" s="346"/>
      <c r="E4" s="346"/>
      <c r="F4" s="25">
        <v>2</v>
      </c>
      <c r="M4" s="25" t="s">
        <v>507</v>
      </c>
      <c r="N4" s="25"/>
    </row>
    <row r="5" spans="1:14" x14ac:dyDescent="0.3">
      <c r="A5" s="1">
        <v>4</v>
      </c>
      <c r="B5" s="25" t="s">
        <v>695</v>
      </c>
      <c r="C5" s="346" t="s">
        <v>699</v>
      </c>
      <c r="D5" s="346"/>
      <c r="E5" s="346"/>
      <c r="F5" s="25">
        <v>3</v>
      </c>
      <c r="M5" s="25" t="s">
        <v>507</v>
      </c>
      <c r="N5" s="25"/>
    </row>
    <row r="6" spans="1:14" x14ac:dyDescent="0.3">
      <c r="A6" s="1">
        <v>5</v>
      </c>
      <c r="B6" s="25" t="s">
        <v>696</v>
      </c>
      <c r="C6" s="346" t="s">
        <v>700</v>
      </c>
      <c r="D6" s="346"/>
      <c r="E6" s="346"/>
      <c r="F6" s="25">
        <v>4</v>
      </c>
      <c r="M6" s="25" t="s">
        <v>507</v>
      </c>
      <c r="N6" s="25"/>
    </row>
    <row r="7" spans="1:14" x14ac:dyDescent="0.3">
      <c r="A7" s="1">
        <v>6</v>
      </c>
      <c r="B7" s="25" t="s">
        <v>757</v>
      </c>
      <c r="C7" s="346" t="s">
        <v>755</v>
      </c>
      <c r="D7" s="346"/>
      <c r="E7" s="346"/>
      <c r="F7" s="25" t="s">
        <v>756</v>
      </c>
      <c r="G7" s="25" t="s">
        <v>417</v>
      </c>
      <c r="H7" s="25" t="s">
        <v>417</v>
      </c>
      <c r="I7" s="25" t="s">
        <v>415</v>
      </c>
      <c r="J7" s="25" t="s">
        <v>470</v>
      </c>
      <c r="K7" s="25" t="s">
        <v>488</v>
      </c>
      <c r="L7" s="25" t="s">
        <v>489</v>
      </c>
      <c r="M7" s="25" t="s">
        <v>496</v>
      </c>
      <c r="N7" s="25" t="s">
        <v>518</v>
      </c>
    </row>
    <row r="8" spans="1:14" x14ac:dyDescent="0.3">
      <c r="A8" s="1">
        <v>7</v>
      </c>
      <c r="B8" s="25" t="s">
        <v>1028</v>
      </c>
      <c r="C8" s="346" t="s">
        <v>1029</v>
      </c>
      <c r="D8" s="346"/>
      <c r="E8" s="346"/>
      <c r="F8" s="25" t="s">
        <v>290</v>
      </c>
      <c r="G8" s="25" t="s">
        <v>408</v>
      </c>
      <c r="H8" s="25" t="s">
        <v>434</v>
      </c>
      <c r="I8" s="25" t="s">
        <v>415</v>
      </c>
      <c r="J8" s="25" t="s">
        <v>466</v>
      </c>
      <c r="K8" s="25" t="s">
        <v>488</v>
      </c>
      <c r="L8" s="25" t="s">
        <v>489</v>
      </c>
      <c r="M8" s="25" t="s">
        <v>495</v>
      </c>
      <c r="N8" s="165" t="s">
        <v>518</v>
      </c>
    </row>
    <row r="9" spans="1:14" x14ac:dyDescent="0.3">
      <c r="A9" s="1">
        <v>8</v>
      </c>
      <c r="B9" s="25" t="s">
        <v>179</v>
      </c>
      <c r="C9" s="346" t="s">
        <v>74</v>
      </c>
      <c r="D9" s="346"/>
      <c r="E9" s="346"/>
      <c r="F9" s="25" t="s">
        <v>291</v>
      </c>
      <c r="G9" s="25" t="s">
        <v>409</v>
      </c>
      <c r="H9" s="25" t="s">
        <v>409</v>
      </c>
      <c r="I9" s="25" t="s">
        <v>409</v>
      </c>
      <c r="J9" s="25" t="s">
        <v>467</v>
      </c>
      <c r="K9" s="25" t="s">
        <v>488</v>
      </c>
      <c r="L9" s="25" t="s">
        <v>489</v>
      </c>
      <c r="M9" s="25" t="s">
        <v>496</v>
      </c>
      <c r="N9" s="165" t="s">
        <v>523</v>
      </c>
    </row>
    <row r="10" spans="1:14" x14ac:dyDescent="0.3">
      <c r="A10" s="1">
        <v>9</v>
      </c>
      <c r="B10" s="25" t="s">
        <v>180</v>
      </c>
      <c r="C10" s="346" t="s">
        <v>75</v>
      </c>
      <c r="D10" s="346"/>
      <c r="E10" s="346"/>
      <c r="F10" s="25" t="s">
        <v>292</v>
      </c>
      <c r="G10" s="25" t="s">
        <v>409</v>
      </c>
      <c r="H10" s="25" t="s">
        <v>409</v>
      </c>
      <c r="I10" s="25" t="s">
        <v>409</v>
      </c>
      <c r="J10" s="25" t="s">
        <v>468</v>
      </c>
      <c r="K10" s="25" t="s">
        <v>488</v>
      </c>
      <c r="L10" s="25" t="s">
        <v>489</v>
      </c>
      <c r="M10" s="25" t="s">
        <v>497</v>
      </c>
      <c r="N10" s="165" t="s">
        <v>523</v>
      </c>
    </row>
    <row r="11" spans="1:14" x14ac:dyDescent="0.3">
      <c r="A11" s="1">
        <v>10</v>
      </c>
      <c r="B11" s="25" t="s">
        <v>181</v>
      </c>
      <c r="C11" s="346" t="s">
        <v>76</v>
      </c>
      <c r="D11" s="346"/>
      <c r="E11" s="346"/>
      <c r="F11" s="25" t="s">
        <v>293</v>
      </c>
      <c r="G11" s="25" t="s">
        <v>410</v>
      </c>
      <c r="H11" s="25" t="s">
        <v>410</v>
      </c>
      <c r="I11" s="25" t="s">
        <v>456</v>
      </c>
      <c r="J11" s="25" t="s">
        <v>469</v>
      </c>
      <c r="K11" s="25" t="s">
        <v>488</v>
      </c>
      <c r="L11" s="25" t="s">
        <v>489</v>
      </c>
      <c r="M11" s="25" t="s">
        <v>498</v>
      </c>
      <c r="N11" s="165" t="e">
        <v>#N/A</v>
      </c>
    </row>
    <row r="12" spans="1:14" x14ac:dyDescent="0.3">
      <c r="A12" s="1">
        <v>11</v>
      </c>
      <c r="B12" s="25" t="s">
        <v>182</v>
      </c>
      <c r="C12" s="346" t="s">
        <v>77</v>
      </c>
      <c r="D12" s="346"/>
      <c r="E12" s="346"/>
      <c r="F12" s="25" t="s">
        <v>294</v>
      </c>
      <c r="G12" s="25" t="s">
        <v>411</v>
      </c>
      <c r="H12" s="25" t="s">
        <v>411</v>
      </c>
      <c r="I12" s="25" t="s">
        <v>411</v>
      </c>
      <c r="J12" s="25" t="s">
        <v>470</v>
      </c>
      <c r="K12" s="25" t="s">
        <v>488</v>
      </c>
      <c r="L12" s="25" t="s">
        <v>489</v>
      </c>
      <c r="M12" s="25" t="s">
        <v>497</v>
      </c>
      <c r="N12" s="165" t="s">
        <v>522</v>
      </c>
    </row>
    <row r="13" spans="1:14" x14ac:dyDescent="0.3">
      <c r="A13" s="1">
        <v>12</v>
      </c>
      <c r="B13" s="25" t="s">
        <v>183</v>
      </c>
      <c r="C13" s="346" t="s">
        <v>78</v>
      </c>
      <c r="D13" s="346"/>
      <c r="E13" s="346"/>
      <c r="F13" s="25" t="s">
        <v>295</v>
      </c>
      <c r="G13" s="25" t="s">
        <v>411</v>
      </c>
      <c r="H13" s="25" t="s">
        <v>411</v>
      </c>
      <c r="I13" s="25" t="s">
        <v>411</v>
      </c>
      <c r="J13" s="25" t="s">
        <v>470</v>
      </c>
      <c r="K13" s="25" t="s">
        <v>488</v>
      </c>
      <c r="L13" s="25" t="s">
        <v>489</v>
      </c>
      <c r="M13" s="25" t="s">
        <v>495</v>
      </c>
      <c r="N13" s="165" t="s">
        <v>522</v>
      </c>
    </row>
    <row r="14" spans="1:14" s="165" customFormat="1" x14ac:dyDescent="0.3">
      <c r="A14" s="1">
        <v>13</v>
      </c>
      <c r="B14" s="165" t="s">
        <v>932</v>
      </c>
      <c r="C14" s="346" t="s">
        <v>930</v>
      </c>
      <c r="D14" s="346"/>
      <c r="E14" s="346"/>
      <c r="F14" s="165" t="s">
        <v>931</v>
      </c>
      <c r="G14" s="165" t="s">
        <v>411</v>
      </c>
      <c r="H14" s="165" t="s">
        <v>411</v>
      </c>
      <c r="I14" s="165" t="s">
        <v>411</v>
      </c>
      <c r="J14" s="165" t="s">
        <v>467</v>
      </c>
      <c r="K14" s="165" t="s">
        <v>488</v>
      </c>
      <c r="L14" s="165" t="s">
        <v>489</v>
      </c>
      <c r="M14" s="165" t="s">
        <v>496</v>
      </c>
      <c r="N14" s="165" t="s">
        <v>522</v>
      </c>
    </row>
    <row r="15" spans="1:14" x14ac:dyDescent="0.3">
      <c r="A15" s="1">
        <v>14</v>
      </c>
      <c r="B15" s="25" t="s">
        <v>184</v>
      </c>
      <c r="C15" s="346" t="s">
        <v>79</v>
      </c>
      <c r="D15" s="346"/>
      <c r="E15" s="346"/>
      <c r="F15" s="25" t="s">
        <v>296</v>
      </c>
      <c r="G15" s="25" t="s">
        <v>411</v>
      </c>
      <c r="H15" s="25" t="s">
        <v>411</v>
      </c>
      <c r="I15" s="25" t="s">
        <v>411</v>
      </c>
      <c r="J15" s="25" t="s">
        <v>467</v>
      </c>
      <c r="K15" s="25" t="s">
        <v>488</v>
      </c>
      <c r="L15" s="25" t="s">
        <v>489</v>
      </c>
      <c r="M15" s="25" t="s">
        <v>496</v>
      </c>
      <c r="N15" s="165" t="s">
        <v>522</v>
      </c>
    </row>
    <row r="16" spans="1:14" x14ac:dyDescent="0.3">
      <c r="A16" s="1">
        <v>15</v>
      </c>
      <c r="B16" s="25" t="s">
        <v>794</v>
      </c>
      <c r="C16" s="346" t="s">
        <v>772</v>
      </c>
      <c r="D16" s="346"/>
      <c r="E16" s="346"/>
      <c r="F16" s="25" t="s">
        <v>773</v>
      </c>
      <c r="G16" s="25" t="s">
        <v>412</v>
      </c>
      <c r="H16" s="25" t="s">
        <v>412</v>
      </c>
      <c r="I16" s="25" t="s">
        <v>457</v>
      </c>
      <c r="J16" s="25" t="s">
        <v>716</v>
      </c>
      <c r="K16" s="25" t="s">
        <v>488</v>
      </c>
      <c r="L16" s="25" t="s">
        <v>489</v>
      </c>
      <c r="M16" s="25" t="s">
        <v>498</v>
      </c>
      <c r="N16" s="165" t="s">
        <v>521</v>
      </c>
    </row>
    <row r="17" spans="1:14" x14ac:dyDescent="0.3">
      <c r="A17" s="1">
        <v>16</v>
      </c>
      <c r="B17" s="25" t="s">
        <v>774</v>
      </c>
      <c r="C17" s="346" t="s">
        <v>774</v>
      </c>
      <c r="D17" s="346"/>
      <c r="E17" s="346"/>
      <c r="F17" s="25" t="s">
        <v>775</v>
      </c>
      <c r="G17" s="25" t="s">
        <v>412</v>
      </c>
      <c r="H17" s="25" t="s">
        <v>412</v>
      </c>
      <c r="I17" s="25" t="s">
        <v>457</v>
      </c>
      <c r="J17" s="25" t="s">
        <v>471</v>
      </c>
      <c r="K17" s="25" t="s">
        <v>488</v>
      </c>
      <c r="L17" s="25" t="s">
        <v>489</v>
      </c>
      <c r="M17" s="25" t="s">
        <v>498</v>
      </c>
      <c r="N17" s="165" t="s">
        <v>521</v>
      </c>
    </row>
    <row r="18" spans="1:14" x14ac:dyDescent="0.3">
      <c r="A18" s="1">
        <v>17</v>
      </c>
      <c r="B18" s="25" t="s">
        <v>185</v>
      </c>
      <c r="C18" s="346" t="s">
        <v>80</v>
      </c>
      <c r="D18" s="346"/>
      <c r="E18" s="346"/>
      <c r="F18" s="199" t="s">
        <v>297</v>
      </c>
      <c r="G18" s="25" t="s">
        <v>412</v>
      </c>
      <c r="H18" s="25" t="s">
        <v>412</v>
      </c>
      <c r="I18" s="25" t="s">
        <v>457</v>
      </c>
      <c r="J18" s="25" t="s">
        <v>467</v>
      </c>
      <c r="K18" s="25" t="s">
        <v>488</v>
      </c>
      <c r="L18" s="25" t="s">
        <v>489</v>
      </c>
      <c r="M18" s="25" t="s">
        <v>496</v>
      </c>
      <c r="N18" s="165" t="s">
        <v>521</v>
      </c>
    </row>
    <row r="19" spans="1:14" x14ac:dyDescent="0.3">
      <c r="A19" s="1">
        <v>18</v>
      </c>
      <c r="B19" s="25" t="s">
        <v>186</v>
      </c>
      <c r="C19" s="346" t="s">
        <v>81</v>
      </c>
      <c r="D19" s="346"/>
      <c r="E19" s="346"/>
      <c r="F19" s="25" t="s">
        <v>298</v>
      </c>
      <c r="G19" s="25" t="s">
        <v>412</v>
      </c>
      <c r="H19" s="25" t="s">
        <v>412</v>
      </c>
      <c r="I19" s="25" t="s">
        <v>457</v>
      </c>
      <c r="J19" s="25" t="s">
        <v>467</v>
      </c>
      <c r="K19" s="25" t="s">
        <v>488</v>
      </c>
      <c r="L19" s="25" t="s">
        <v>489</v>
      </c>
      <c r="M19" s="25" t="s">
        <v>499</v>
      </c>
      <c r="N19" s="165" t="s">
        <v>521</v>
      </c>
    </row>
    <row r="20" spans="1:14" x14ac:dyDescent="0.3">
      <c r="A20" s="1">
        <v>19</v>
      </c>
      <c r="B20" s="25" t="s">
        <v>187</v>
      </c>
      <c r="C20" s="346" t="s">
        <v>82</v>
      </c>
      <c r="D20" s="346"/>
      <c r="E20" s="346"/>
      <c r="F20" s="25" t="s">
        <v>299</v>
      </c>
      <c r="G20" s="25" t="s">
        <v>412</v>
      </c>
      <c r="H20" s="25" t="s">
        <v>412</v>
      </c>
      <c r="I20" s="25" t="s">
        <v>457</v>
      </c>
      <c r="J20" s="25" t="s">
        <v>467</v>
      </c>
      <c r="K20" s="25" t="s">
        <v>488</v>
      </c>
      <c r="L20" s="25" t="s">
        <v>489</v>
      </c>
      <c r="M20" s="25" t="s">
        <v>496</v>
      </c>
      <c r="N20" s="165" t="s">
        <v>521</v>
      </c>
    </row>
    <row r="21" spans="1:14" x14ac:dyDescent="0.3">
      <c r="A21" s="1">
        <v>20</v>
      </c>
      <c r="B21" s="25" t="s">
        <v>188</v>
      </c>
      <c r="C21" s="346" t="s">
        <v>83</v>
      </c>
      <c r="D21" s="346"/>
      <c r="E21" s="346"/>
      <c r="F21" s="25" t="s">
        <v>300</v>
      </c>
      <c r="G21" s="25" t="s">
        <v>412</v>
      </c>
      <c r="H21" s="25" t="s">
        <v>412</v>
      </c>
      <c r="I21" s="25" t="s">
        <v>457</v>
      </c>
      <c r="J21" s="25" t="s">
        <v>471</v>
      </c>
      <c r="K21" s="25" t="s">
        <v>488</v>
      </c>
      <c r="L21" s="25" t="s">
        <v>489</v>
      </c>
      <c r="M21" s="25" t="s">
        <v>498</v>
      </c>
      <c r="N21" s="165" t="s">
        <v>521</v>
      </c>
    </row>
    <row r="22" spans="1:14" x14ac:dyDescent="0.3">
      <c r="A22" s="1">
        <v>21</v>
      </c>
      <c r="B22" s="25" t="s">
        <v>189</v>
      </c>
      <c r="C22" s="346" t="s">
        <v>84</v>
      </c>
      <c r="D22" s="346"/>
      <c r="E22" s="346"/>
      <c r="F22" s="25" t="s">
        <v>301</v>
      </c>
      <c r="G22" s="25" t="s">
        <v>412</v>
      </c>
      <c r="H22" s="25" t="s">
        <v>412</v>
      </c>
      <c r="I22" s="25" t="s">
        <v>457</v>
      </c>
      <c r="J22" s="25" t="s">
        <v>471</v>
      </c>
      <c r="K22" s="25" t="s">
        <v>488</v>
      </c>
      <c r="L22" s="25" t="s">
        <v>489</v>
      </c>
      <c r="M22" s="25" t="s">
        <v>497</v>
      </c>
      <c r="N22" s="165" t="s">
        <v>521</v>
      </c>
    </row>
    <row r="23" spans="1:14" x14ac:dyDescent="0.3">
      <c r="A23" s="1">
        <v>22</v>
      </c>
      <c r="B23" s="25" t="s">
        <v>771</v>
      </c>
      <c r="C23" s="346" t="s">
        <v>770</v>
      </c>
      <c r="D23" s="346"/>
      <c r="E23" s="346"/>
      <c r="F23" s="25" t="s">
        <v>769</v>
      </c>
      <c r="G23" s="25" t="s">
        <v>412</v>
      </c>
      <c r="H23" s="25" t="s">
        <v>412</v>
      </c>
      <c r="I23" s="25" t="s">
        <v>457</v>
      </c>
      <c r="J23" s="25" t="s">
        <v>468</v>
      </c>
      <c r="K23" s="25" t="s">
        <v>488</v>
      </c>
      <c r="L23" s="25" t="s">
        <v>489</v>
      </c>
      <c r="M23" s="25" t="s">
        <v>497</v>
      </c>
      <c r="N23" s="165" t="s">
        <v>521</v>
      </c>
    </row>
    <row r="24" spans="1:14" x14ac:dyDescent="0.3">
      <c r="A24" s="1">
        <v>23</v>
      </c>
      <c r="B24" s="25" t="s">
        <v>192</v>
      </c>
      <c r="C24" s="346" t="s">
        <v>801</v>
      </c>
      <c r="D24" s="346"/>
      <c r="E24" s="346"/>
      <c r="F24" s="25" t="s">
        <v>304</v>
      </c>
      <c r="G24" s="25" t="s">
        <v>412</v>
      </c>
      <c r="H24" s="25" t="s">
        <v>412</v>
      </c>
      <c r="I24" s="25" t="s">
        <v>457</v>
      </c>
      <c r="J24" s="25" t="s">
        <v>472</v>
      </c>
      <c r="K24" s="25" t="s">
        <v>488</v>
      </c>
      <c r="L24" s="25" t="s">
        <v>489</v>
      </c>
      <c r="M24" s="25" t="s">
        <v>497</v>
      </c>
      <c r="N24" s="165" t="s">
        <v>521</v>
      </c>
    </row>
    <row r="25" spans="1:14" x14ac:dyDescent="0.3">
      <c r="A25" s="1">
        <v>24</v>
      </c>
      <c r="B25" s="25" t="s">
        <v>190</v>
      </c>
      <c r="C25" s="346" t="s">
        <v>85</v>
      </c>
      <c r="D25" s="346"/>
      <c r="E25" s="346"/>
      <c r="F25" s="25" t="s">
        <v>302</v>
      </c>
      <c r="G25" s="25" t="s">
        <v>412</v>
      </c>
      <c r="H25" s="25" t="s">
        <v>412</v>
      </c>
      <c r="I25" s="25" t="s">
        <v>457</v>
      </c>
      <c r="J25" s="25" t="s">
        <v>468</v>
      </c>
      <c r="K25" s="25" t="s">
        <v>488</v>
      </c>
      <c r="L25" s="25" t="s">
        <v>489</v>
      </c>
      <c r="M25" s="25" t="s">
        <v>495</v>
      </c>
      <c r="N25" s="165" t="s">
        <v>521</v>
      </c>
    </row>
    <row r="26" spans="1:14" x14ac:dyDescent="0.3">
      <c r="A26" s="1">
        <v>25</v>
      </c>
      <c r="B26" s="25" t="s">
        <v>191</v>
      </c>
      <c r="C26" s="346" t="s">
        <v>86</v>
      </c>
      <c r="D26" s="346"/>
      <c r="E26" s="346"/>
      <c r="F26" s="25" t="s">
        <v>303</v>
      </c>
      <c r="G26" s="25" t="s">
        <v>412</v>
      </c>
      <c r="H26" s="25" t="s">
        <v>412</v>
      </c>
      <c r="I26" s="25" t="s">
        <v>457</v>
      </c>
      <c r="J26" s="25" t="s">
        <v>468</v>
      </c>
      <c r="K26" s="25" t="s">
        <v>488</v>
      </c>
      <c r="L26" s="25" t="s">
        <v>489</v>
      </c>
      <c r="M26" s="25" t="s">
        <v>497</v>
      </c>
      <c r="N26" s="165" t="s">
        <v>521</v>
      </c>
    </row>
    <row r="27" spans="1:14" x14ac:dyDescent="0.3">
      <c r="A27" s="1">
        <v>26</v>
      </c>
      <c r="B27" s="25" t="s">
        <v>193</v>
      </c>
      <c r="C27" s="346" t="s">
        <v>87</v>
      </c>
      <c r="D27" s="346"/>
      <c r="E27" s="346"/>
      <c r="F27" s="25" t="s">
        <v>305</v>
      </c>
      <c r="G27" s="25" t="s">
        <v>412</v>
      </c>
      <c r="H27" s="25" t="s">
        <v>412</v>
      </c>
      <c r="I27" s="25" t="s">
        <v>457</v>
      </c>
      <c r="J27" s="25" t="s">
        <v>473</v>
      </c>
      <c r="K27" s="25" t="s">
        <v>488</v>
      </c>
      <c r="L27" s="25" t="s">
        <v>489</v>
      </c>
      <c r="M27" s="25" t="s">
        <v>497</v>
      </c>
      <c r="N27" s="165" t="s">
        <v>521</v>
      </c>
    </row>
    <row r="28" spans="1:14" x14ac:dyDescent="0.3">
      <c r="A28" s="1">
        <v>27</v>
      </c>
      <c r="B28" s="25" t="s">
        <v>194</v>
      </c>
      <c r="C28" s="346" t="s">
        <v>88</v>
      </c>
      <c r="D28" s="346"/>
      <c r="E28" s="346"/>
      <c r="F28" s="25" t="s">
        <v>306</v>
      </c>
      <c r="G28" s="25" t="s">
        <v>412</v>
      </c>
      <c r="H28" s="25" t="s">
        <v>412</v>
      </c>
      <c r="I28" s="25" t="s">
        <v>457</v>
      </c>
      <c r="J28" s="25" t="s">
        <v>7</v>
      </c>
      <c r="K28" s="25" t="s">
        <v>488</v>
      </c>
      <c r="L28" s="25" t="s">
        <v>489</v>
      </c>
      <c r="M28" s="25" t="s">
        <v>500</v>
      </c>
      <c r="N28" s="165" t="s">
        <v>521</v>
      </c>
    </row>
    <row r="29" spans="1:14" x14ac:dyDescent="0.3">
      <c r="A29" s="1">
        <v>28</v>
      </c>
      <c r="B29" s="25" t="s">
        <v>195</v>
      </c>
      <c r="C29" s="346" t="s">
        <v>89</v>
      </c>
      <c r="D29" s="346"/>
      <c r="E29" s="346"/>
      <c r="F29" s="25" t="s">
        <v>307</v>
      </c>
      <c r="G29" s="25" t="s">
        <v>412</v>
      </c>
      <c r="H29" s="25" t="s">
        <v>412</v>
      </c>
      <c r="I29" s="25" t="s">
        <v>457</v>
      </c>
      <c r="J29" s="25" t="s">
        <v>474</v>
      </c>
      <c r="K29" s="25" t="s">
        <v>488</v>
      </c>
      <c r="L29" s="25" t="s">
        <v>489</v>
      </c>
      <c r="M29" s="25" t="s">
        <v>497</v>
      </c>
      <c r="N29" s="165" t="s">
        <v>521</v>
      </c>
    </row>
    <row r="30" spans="1:14" x14ac:dyDescent="0.3">
      <c r="A30" s="1">
        <v>29</v>
      </c>
      <c r="B30" s="25" t="s">
        <v>196</v>
      </c>
      <c r="C30" s="346" t="s">
        <v>90</v>
      </c>
      <c r="D30" s="346"/>
      <c r="E30" s="346"/>
      <c r="F30" s="25" t="s">
        <v>308</v>
      </c>
      <c r="G30" s="25" t="s">
        <v>412</v>
      </c>
      <c r="H30" s="25" t="s">
        <v>412</v>
      </c>
      <c r="I30" s="25" t="s">
        <v>457</v>
      </c>
      <c r="J30" s="25" t="s">
        <v>474</v>
      </c>
      <c r="K30" s="25" t="s">
        <v>488</v>
      </c>
      <c r="L30" s="25" t="s">
        <v>489</v>
      </c>
      <c r="M30" s="25" t="s">
        <v>497</v>
      </c>
      <c r="N30" s="165" t="s">
        <v>521</v>
      </c>
    </row>
    <row r="31" spans="1:14" x14ac:dyDescent="0.3">
      <c r="A31" s="1">
        <v>30</v>
      </c>
      <c r="B31" s="25" t="s">
        <v>933</v>
      </c>
      <c r="C31" s="346" t="s">
        <v>920</v>
      </c>
      <c r="D31" s="346"/>
      <c r="E31" s="346"/>
      <c r="F31" s="25" t="s">
        <v>309</v>
      </c>
      <c r="G31" s="25" t="s">
        <v>412</v>
      </c>
      <c r="H31" s="25" t="s">
        <v>412</v>
      </c>
      <c r="I31" s="25" t="s">
        <v>457</v>
      </c>
      <c r="J31" s="25" t="s">
        <v>475</v>
      </c>
      <c r="K31" s="25" t="s">
        <v>488</v>
      </c>
      <c r="L31" s="25" t="s">
        <v>489</v>
      </c>
      <c r="M31" s="25" t="s">
        <v>496</v>
      </c>
      <c r="N31" s="165" t="s">
        <v>521</v>
      </c>
    </row>
    <row r="32" spans="1:14" x14ac:dyDescent="0.3">
      <c r="A32" s="1">
        <v>31</v>
      </c>
      <c r="B32" s="25" t="s">
        <v>917</v>
      </c>
      <c r="C32" s="346" t="s">
        <v>929</v>
      </c>
      <c r="D32" s="346"/>
      <c r="E32" s="346"/>
      <c r="F32" s="25" t="s">
        <v>916</v>
      </c>
      <c r="G32" s="25" t="s">
        <v>412</v>
      </c>
      <c r="H32" s="25" t="s">
        <v>412</v>
      </c>
      <c r="I32" s="25" t="s">
        <v>457</v>
      </c>
      <c r="J32" s="25" t="s">
        <v>475</v>
      </c>
      <c r="K32" s="25" t="s">
        <v>488</v>
      </c>
      <c r="L32" s="25" t="s">
        <v>489</v>
      </c>
      <c r="M32" s="25" t="s">
        <v>496</v>
      </c>
      <c r="N32" s="165" t="s">
        <v>521</v>
      </c>
    </row>
    <row r="33" spans="1:15" x14ac:dyDescent="0.3">
      <c r="A33" s="1">
        <v>32</v>
      </c>
      <c r="B33" s="25" t="s">
        <v>197</v>
      </c>
      <c r="C33" s="346" t="s">
        <v>91</v>
      </c>
      <c r="D33" s="346"/>
      <c r="E33" s="346"/>
      <c r="F33" s="25" t="s">
        <v>310</v>
      </c>
      <c r="G33" s="25" t="s">
        <v>412</v>
      </c>
      <c r="H33" s="25" t="s">
        <v>412</v>
      </c>
      <c r="I33" s="25" t="s">
        <v>457</v>
      </c>
      <c r="J33" s="25" t="s">
        <v>467</v>
      </c>
      <c r="K33" s="25" t="s">
        <v>488</v>
      </c>
      <c r="L33" s="25" t="s">
        <v>489</v>
      </c>
      <c r="M33" s="25" t="s">
        <v>496</v>
      </c>
      <c r="N33" s="165" t="s">
        <v>521</v>
      </c>
    </row>
    <row r="34" spans="1:15" x14ac:dyDescent="0.3">
      <c r="A34" s="1">
        <v>33</v>
      </c>
      <c r="B34" s="25" t="s">
        <v>776</v>
      </c>
      <c r="C34" s="346" t="s">
        <v>776</v>
      </c>
      <c r="D34" s="346"/>
      <c r="E34" s="346"/>
      <c r="F34" s="25" t="s">
        <v>777</v>
      </c>
      <c r="G34" s="25" t="s">
        <v>412</v>
      </c>
      <c r="H34" s="25" t="s">
        <v>412</v>
      </c>
      <c r="I34" s="25" t="s">
        <v>457</v>
      </c>
      <c r="J34" s="25" t="s">
        <v>469</v>
      </c>
      <c r="K34" s="25" t="s">
        <v>488</v>
      </c>
      <c r="L34" s="25" t="s">
        <v>778</v>
      </c>
      <c r="M34" s="25" t="s">
        <v>498</v>
      </c>
      <c r="N34" s="165" t="s">
        <v>521</v>
      </c>
    </row>
    <row r="35" spans="1:15" x14ac:dyDescent="0.3">
      <c r="A35" s="1">
        <v>34</v>
      </c>
      <c r="B35" s="25" t="s">
        <v>198</v>
      </c>
      <c r="C35" s="346" t="s">
        <v>92</v>
      </c>
      <c r="D35" s="346"/>
      <c r="E35" s="346"/>
      <c r="F35" s="25" t="s">
        <v>311</v>
      </c>
      <c r="G35" s="25" t="s">
        <v>412</v>
      </c>
      <c r="H35" s="25" t="s">
        <v>412</v>
      </c>
      <c r="I35" s="25" t="s">
        <v>457</v>
      </c>
      <c r="J35" s="25" t="s">
        <v>7</v>
      </c>
      <c r="K35" s="25" t="s">
        <v>490</v>
      </c>
      <c r="L35" s="25" t="s">
        <v>489</v>
      </c>
      <c r="M35" s="25" t="s">
        <v>500</v>
      </c>
      <c r="N35" s="165" t="s">
        <v>521</v>
      </c>
    </row>
    <row r="36" spans="1:15" x14ac:dyDescent="0.3">
      <c r="A36" s="1">
        <v>35</v>
      </c>
      <c r="B36" s="25" t="s">
        <v>708</v>
      </c>
      <c r="C36" s="346" t="s">
        <v>703</v>
      </c>
      <c r="D36" s="346"/>
      <c r="E36" s="346"/>
      <c r="F36" s="25" t="s">
        <v>704</v>
      </c>
      <c r="G36" s="25" t="s">
        <v>412</v>
      </c>
      <c r="H36" s="25" t="s">
        <v>412</v>
      </c>
      <c r="I36" s="25" t="s">
        <v>457</v>
      </c>
      <c r="J36" s="25" t="s">
        <v>7</v>
      </c>
      <c r="K36" s="25" t="s">
        <v>488</v>
      </c>
      <c r="L36" s="25">
        <v>45062</v>
      </c>
      <c r="M36" s="25" t="s">
        <v>496</v>
      </c>
      <c r="N36" s="165" t="s">
        <v>521</v>
      </c>
    </row>
    <row r="37" spans="1:15" x14ac:dyDescent="0.3">
      <c r="A37" s="1">
        <v>36</v>
      </c>
      <c r="B37" s="25" t="s">
        <v>714</v>
      </c>
      <c r="C37" s="346" t="s">
        <v>711</v>
      </c>
      <c r="D37" s="346"/>
      <c r="E37" s="346"/>
      <c r="F37" s="25" t="s">
        <v>712</v>
      </c>
      <c r="G37" s="25" t="s">
        <v>412</v>
      </c>
      <c r="H37" s="25" t="s">
        <v>412</v>
      </c>
      <c r="I37" s="25" t="s">
        <v>457</v>
      </c>
      <c r="J37" s="25" t="s">
        <v>467</v>
      </c>
      <c r="K37" s="25" t="s">
        <v>488</v>
      </c>
      <c r="L37" s="25">
        <v>44788</v>
      </c>
      <c r="M37" s="25" t="s">
        <v>496</v>
      </c>
      <c r="N37" s="165" t="s">
        <v>521</v>
      </c>
    </row>
    <row r="38" spans="1:15" x14ac:dyDescent="0.3">
      <c r="A38" s="1">
        <v>37</v>
      </c>
      <c r="B38" s="25" t="s">
        <v>749</v>
      </c>
      <c r="C38" s="346" t="s">
        <v>741</v>
      </c>
      <c r="D38" s="346"/>
      <c r="E38" s="346"/>
      <c r="F38" s="25" t="s">
        <v>742</v>
      </c>
      <c r="G38" s="25" t="s">
        <v>412</v>
      </c>
      <c r="H38" s="25" t="s">
        <v>412</v>
      </c>
      <c r="I38" s="25" t="s">
        <v>457</v>
      </c>
      <c r="J38" s="25" t="s">
        <v>467</v>
      </c>
      <c r="K38" s="25" t="s">
        <v>488</v>
      </c>
      <c r="L38" s="25">
        <v>45061</v>
      </c>
      <c r="M38" s="25" t="s">
        <v>496</v>
      </c>
      <c r="N38" s="165" t="s">
        <v>521</v>
      </c>
    </row>
    <row r="39" spans="1:15" x14ac:dyDescent="0.3">
      <c r="A39" s="1">
        <v>38</v>
      </c>
      <c r="B39" s="25" t="s">
        <v>761</v>
      </c>
      <c r="C39" s="346" t="s">
        <v>760</v>
      </c>
      <c r="D39" s="346"/>
      <c r="E39" s="346"/>
      <c r="F39" s="25" t="s">
        <v>754</v>
      </c>
      <c r="G39" s="25" t="s">
        <v>412</v>
      </c>
      <c r="H39" s="25" t="s">
        <v>412</v>
      </c>
      <c r="I39" s="25" t="s">
        <v>457</v>
      </c>
      <c r="J39" s="25" t="s">
        <v>7</v>
      </c>
      <c r="K39" s="25" t="s">
        <v>488</v>
      </c>
      <c r="L39" s="25">
        <v>45519</v>
      </c>
      <c r="M39" s="203" t="s">
        <v>497</v>
      </c>
      <c r="N39" s="203" t="s">
        <v>521</v>
      </c>
    </row>
    <row r="40" spans="1:15" x14ac:dyDescent="0.3">
      <c r="A40" s="1">
        <v>39</v>
      </c>
      <c r="B40" s="210" t="s">
        <v>1024</v>
      </c>
      <c r="C40" s="346" t="s">
        <v>1021</v>
      </c>
      <c r="D40" s="346"/>
      <c r="E40" s="346"/>
      <c r="F40" s="210" t="s">
        <v>1022</v>
      </c>
      <c r="G40" s="210" t="s">
        <v>1023</v>
      </c>
      <c r="H40" s="210" t="s">
        <v>1023</v>
      </c>
      <c r="I40" s="210" t="s">
        <v>457</v>
      </c>
      <c r="J40" s="210" t="s">
        <v>830</v>
      </c>
      <c r="K40" s="210" t="s">
        <v>488</v>
      </c>
      <c r="L40" s="210" t="s">
        <v>830</v>
      </c>
      <c r="M40" s="210" t="s">
        <v>497</v>
      </c>
      <c r="N40" s="210" t="s">
        <v>521</v>
      </c>
      <c r="O40" s="203"/>
    </row>
    <row r="41" spans="1:15" x14ac:dyDescent="0.3">
      <c r="A41" s="1">
        <v>40</v>
      </c>
      <c r="B41" s="203" t="s">
        <v>996</v>
      </c>
      <c r="C41" s="346" t="s">
        <v>994</v>
      </c>
      <c r="D41" s="346"/>
      <c r="E41" s="346"/>
      <c r="F41" s="203" t="s">
        <v>995</v>
      </c>
      <c r="G41" s="203" t="s">
        <v>412</v>
      </c>
      <c r="H41" s="203" t="s">
        <v>412</v>
      </c>
      <c r="I41" s="203" t="s">
        <v>457</v>
      </c>
      <c r="J41" s="203" t="s">
        <v>471</v>
      </c>
      <c r="K41" s="203" t="s">
        <v>488</v>
      </c>
      <c r="L41" s="203" t="s">
        <v>489</v>
      </c>
      <c r="M41" s="203" t="s">
        <v>497</v>
      </c>
      <c r="N41" s="203" t="s">
        <v>521</v>
      </c>
    </row>
    <row r="42" spans="1:15" x14ac:dyDescent="0.3">
      <c r="A42" s="1">
        <v>41</v>
      </c>
      <c r="B42" s="25" t="s">
        <v>199</v>
      </c>
      <c r="C42" s="346" t="s">
        <v>93</v>
      </c>
      <c r="D42" s="346"/>
      <c r="E42" s="346"/>
      <c r="F42" s="25" t="s">
        <v>312</v>
      </c>
      <c r="G42" s="25" t="s">
        <v>413</v>
      </c>
      <c r="H42" s="25" t="s">
        <v>435</v>
      </c>
      <c r="I42" s="25" t="s">
        <v>458</v>
      </c>
      <c r="J42" s="25" t="s">
        <v>476</v>
      </c>
      <c r="K42" s="25" t="s">
        <v>488</v>
      </c>
      <c r="L42" s="25" t="s">
        <v>489</v>
      </c>
      <c r="M42" s="25" t="s">
        <v>501</v>
      </c>
      <c r="N42" s="165" t="s">
        <v>530</v>
      </c>
    </row>
    <row r="43" spans="1:15" x14ac:dyDescent="0.3">
      <c r="A43" s="1">
        <v>42</v>
      </c>
      <c r="B43" s="25" t="s">
        <v>200</v>
      </c>
      <c r="C43" s="346" t="s">
        <v>94</v>
      </c>
      <c r="D43" s="346"/>
      <c r="E43" s="346"/>
      <c r="F43" s="25" t="s">
        <v>313</v>
      </c>
      <c r="G43" s="25" t="s">
        <v>414</v>
      </c>
      <c r="H43" s="25" t="s">
        <v>436</v>
      </c>
      <c r="I43" s="25" t="s">
        <v>415</v>
      </c>
      <c r="J43" s="25" t="s">
        <v>470</v>
      </c>
      <c r="K43" s="25" t="s">
        <v>488</v>
      </c>
      <c r="L43" s="25" t="s">
        <v>489</v>
      </c>
      <c r="M43" s="25" t="s">
        <v>501</v>
      </c>
      <c r="N43" s="165" t="s">
        <v>518</v>
      </c>
    </row>
    <row r="44" spans="1:15" x14ac:dyDescent="0.3">
      <c r="A44" s="1">
        <v>43</v>
      </c>
      <c r="B44" s="25" t="s">
        <v>201</v>
      </c>
      <c r="C44" s="346" t="s">
        <v>95</v>
      </c>
      <c r="D44" s="346"/>
      <c r="E44" s="346"/>
      <c r="F44" s="25" t="s">
        <v>314</v>
      </c>
      <c r="G44" s="25" t="s">
        <v>415</v>
      </c>
      <c r="H44" s="25" t="s">
        <v>437</v>
      </c>
      <c r="I44" s="25" t="s">
        <v>415</v>
      </c>
      <c r="J44" s="25" t="s">
        <v>477</v>
      </c>
      <c r="K44" s="25" t="s">
        <v>488</v>
      </c>
      <c r="L44" s="25" t="s">
        <v>489</v>
      </c>
      <c r="M44" s="25" t="s">
        <v>496</v>
      </c>
      <c r="N44" s="165" t="s">
        <v>518</v>
      </c>
    </row>
    <row r="45" spans="1:15" s="165" customFormat="1" x14ac:dyDescent="0.3">
      <c r="A45" s="1">
        <v>44</v>
      </c>
      <c r="B45" s="25" t="s">
        <v>790</v>
      </c>
      <c r="C45" s="346" t="s">
        <v>779</v>
      </c>
      <c r="D45" s="346"/>
      <c r="E45" s="346"/>
      <c r="F45" s="25" t="s">
        <v>780</v>
      </c>
      <c r="G45" s="25" t="s">
        <v>437</v>
      </c>
      <c r="H45" s="25" t="s">
        <v>437</v>
      </c>
      <c r="I45" s="25" t="s">
        <v>415</v>
      </c>
      <c r="J45" s="25" t="s">
        <v>471</v>
      </c>
      <c r="K45" s="25" t="s">
        <v>488</v>
      </c>
      <c r="L45" s="25" t="s">
        <v>489</v>
      </c>
      <c r="M45" s="25" t="s">
        <v>498</v>
      </c>
      <c r="N45" s="165" t="s">
        <v>518</v>
      </c>
      <c r="O45"/>
    </row>
    <row r="46" spans="1:15" x14ac:dyDescent="0.3">
      <c r="A46" s="1">
        <v>45</v>
      </c>
      <c r="B46" s="25" t="s">
        <v>202</v>
      </c>
      <c r="C46" s="346" t="s">
        <v>710</v>
      </c>
      <c r="D46" s="346"/>
      <c r="E46" s="346"/>
      <c r="F46" s="25" t="s">
        <v>315</v>
      </c>
      <c r="G46" s="25" t="s">
        <v>415</v>
      </c>
      <c r="H46" s="25" t="s">
        <v>437</v>
      </c>
      <c r="I46" s="25" t="s">
        <v>415</v>
      </c>
      <c r="J46" s="25" t="s">
        <v>471</v>
      </c>
      <c r="K46" s="25" t="s">
        <v>488</v>
      </c>
      <c r="L46" s="25" t="s">
        <v>489</v>
      </c>
      <c r="M46" s="25" t="s">
        <v>495</v>
      </c>
      <c r="N46" s="165" t="s">
        <v>518</v>
      </c>
      <c r="O46" s="165"/>
    </row>
    <row r="47" spans="1:15" x14ac:dyDescent="0.3">
      <c r="A47" s="1">
        <v>46</v>
      </c>
      <c r="B47" s="165" t="s">
        <v>919</v>
      </c>
      <c r="C47" s="346" t="s">
        <v>934</v>
      </c>
      <c r="D47" s="346"/>
      <c r="E47" s="346"/>
      <c r="F47" s="165" t="s">
        <v>918</v>
      </c>
      <c r="G47" s="165" t="s">
        <v>415</v>
      </c>
      <c r="H47" s="165" t="s">
        <v>437</v>
      </c>
      <c r="I47" s="165" t="s">
        <v>415</v>
      </c>
      <c r="J47" s="165" t="s">
        <v>471</v>
      </c>
      <c r="K47" s="165" t="s">
        <v>488</v>
      </c>
      <c r="L47" s="165" t="s">
        <v>489</v>
      </c>
      <c r="M47" s="165" t="s">
        <v>496</v>
      </c>
      <c r="N47" s="165" t="s">
        <v>518</v>
      </c>
    </row>
    <row r="48" spans="1:15" x14ac:dyDescent="0.3">
      <c r="A48" s="1">
        <v>47</v>
      </c>
      <c r="B48" s="25" t="s">
        <v>203</v>
      </c>
      <c r="C48" s="346" t="s">
        <v>737</v>
      </c>
      <c r="D48" s="346"/>
      <c r="E48" s="346"/>
      <c r="F48" s="25" t="s">
        <v>316</v>
      </c>
      <c r="G48" s="25" t="s">
        <v>415</v>
      </c>
      <c r="H48" s="25" t="s">
        <v>437</v>
      </c>
      <c r="I48" s="25" t="s">
        <v>415</v>
      </c>
      <c r="J48" s="25" t="s">
        <v>471</v>
      </c>
      <c r="K48" s="25" t="s">
        <v>488</v>
      </c>
      <c r="L48" s="25" t="s">
        <v>489</v>
      </c>
      <c r="M48" s="25" t="s">
        <v>495</v>
      </c>
      <c r="N48" s="165" t="s">
        <v>518</v>
      </c>
    </row>
    <row r="49" spans="1:15" x14ac:dyDescent="0.3">
      <c r="A49" s="1">
        <v>48</v>
      </c>
      <c r="B49" s="25" t="s">
        <v>204</v>
      </c>
      <c r="C49" s="346" t="s">
        <v>738</v>
      </c>
      <c r="D49" s="346"/>
      <c r="E49" s="346"/>
      <c r="F49" s="25" t="s">
        <v>317</v>
      </c>
      <c r="G49" s="25" t="s">
        <v>415</v>
      </c>
      <c r="H49" s="25" t="s">
        <v>437</v>
      </c>
      <c r="I49" s="25" t="s">
        <v>415</v>
      </c>
      <c r="J49" s="25" t="s">
        <v>471</v>
      </c>
      <c r="K49" s="25" t="s">
        <v>488</v>
      </c>
      <c r="L49" s="25" t="s">
        <v>489</v>
      </c>
      <c r="M49" s="25" t="s">
        <v>497</v>
      </c>
      <c r="N49" s="165" t="s">
        <v>518</v>
      </c>
    </row>
    <row r="50" spans="1:15" x14ac:dyDescent="0.3">
      <c r="A50" s="1">
        <v>49</v>
      </c>
      <c r="B50" s="25" t="s">
        <v>205</v>
      </c>
      <c r="C50" s="346" t="s">
        <v>739</v>
      </c>
      <c r="D50" s="346"/>
      <c r="E50" s="346"/>
      <c r="F50" s="25" t="s">
        <v>318</v>
      </c>
      <c r="G50" s="25" t="s">
        <v>415</v>
      </c>
      <c r="H50" s="25" t="s">
        <v>437</v>
      </c>
      <c r="I50" s="25" t="s">
        <v>415</v>
      </c>
      <c r="J50" s="25" t="s">
        <v>471</v>
      </c>
      <c r="K50" s="25" t="s">
        <v>488</v>
      </c>
      <c r="L50" s="25" t="s">
        <v>489</v>
      </c>
      <c r="M50" s="25" t="s">
        <v>495</v>
      </c>
      <c r="N50" s="165" t="s">
        <v>518</v>
      </c>
    </row>
    <row r="51" spans="1:15" x14ac:dyDescent="0.3">
      <c r="A51" s="1">
        <v>50</v>
      </c>
      <c r="B51" s="25" t="s">
        <v>206</v>
      </c>
      <c r="C51" s="346" t="s">
        <v>96</v>
      </c>
      <c r="D51" s="346"/>
      <c r="E51" s="346"/>
      <c r="F51" s="25" t="s">
        <v>319</v>
      </c>
      <c r="G51" s="25" t="s">
        <v>415</v>
      </c>
      <c r="H51" s="25" t="s">
        <v>437</v>
      </c>
      <c r="I51" s="25" t="s">
        <v>415</v>
      </c>
      <c r="J51" s="25" t="s">
        <v>471</v>
      </c>
      <c r="K51" s="25" t="s">
        <v>488</v>
      </c>
      <c r="L51" s="25" t="s">
        <v>489</v>
      </c>
      <c r="M51" s="25" t="s">
        <v>495</v>
      </c>
      <c r="N51" s="165" t="s">
        <v>518</v>
      </c>
    </row>
    <row r="52" spans="1:15" x14ac:dyDescent="0.3">
      <c r="A52" s="1">
        <v>51</v>
      </c>
      <c r="B52" s="25" t="s">
        <v>207</v>
      </c>
      <c r="C52" s="346" t="s">
        <v>97</v>
      </c>
      <c r="D52" s="346"/>
      <c r="E52" s="346"/>
      <c r="F52" s="25" t="s">
        <v>320</v>
      </c>
      <c r="G52" s="25" t="s">
        <v>415</v>
      </c>
      <c r="H52" s="25" t="s">
        <v>437</v>
      </c>
      <c r="I52" s="25" t="s">
        <v>415</v>
      </c>
      <c r="J52" s="25" t="s">
        <v>471</v>
      </c>
      <c r="K52" s="25" t="s">
        <v>488</v>
      </c>
      <c r="L52" s="25" t="s">
        <v>489</v>
      </c>
      <c r="M52" s="25" t="s">
        <v>497</v>
      </c>
      <c r="N52" s="165" t="s">
        <v>518</v>
      </c>
    </row>
    <row r="53" spans="1:15" x14ac:dyDescent="0.3">
      <c r="A53" s="1">
        <v>52</v>
      </c>
      <c r="B53" s="25" t="s">
        <v>208</v>
      </c>
      <c r="C53" s="346" t="s">
        <v>98</v>
      </c>
      <c r="D53" s="346"/>
      <c r="E53" s="346"/>
      <c r="F53" s="25" t="s">
        <v>321</v>
      </c>
      <c r="G53" s="25" t="s">
        <v>415</v>
      </c>
      <c r="H53" s="25" t="s">
        <v>437</v>
      </c>
      <c r="I53" s="25" t="s">
        <v>415</v>
      </c>
      <c r="J53" s="25" t="s">
        <v>471</v>
      </c>
      <c r="K53" s="25" t="s">
        <v>488</v>
      </c>
      <c r="L53" s="25" t="s">
        <v>489</v>
      </c>
      <c r="M53" s="25" t="s">
        <v>496</v>
      </c>
      <c r="N53" s="165" t="s">
        <v>518</v>
      </c>
    </row>
    <row r="54" spans="1:15" x14ac:dyDescent="0.3">
      <c r="A54" s="1">
        <v>53</v>
      </c>
      <c r="B54" s="25" t="s">
        <v>209</v>
      </c>
      <c r="C54" s="346" t="s">
        <v>99</v>
      </c>
      <c r="D54" s="346"/>
      <c r="E54" s="346"/>
      <c r="F54" s="25" t="s">
        <v>322</v>
      </c>
      <c r="G54" s="25" t="s">
        <v>415</v>
      </c>
      <c r="H54" s="25" t="s">
        <v>437</v>
      </c>
      <c r="I54" s="25" t="s">
        <v>415</v>
      </c>
      <c r="J54" s="25" t="s">
        <v>469</v>
      </c>
      <c r="K54" s="25" t="s">
        <v>488</v>
      </c>
      <c r="L54" s="25" t="s">
        <v>489</v>
      </c>
      <c r="M54" s="25" t="s">
        <v>502</v>
      </c>
      <c r="N54" s="165" t="s">
        <v>518</v>
      </c>
    </row>
    <row r="55" spans="1:15" x14ac:dyDescent="0.3">
      <c r="A55" s="1">
        <v>54</v>
      </c>
      <c r="B55" s="25" t="s">
        <v>210</v>
      </c>
      <c r="C55" s="346" t="s">
        <v>100</v>
      </c>
      <c r="D55" s="346"/>
      <c r="E55" s="346"/>
      <c r="F55" s="25" t="s">
        <v>323</v>
      </c>
      <c r="G55" s="25" t="s">
        <v>415</v>
      </c>
      <c r="H55" s="25" t="s">
        <v>437</v>
      </c>
      <c r="I55" s="25" t="s">
        <v>415</v>
      </c>
      <c r="J55" s="25" t="s">
        <v>477</v>
      </c>
      <c r="K55" s="25" t="s">
        <v>488</v>
      </c>
      <c r="L55" s="25" t="s">
        <v>489</v>
      </c>
      <c r="M55" s="25" t="s">
        <v>496</v>
      </c>
      <c r="N55" s="165" t="s">
        <v>518</v>
      </c>
    </row>
    <row r="56" spans="1:15" x14ac:dyDescent="0.3">
      <c r="A56" s="1">
        <v>55</v>
      </c>
      <c r="B56" s="25" t="s">
        <v>211</v>
      </c>
      <c r="C56" s="346" t="s">
        <v>101</v>
      </c>
      <c r="D56" s="346"/>
      <c r="E56" s="346"/>
      <c r="F56" s="25" t="s">
        <v>324</v>
      </c>
      <c r="G56" s="165" t="s">
        <v>415</v>
      </c>
      <c r="H56" s="25" t="s">
        <v>437</v>
      </c>
      <c r="I56" s="25" t="s">
        <v>415</v>
      </c>
      <c r="J56" s="25" t="s">
        <v>477</v>
      </c>
      <c r="K56" s="25" t="s">
        <v>488</v>
      </c>
      <c r="L56" s="25" t="s">
        <v>489</v>
      </c>
      <c r="M56" s="25" t="s">
        <v>496</v>
      </c>
      <c r="N56" s="165" t="s">
        <v>518</v>
      </c>
    </row>
    <row r="57" spans="1:15" x14ac:dyDescent="0.3">
      <c r="A57" s="1">
        <v>56</v>
      </c>
      <c r="B57" s="25" t="s">
        <v>923</v>
      </c>
      <c r="C57" s="346" t="s">
        <v>921</v>
      </c>
      <c r="D57" s="346"/>
      <c r="E57" s="346"/>
      <c r="F57" s="25" t="s">
        <v>922</v>
      </c>
      <c r="G57" s="25" t="s">
        <v>450</v>
      </c>
      <c r="H57" s="25" t="s">
        <v>450</v>
      </c>
      <c r="I57" s="25" t="s">
        <v>450</v>
      </c>
      <c r="J57" s="25" t="s">
        <v>470</v>
      </c>
      <c r="K57" s="25" t="s">
        <v>488</v>
      </c>
      <c r="L57" s="25" t="s">
        <v>489</v>
      </c>
      <c r="M57" s="25" t="s">
        <v>496</v>
      </c>
      <c r="N57" s="165" t="s">
        <v>926</v>
      </c>
    </row>
    <row r="58" spans="1:15" x14ac:dyDescent="0.3">
      <c r="A58" s="1">
        <v>57</v>
      </c>
      <c r="B58" s="25" t="s">
        <v>212</v>
      </c>
      <c r="C58" s="346" t="s">
        <v>102</v>
      </c>
      <c r="D58" s="346"/>
      <c r="E58" s="346"/>
      <c r="F58" s="25" t="s">
        <v>325</v>
      </c>
      <c r="G58" s="25" t="s">
        <v>416</v>
      </c>
      <c r="H58" s="25" t="s">
        <v>438</v>
      </c>
      <c r="I58" s="25" t="s">
        <v>459</v>
      </c>
      <c r="J58" s="25" t="s">
        <v>470</v>
      </c>
      <c r="K58" s="25" t="s">
        <v>488</v>
      </c>
      <c r="L58" s="25" t="s">
        <v>489</v>
      </c>
      <c r="M58" s="25" t="s">
        <v>497</v>
      </c>
      <c r="N58" s="165" t="s">
        <v>519</v>
      </c>
    </row>
    <row r="59" spans="1:15" x14ac:dyDescent="0.3">
      <c r="A59" s="1">
        <v>58</v>
      </c>
      <c r="B59" s="25" t="s">
        <v>213</v>
      </c>
      <c r="C59" s="346" t="s">
        <v>103</v>
      </c>
      <c r="D59" s="346"/>
      <c r="E59" s="346"/>
      <c r="F59" s="25" t="s">
        <v>326</v>
      </c>
      <c r="G59" s="25" t="s">
        <v>417</v>
      </c>
      <c r="H59" s="25" t="s">
        <v>417</v>
      </c>
      <c r="I59" s="25" t="s">
        <v>417</v>
      </c>
      <c r="J59" s="25" t="s">
        <v>470</v>
      </c>
      <c r="K59" s="25" t="s">
        <v>488</v>
      </c>
      <c r="L59" s="25" t="s">
        <v>489</v>
      </c>
      <c r="M59" s="25" t="s">
        <v>496</v>
      </c>
      <c r="N59" s="165" t="s">
        <v>528</v>
      </c>
    </row>
    <row r="60" spans="1:15" x14ac:dyDescent="0.3">
      <c r="A60" s="1">
        <v>59</v>
      </c>
      <c r="B60" s="25" t="s">
        <v>795</v>
      </c>
      <c r="C60" s="346" t="s">
        <v>781</v>
      </c>
      <c r="D60" s="346"/>
      <c r="E60" s="346"/>
      <c r="F60" s="25" t="s">
        <v>782</v>
      </c>
      <c r="G60" s="25" t="s">
        <v>417</v>
      </c>
      <c r="H60" s="25" t="s">
        <v>417</v>
      </c>
      <c r="I60" s="25" t="s">
        <v>417</v>
      </c>
      <c r="J60" s="25" t="s">
        <v>716</v>
      </c>
      <c r="K60" s="25" t="s">
        <v>488</v>
      </c>
      <c r="L60" s="25" t="s">
        <v>489</v>
      </c>
      <c r="M60" s="25" t="s">
        <v>496</v>
      </c>
      <c r="N60" s="165" t="s">
        <v>528</v>
      </c>
      <c r="O60" s="207"/>
    </row>
    <row r="61" spans="1:15" x14ac:dyDescent="0.3">
      <c r="A61" s="1">
        <v>60</v>
      </c>
      <c r="B61" s="207" t="s">
        <v>1014</v>
      </c>
      <c r="C61" s="346" t="s">
        <v>1001</v>
      </c>
      <c r="D61" s="346"/>
      <c r="E61" s="346"/>
      <c r="F61" s="207" t="s">
        <v>1002</v>
      </c>
      <c r="G61" s="207" t="s">
        <v>417</v>
      </c>
      <c r="H61" s="207" t="s">
        <v>417</v>
      </c>
      <c r="I61" s="207" t="s">
        <v>417</v>
      </c>
      <c r="J61" s="207" t="s">
        <v>471</v>
      </c>
      <c r="K61" s="207" t="s">
        <v>488</v>
      </c>
      <c r="L61" s="207" t="s">
        <v>489</v>
      </c>
      <c r="M61" s="207" t="s">
        <v>497</v>
      </c>
      <c r="N61" s="207" t="s">
        <v>528</v>
      </c>
      <c r="O61" s="207"/>
    </row>
    <row r="62" spans="1:15" x14ac:dyDescent="0.3">
      <c r="A62" s="1">
        <v>61</v>
      </c>
      <c r="B62" s="207" t="s">
        <v>1016</v>
      </c>
      <c r="C62" s="346" t="s">
        <v>1017</v>
      </c>
      <c r="D62" s="346"/>
      <c r="E62" s="346"/>
      <c r="F62" s="207" t="s">
        <v>1015</v>
      </c>
      <c r="G62" s="207" t="s">
        <v>1006</v>
      </c>
      <c r="H62" s="207" t="s">
        <v>1006</v>
      </c>
      <c r="I62" s="207" t="s">
        <v>417</v>
      </c>
      <c r="J62" s="207" t="s">
        <v>471</v>
      </c>
      <c r="K62" s="207" t="s">
        <v>488</v>
      </c>
      <c r="L62" s="207" t="s">
        <v>489</v>
      </c>
      <c r="M62" s="207" t="s">
        <v>497</v>
      </c>
      <c r="N62" s="207" t="s">
        <v>528</v>
      </c>
    </row>
    <row r="63" spans="1:15" x14ac:dyDescent="0.3">
      <c r="A63" s="1">
        <v>62</v>
      </c>
      <c r="B63" s="212" t="s">
        <v>1027</v>
      </c>
      <c r="C63" s="346" t="s">
        <v>1025</v>
      </c>
      <c r="D63" s="346"/>
      <c r="E63" s="346"/>
      <c r="F63" s="212" t="s">
        <v>1026</v>
      </c>
      <c r="G63" s="212" t="s">
        <v>1006</v>
      </c>
      <c r="H63" s="212" t="s">
        <v>1006</v>
      </c>
      <c r="I63" s="212" t="s">
        <v>417</v>
      </c>
      <c r="J63" s="212" t="s">
        <v>471</v>
      </c>
      <c r="K63" s="212" t="s">
        <v>488</v>
      </c>
      <c r="L63" s="212" t="s">
        <v>489</v>
      </c>
      <c r="M63" s="212" t="s">
        <v>497</v>
      </c>
      <c r="N63" s="212" t="s">
        <v>528</v>
      </c>
      <c r="O63" s="207"/>
    </row>
    <row r="64" spans="1:15" x14ac:dyDescent="0.3">
      <c r="A64" s="1">
        <v>63</v>
      </c>
      <c r="B64" s="212" t="s">
        <v>1050</v>
      </c>
      <c r="C64" s="346" t="s">
        <v>1048</v>
      </c>
      <c r="D64" s="346"/>
      <c r="E64" s="346"/>
      <c r="F64" s="206" t="s">
        <v>1049</v>
      </c>
      <c r="G64" s="206" t="s">
        <v>1006</v>
      </c>
      <c r="H64" s="206" t="s">
        <v>1006</v>
      </c>
      <c r="I64" s="206" t="s">
        <v>417</v>
      </c>
      <c r="J64" s="206" t="s">
        <v>471</v>
      </c>
      <c r="K64" s="206" t="s">
        <v>488</v>
      </c>
      <c r="L64" s="206" t="s">
        <v>489</v>
      </c>
      <c r="M64" s="206" t="s">
        <v>497</v>
      </c>
      <c r="N64" s="206" t="s">
        <v>528</v>
      </c>
    </row>
    <row r="65" spans="1:14" x14ac:dyDescent="0.3">
      <c r="A65" s="1">
        <v>64</v>
      </c>
      <c r="B65" s="212" t="s">
        <v>1051</v>
      </c>
      <c r="C65" s="346" t="s">
        <v>1046</v>
      </c>
      <c r="D65" s="346"/>
      <c r="E65" s="346"/>
      <c r="F65" s="206" t="s">
        <v>1047</v>
      </c>
      <c r="G65" s="206" t="s">
        <v>1006</v>
      </c>
      <c r="H65" s="206" t="s">
        <v>1006</v>
      </c>
      <c r="I65" s="206" t="s">
        <v>417</v>
      </c>
      <c r="J65" s="206" t="s">
        <v>471</v>
      </c>
      <c r="K65" s="206" t="s">
        <v>488</v>
      </c>
      <c r="L65" s="206" t="s">
        <v>489</v>
      </c>
      <c r="M65" s="206" t="s">
        <v>497</v>
      </c>
      <c r="N65" s="206" t="s">
        <v>528</v>
      </c>
    </row>
    <row r="66" spans="1:14" x14ac:dyDescent="0.3">
      <c r="A66" s="1">
        <v>65</v>
      </c>
      <c r="B66" s="25" t="s">
        <v>750</v>
      </c>
      <c r="C66" s="346" t="s">
        <v>743</v>
      </c>
      <c r="D66" s="346"/>
      <c r="E66" s="346"/>
      <c r="F66" s="25" t="s">
        <v>744</v>
      </c>
      <c r="G66" s="25" t="s">
        <v>417</v>
      </c>
      <c r="H66" s="25" t="s">
        <v>417</v>
      </c>
      <c r="I66" s="25" t="s">
        <v>417</v>
      </c>
      <c r="J66" s="25" t="s">
        <v>716</v>
      </c>
      <c r="K66" s="25" t="s">
        <v>488</v>
      </c>
      <c r="L66" s="25">
        <v>43328</v>
      </c>
      <c r="M66" s="25" t="s">
        <v>496</v>
      </c>
      <c r="N66" s="165" t="s">
        <v>528</v>
      </c>
    </row>
    <row r="67" spans="1:14" x14ac:dyDescent="0.3">
      <c r="A67" s="1">
        <v>66</v>
      </c>
      <c r="B67" s="207" t="s">
        <v>1013</v>
      </c>
      <c r="C67" s="346" t="s">
        <v>1011</v>
      </c>
      <c r="D67" s="346"/>
      <c r="E67" s="346"/>
      <c r="F67" s="207" t="s">
        <v>1012</v>
      </c>
      <c r="G67" s="207" t="s">
        <v>417</v>
      </c>
      <c r="H67" s="207" t="s">
        <v>417</v>
      </c>
      <c r="I67" s="207" t="s">
        <v>417</v>
      </c>
      <c r="J67" s="207" t="s">
        <v>470</v>
      </c>
      <c r="K67" s="207" t="s">
        <v>488</v>
      </c>
      <c r="L67" s="207" t="s">
        <v>489</v>
      </c>
      <c r="M67" s="207" t="s">
        <v>497</v>
      </c>
      <c r="N67" s="207" t="s">
        <v>528</v>
      </c>
    </row>
    <row r="68" spans="1:14" x14ac:dyDescent="0.3">
      <c r="A68" s="1">
        <v>67</v>
      </c>
      <c r="B68" s="25" t="s">
        <v>759</v>
      </c>
      <c r="C68" s="346" t="s">
        <v>768</v>
      </c>
      <c r="D68" s="346"/>
      <c r="E68" s="346"/>
      <c r="F68" s="25" t="s">
        <v>758</v>
      </c>
      <c r="G68" s="25" t="s">
        <v>417</v>
      </c>
      <c r="H68" s="25" t="s">
        <v>417</v>
      </c>
      <c r="I68" s="25" t="s">
        <v>417</v>
      </c>
      <c r="J68" s="25" t="s">
        <v>716</v>
      </c>
      <c r="K68" s="25" t="s">
        <v>488</v>
      </c>
      <c r="L68" s="25">
        <v>44060</v>
      </c>
      <c r="M68" s="25" t="s">
        <v>496</v>
      </c>
      <c r="N68" s="165" t="s">
        <v>528</v>
      </c>
    </row>
    <row r="69" spans="1:14" x14ac:dyDescent="0.3">
      <c r="A69" s="1">
        <v>68</v>
      </c>
      <c r="B69" s="25" t="s">
        <v>717</v>
      </c>
      <c r="C69" s="346" t="s">
        <v>753</v>
      </c>
      <c r="D69" s="346"/>
      <c r="E69" s="346"/>
      <c r="F69" s="25" t="s">
        <v>715</v>
      </c>
      <c r="G69" s="25" t="s">
        <v>417</v>
      </c>
      <c r="H69" s="25" t="s">
        <v>417</v>
      </c>
      <c r="I69" s="25" t="s">
        <v>417</v>
      </c>
      <c r="J69" s="25" t="s">
        <v>716</v>
      </c>
      <c r="K69" s="25" t="s">
        <v>488</v>
      </c>
      <c r="L69" s="25">
        <v>44789</v>
      </c>
      <c r="M69" s="25" t="s">
        <v>496</v>
      </c>
      <c r="N69" s="165" t="s">
        <v>528</v>
      </c>
    </row>
    <row r="70" spans="1:14" x14ac:dyDescent="0.3">
      <c r="A70" s="1">
        <v>69</v>
      </c>
      <c r="B70" s="25" t="s">
        <v>752</v>
      </c>
      <c r="C70" s="346" t="s">
        <v>745</v>
      </c>
      <c r="D70" s="346"/>
      <c r="E70" s="346"/>
      <c r="F70" s="25" t="s">
        <v>746</v>
      </c>
      <c r="G70" s="25" t="s">
        <v>417</v>
      </c>
      <c r="H70" s="25" t="s">
        <v>417</v>
      </c>
      <c r="I70" s="25" t="s">
        <v>417</v>
      </c>
      <c r="J70" s="25" t="s">
        <v>716</v>
      </c>
      <c r="K70" s="25" t="s">
        <v>488</v>
      </c>
      <c r="L70" s="25">
        <v>45519</v>
      </c>
      <c r="M70" s="25" t="s">
        <v>496</v>
      </c>
      <c r="N70" s="165" t="s">
        <v>528</v>
      </c>
    </row>
    <row r="71" spans="1:14" x14ac:dyDescent="0.3">
      <c r="A71" s="1">
        <v>70</v>
      </c>
      <c r="B71" s="209" t="s">
        <v>1019</v>
      </c>
      <c r="C71" s="346" t="s">
        <v>1020</v>
      </c>
      <c r="D71" s="346"/>
      <c r="E71" s="346"/>
      <c r="F71" s="209" t="s">
        <v>1018</v>
      </c>
      <c r="G71" s="209" t="s">
        <v>417</v>
      </c>
      <c r="H71" s="209" t="s">
        <v>417</v>
      </c>
      <c r="I71" s="209" t="s">
        <v>417</v>
      </c>
      <c r="J71" s="209" t="s">
        <v>471</v>
      </c>
      <c r="K71" s="209" t="s">
        <v>488</v>
      </c>
      <c r="L71" s="209" t="s">
        <v>489</v>
      </c>
      <c r="M71" s="209" t="s">
        <v>496</v>
      </c>
      <c r="N71" s="209" t="s">
        <v>528</v>
      </c>
    </row>
    <row r="72" spans="1:14" x14ac:dyDescent="0.3">
      <c r="A72" s="1">
        <v>71</v>
      </c>
      <c r="B72" s="25" t="s">
        <v>764</v>
      </c>
      <c r="C72" s="346" t="s">
        <v>762</v>
      </c>
      <c r="D72" s="346"/>
      <c r="E72" s="346"/>
      <c r="F72" s="25" t="s">
        <v>763</v>
      </c>
      <c r="G72" s="25" t="s">
        <v>417</v>
      </c>
      <c r="H72" s="25" t="s">
        <v>417</v>
      </c>
      <c r="I72" s="25" t="s">
        <v>417</v>
      </c>
      <c r="J72" s="25" t="s">
        <v>716</v>
      </c>
      <c r="K72" s="25" t="s">
        <v>488</v>
      </c>
      <c r="L72" s="25">
        <v>47710</v>
      </c>
      <c r="M72" s="25" t="s">
        <v>496</v>
      </c>
      <c r="N72" s="165" t="s">
        <v>528</v>
      </c>
    </row>
    <row r="73" spans="1:14" x14ac:dyDescent="0.3">
      <c r="A73" s="1">
        <v>72</v>
      </c>
      <c r="B73" s="25" t="s">
        <v>214</v>
      </c>
      <c r="C73" s="346" t="s">
        <v>104</v>
      </c>
      <c r="D73" s="346"/>
      <c r="E73" s="346"/>
      <c r="F73" s="25" t="s">
        <v>327</v>
      </c>
      <c r="G73" s="25" t="s">
        <v>417</v>
      </c>
      <c r="H73" s="25" t="s">
        <v>417</v>
      </c>
      <c r="I73" s="25" t="s">
        <v>417</v>
      </c>
      <c r="J73" s="25" t="s">
        <v>470</v>
      </c>
      <c r="K73" s="25" t="s">
        <v>488</v>
      </c>
      <c r="L73" s="25" t="s">
        <v>489</v>
      </c>
      <c r="M73" s="25" t="s">
        <v>496</v>
      </c>
      <c r="N73" s="165" t="s">
        <v>528</v>
      </c>
    </row>
    <row r="74" spans="1:14" x14ac:dyDescent="0.3">
      <c r="A74" s="1">
        <v>73</v>
      </c>
      <c r="B74" s="25" t="s">
        <v>215</v>
      </c>
      <c r="C74" s="346" t="s">
        <v>105</v>
      </c>
      <c r="D74" s="346"/>
      <c r="E74" s="346"/>
      <c r="F74" s="25" t="s">
        <v>328</v>
      </c>
      <c r="G74" s="25" t="s">
        <v>417</v>
      </c>
      <c r="H74" s="25" t="s">
        <v>417</v>
      </c>
      <c r="I74" s="25" t="s">
        <v>417</v>
      </c>
      <c r="J74" s="25" t="s">
        <v>469</v>
      </c>
      <c r="K74" s="25" t="s">
        <v>488</v>
      </c>
      <c r="L74" s="25" t="s">
        <v>489</v>
      </c>
      <c r="M74" s="25" t="s">
        <v>503</v>
      </c>
      <c r="N74" s="165" t="s">
        <v>528</v>
      </c>
    </row>
    <row r="75" spans="1:14" x14ac:dyDescent="0.3">
      <c r="A75" s="1">
        <v>74</v>
      </c>
      <c r="B75" s="25" t="s">
        <v>216</v>
      </c>
      <c r="C75" s="346" t="s">
        <v>106</v>
      </c>
      <c r="D75" s="346"/>
      <c r="E75" s="346"/>
      <c r="F75" s="25" t="s">
        <v>329</v>
      </c>
      <c r="G75" s="25" t="s">
        <v>417</v>
      </c>
      <c r="H75" s="25" t="s">
        <v>417</v>
      </c>
      <c r="I75" s="25" t="s">
        <v>417</v>
      </c>
      <c r="J75" s="25" t="s">
        <v>467</v>
      </c>
      <c r="K75" s="25" t="s">
        <v>488</v>
      </c>
      <c r="L75" s="25" t="s">
        <v>489</v>
      </c>
      <c r="M75" s="25" t="s">
        <v>496</v>
      </c>
      <c r="N75" s="165" t="s">
        <v>528</v>
      </c>
    </row>
    <row r="76" spans="1:14" x14ac:dyDescent="0.3">
      <c r="A76" s="1">
        <v>75</v>
      </c>
      <c r="B76" s="25" t="s">
        <v>217</v>
      </c>
      <c r="C76" s="346" t="s">
        <v>107</v>
      </c>
      <c r="D76" s="346"/>
      <c r="E76" s="346"/>
      <c r="F76" s="25" t="s">
        <v>330</v>
      </c>
      <c r="G76" s="25" t="s">
        <v>417</v>
      </c>
      <c r="H76" s="25" t="s">
        <v>417</v>
      </c>
      <c r="I76" s="25" t="s">
        <v>417</v>
      </c>
      <c r="J76" s="25" t="s">
        <v>7</v>
      </c>
      <c r="K76" s="25" t="s">
        <v>488</v>
      </c>
      <c r="L76" s="25">
        <v>42361</v>
      </c>
      <c r="M76" s="25" t="s">
        <v>500</v>
      </c>
      <c r="N76" s="165" t="s">
        <v>528</v>
      </c>
    </row>
    <row r="77" spans="1:14" x14ac:dyDescent="0.3">
      <c r="A77" s="1">
        <v>76</v>
      </c>
      <c r="B77" s="25" t="s">
        <v>218</v>
      </c>
      <c r="C77" s="346" t="s">
        <v>108</v>
      </c>
      <c r="D77" s="346"/>
      <c r="E77" s="346"/>
      <c r="F77" s="25" t="s">
        <v>331</v>
      </c>
      <c r="G77" s="25" t="s">
        <v>417</v>
      </c>
      <c r="H77" s="25" t="s">
        <v>417</v>
      </c>
      <c r="I77" s="25" t="s">
        <v>417</v>
      </c>
      <c r="J77" s="25" t="s">
        <v>469</v>
      </c>
      <c r="K77" s="25" t="s">
        <v>488</v>
      </c>
      <c r="L77" s="25" t="s">
        <v>489</v>
      </c>
      <c r="M77" s="25" t="s">
        <v>502</v>
      </c>
      <c r="N77" s="165" t="s">
        <v>528</v>
      </c>
    </row>
    <row r="78" spans="1:14" x14ac:dyDescent="0.3">
      <c r="A78" s="1">
        <v>77</v>
      </c>
      <c r="B78" s="25" t="s">
        <v>219</v>
      </c>
      <c r="C78" s="346" t="s">
        <v>109</v>
      </c>
      <c r="D78" s="346"/>
      <c r="E78" s="346"/>
      <c r="F78" s="25" t="s">
        <v>332</v>
      </c>
      <c r="G78" s="25" t="s">
        <v>417</v>
      </c>
      <c r="H78" s="25" t="s">
        <v>417</v>
      </c>
      <c r="I78" s="25" t="s">
        <v>417</v>
      </c>
      <c r="J78" s="25" t="s">
        <v>478</v>
      </c>
      <c r="K78" s="25" t="s">
        <v>488</v>
      </c>
      <c r="L78" s="25" t="s">
        <v>489</v>
      </c>
      <c r="M78" s="25" t="s">
        <v>502</v>
      </c>
      <c r="N78" s="165" t="s">
        <v>528</v>
      </c>
    </row>
    <row r="79" spans="1:14" x14ac:dyDescent="0.3">
      <c r="A79" s="1">
        <v>78</v>
      </c>
      <c r="B79" s="25" t="s">
        <v>220</v>
      </c>
      <c r="C79" s="346" t="s">
        <v>110</v>
      </c>
      <c r="D79" s="346"/>
      <c r="E79" s="346"/>
      <c r="F79" s="25" t="s">
        <v>333</v>
      </c>
      <c r="G79" s="25" t="s">
        <v>417</v>
      </c>
      <c r="H79" s="25" t="s">
        <v>417</v>
      </c>
      <c r="I79" s="25" t="s">
        <v>417</v>
      </c>
      <c r="J79" s="25" t="s">
        <v>470</v>
      </c>
      <c r="K79" s="25" t="s">
        <v>488</v>
      </c>
      <c r="L79" s="25" t="s">
        <v>489</v>
      </c>
      <c r="M79" s="25" t="s">
        <v>497</v>
      </c>
      <c r="N79" s="165" t="s">
        <v>528</v>
      </c>
    </row>
    <row r="80" spans="1:14" x14ac:dyDescent="0.3">
      <c r="A80" s="1">
        <v>79</v>
      </c>
      <c r="B80" s="25" t="s">
        <v>791</v>
      </c>
      <c r="C80" s="346" t="s">
        <v>783</v>
      </c>
      <c r="D80" s="346"/>
      <c r="E80" s="346"/>
      <c r="F80" s="25" t="s">
        <v>784</v>
      </c>
      <c r="G80" s="25" t="s">
        <v>417</v>
      </c>
      <c r="H80" s="25" t="s">
        <v>417</v>
      </c>
      <c r="I80" s="25" t="s">
        <v>417</v>
      </c>
      <c r="J80" s="25" t="s">
        <v>7</v>
      </c>
      <c r="K80" s="25" t="s">
        <v>488</v>
      </c>
      <c r="L80" s="25">
        <v>42368</v>
      </c>
      <c r="M80" s="25" t="s">
        <v>500</v>
      </c>
      <c r="N80" s="165" t="s">
        <v>528</v>
      </c>
    </row>
    <row r="81" spans="1:14" x14ac:dyDescent="0.3">
      <c r="A81" s="1">
        <v>80</v>
      </c>
      <c r="B81" s="25" t="s">
        <v>221</v>
      </c>
      <c r="C81" s="346" t="s">
        <v>111</v>
      </c>
      <c r="D81" s="346"/>
      <c r="E81" s="346"/>
      <c r="F81" s="25" t="s">
        <v>334</v>
      </c>
      <c r="G81" s="25" t="s">
        <v>417</v>
      </c>
      <c r="H81" s="25" t="s">
        <v>417</v>
      </c>
      <c r="I81" s="25" t="s">
        <v>417</v>
      </c>
      <c r="J81" s="25" t="s">
        <v>466</v>
      </c>
      <c r="K81" s="25" t="s">
        <v>488</v>
      </c>
      <c r="L81" s="25" t="s">
        <v>489</v>
      </c>
      <c r="M81" s="25" t="s">
        <v>497</v>
      </c>
      <c r="N81" s="165" t="s">
        <v>528</v>
      </c>
    </row>
    <row r="82" spans="1:14" x14ac:dyDescent="0.3">
      <c r="A82" s="1">
        <v>81</v>
      </c>
      <c r="B82" s="25" t="s">
        <v>222</v>
      </c>
      <c r="C82" s="346" t="s">
        <v>112</v>
      </c>
      <c r="D82" s="346"/>
      <c r="E82" s="346"/>
      <c r="F82" s="25" t="s">
        <v>335</v>
      </c>
      <c r="G82" s="25" t="s">
        <v>417</v>
      </c>
      <c r="H82" s="25" t="s">
        <v>417</v>
      </c>
      <c r="I82" s="25" t="s">
        <v>417</v>
      </c>
      <c r="J82" s="25" t="s">
        <v>470</v>
      </c>
      <c r="K82" s="25" t="s">
        <v>488</v>
      </c>
      <c r="L82" s="25" t="s">
        <v>489</v>
      </c>
      <c r="M82" s="25" t="s">
        <v>497</v>
      </c>
      <c r="N82" s="165" t="s">
        <v>528</v>
      </c>
    </row>
    <row r="83" spans="1:14" x14ac:dyDescent="0.3">
      <c r="A83" s="1">
        <v>82</v>
      </c>
      <c r="B83" s="25" t="s">
        <v>223</v>
      </c>
      <c r="C83" s="346" t="s">
        <v>113</v>
      </c>
      <c r="D83" s="346"/>
      <c r="E83" s="346"/>
      <c r="F83" s="25" t="s">
        <v>336</v>
      </c>
      <c r="G83" s="25" t="s">
        <v>417</v>
      </c>
      <c r="H83" s="25" t="s">
        <v>417</v>
      </c>
      <c r="I83" s="25" t="s">
        <v>417</v>
      </c>
      <c r="J83" s="25" t="s">
        <v>468</v>
      </c>
      <c r="K83" s="25" t="s">
        <v>488</v>
      </c>
      <c r="L83" s="25" t="s">
        <v>489</v>
      </c>
      <c r="M83" s="25" t="s">
        <v>497</v>
      </c>
      <c r="N83" s="165" t="s">
        <v>528</v>
      </c>
    </row>
    <row r="84" spans="1:14" x14ac:dyDescent="0.3">
      <c r="A84" s="1">
        <v>83</v>
      </c>
      <c r="B84" s="25" t="s">
        <v>224</v>
      </c>
      <c r="C84" s="346" t="s">
        <v>114</v>
      </c>
      <c r="D84" s="346"/>
      <c r="E84" s="346"/>
      <c r="F84" s="25" t="s">
        <v>337</v>
      </c>
      <c r="G84" s="25" t="s">
        <v>417</v>
      </c>
      <c r="H84" s="25" t="s">
        <v>417</v>
      </c>
      <c r="I84" s="25" t="s">
        <v>417</v>
      </c>
      <c r="J84" s="25" t="s">
        <v>473</v>
      </c>
      <c r="K84" s="25" t="s">
        <v>488</v>
      </c>
      <c r="L84" s="25" t="s">
        <v>489</v>
      </c>
      <c r="M84" s="25" t="s">
        <v>497</v>
      </c>
      <c r="N84" s="165" t="s">
        <v>528</v>
      </c>
    </row>
    <row r="85" spans="1:14" x14ac:dyDescent="0.3">
      <c r="A85" s="1">
        <v>84</v>
      </c>
      <c r="B85" s="25" t="s">
        <v>225</v>
      </c>
      <c r="C85" s="346" t="s">
        <v>115</v>
      </c>
      <c r="D85" s="346"/>
      <c r="E85" s="346"/>
      <c r="F85" s="25" t="s">
        <v>338</v>
      </c>
      <c r="G85" s="25" t="s">
        <v>417</v>
      </c>
      <c r="H85" s="25" t="s">
        <v>417</v>
      </c>
      <c r="I85" s="25" t="s">
        <v>417</v>
      </c>
      <c r="J85" s="25" t="s">
        <v>7</v>
      </c>
      <c r="K85" s="25" t="s">
        <v>488</v>
      </c>
      <c r="L85" s="25">
        <v>42667</v>
      </c>
      <c r="M85" s="25" t="s">
        <v>499</v>
      </c>
      <c r="N85" s="165" t="s">
        <v>528</v>
      </c>
    </row>
    <row r="86" spans="1:14" x14ac:dyDescent="0.3">
      <c r="A86" s="1">
        <v>85</v>
      </c>
      <c r="B86" s="25" t="s">
        <v>226</v>
      </c>
      <c r="C86" s="346" t="s">
        <v>116</v>
      </c>
      <c r="D86" s="346"/>
      <c r="E86" s="346"/>
      <c r="F86" s="25" t="s">
        <v>339</v>
      </c>
      <c r="G86" s="25" t="s">
        <v>417</v>
      </c>
      <c r="H86" s="25" t="s">
        <v>417</v>
      </c>
      <c r="I86" s="25" t="s">
        <v>417</v>
      </c>
      <c r="J86" s="25" t="s">
        <v>7</v>
      </c>
      <c r="K86" s="25" t="s">
        <v>488</v>
      </c>
      <c r="L86" s="25">
        <v>42682</v>
      </c>
      <c r="M86" s="25" t="s">
        <v>499</v>
      </c>
      <c r="N86" s="165" t="s">
        <v>528</v>
      </c>
    </row>
    <row r="87" spans="1:14" x14ac:dyDescent="0.3">
      <c r="A87" s="1">
        <v>86</v>
      </c>
      <c r="B87" s="25" t="s">
        <v>227</v>
      </c>
      <c r="C87" s="346" t="s">
        <v>117</v>
      </c>
      <c r="D87" s="346"/>
      <c r="E87" s="346"/>
      <c r="F87" s="25" t="s">
        <v>340</v>
      </c>
      <c r="G87" s="25" t="s">
        <v>417</v>
      </c>
      <c r="H87" s="25" t="s">
        <v>417</v>
      </c>
      <c r="I87" s="25" t="s">
        <v>417</v>
      </c>
      <c r="J87" s="25" t="s">
        <v>7</v>
      </c>
      <c r="K87" s="25" t="s">
        <v>488</v>
      </c>
      <c r="L87" s="25">
        <v>42696</v>
      </c>
      <c r="M87" s="25" t="s">
        <v>499</v>
      </c>
      <c r="N87" s="165" t="s">
        <v>528</v>
      </c>
    </row>
    <row r="88" spans="1:14" x14ac:dyDescent="0.3">
      <c r="A88" s="1">
        <v>87</v>
      </c>
      <c r="B88" s="25" t="s">
        <v>228</v>
      </c>
      <c r="C88" s="346" t="s">
        <v>118</v>
      </c>
      <c r="D88" s="346"/>
      <c r="E88" s="346"/>
      <c r="F88" s="25" t="s">
        <v>341</v>
      </c>
      <c r="G88" s="25" t="s">
        <v>417</v>
      </c>
      <c r="H88" s="25" t="s">
        <v>417</v>
      </c>
      <c r="I88" s="25" t="s">
        <v>417</v>
      </c>
      <c r="J88" s="25" t="s">
        <v>7</v>
      </c>
      <c r="K88" s="25" t="s">
        <v>488</v>
      </c>
      <c r="L88" s="25">
        <v>42710</v>
      </c>
      <c r="M88" s="25" t="s">
        <v>499</v>
      </c>
      <c r="N88" s="165" t="s">
        <v>528</v>
      </c>
    </row>
    <row r="89" spans="1:14" x14ac:dyDescent="0.3">
      <c r="A89" s="1">
        <v>88</v>
      </c>
      <c r="B89" s="25" t="s">
        <v>229</v>
      </c>
      <c r="C89" s="346" t="s">
        <v>119</v>
      </c>
      <c r="D89" s="346"/>
      <c r="E89" s="346"/>
      <c r="F89" s="25" t="s">
        <v>342</v>
      </c>
      <c r="G89" s="25" t="s">
        <v>417</v>
      </c>
      <c r="H89" s="25" t="s">
        <v>417</v>
      </c>
      <c r="I89" s="25" t="s">
        <v>417</v>
      </c>
      <c r="J89" s="25" t="s">
        <v>474</v>
      </c>
      <c r="K89" s="25" t="s">
        <v>488</v>
      </c>
      <c r="L89" s="25" t="s">
        <v>489</v>
      </c>
      <c r="M89" s="25" t="s">
        <v>497</v>
      </c>
      <c r="N89" s="165" t="s">
        <v>528</v>
      </c>
    </row>
    <row r="90" spans="1:14" x14ac:dyDescent="0.3">
      <c r="A90" s="1">
        <v>89</v>
      </c>
      <c r="B90" s="25" t="s">
        <v>230</v>
      </c>
      <c r="C90" s="346" t="s">
        <v>120</v>
      </c>
      <c r="D90" s="346"/>
      <c r="E90" s="346"/>
      <c r="F90" s="25" t="s">
        <v>343</v>
      </c>
      <c r="G90" s="25" t="s">
        <v>417</v>
      </c>
      <c r="H90" s="25" t="s">
        <v>417</v>
      </c>
      <c r="I90" s="25" t="s">
        <v>417</v>
      </c>
      <c r="J90" s="25" t="s">
        <v>474</v>
      </c>
      <c r="K90" s="25" t="s">
        <v>488</v>
      </c>
      <c r="L90" s="25" t="s">
        <v>489</v>
      </c>
      <c r="M90" s="25" t="s">
        <v>497</v>
      </c>
      <c r="N90" s="165" t="s">
        <v>528</v>
      </c>
    </row>
    <row r="91" spans="1:14" x14ac:dyDescent="0.3">
      <c r="A91" s="1">
        <v>90</v>
      </c>
      <c r="B91" s="25" t="s">
        <v>231</v>
      </c>
      <c r="C91" s="346" t="s">
        <v>121</v>
      </c>
      <c r="D91" s="346"/>
      <c r="E91" s="346"/>
      <c r="F91" s="25" t="s">
        <v>344</v>
      </c>
      <c r="G91" s="25" t="s">
        <v>417</v>
      </c>
      <c r="H91" s="25" t="s">
        <v>417</v>
      </c>
      <c r="I91" s="25" t="s">
        <v>417</v>
      </c>
      <c r="J91" s="25" t="s">
        <v>474</v>
      </c>
      <c r="K91" s="25" t="s">
        <v>488</v>
      </c>
      <c r="L91" s="25" t="s">
        <v>489</v>
      </c>
      <c r="M91" s="25" t="s">
        <v>497</v>
      </c>
      <c r="N91" s="165" t="s">
        <v>528</v>
      </c>
    </row>
    <row r="92" spans="1:14" x14ac:dyDescent="0.3">
      <c r="A92" s="1">
        <v>91</v>
      </c>
      <c r="B92" s="25" t="s">
        <v>232</v>
      </c>
      <c r="C92" s="346" t="s">
        <v>122</v>
      </c>
      <c r="D92" s="346"/>
      <c r="E92" s="346"/>
      <c r="F92" s="25" t="s">
        <v>345</v>
      </c>
      <c r="G92" s="25" t="s">
        <v>417</v>
      </c>
      <c r="H92" s="25" t="s">
        <v>417</v>
      </c>
      <c r="I92" s="25" t="s">
        <v>417</v>
      </c>
      <c r="J92" s="25" t="s">
        <v>7</v>
      </c>
      <c r="K92" s="25" t="s">
        <v>488</v>
      </c>
      <c r="L92" s="25">
        <v>42508</v>
      </c>
      <c r="M92" s="25" t="s">
        <v>500</v>
      </c>
      <c r="N92" s="165" t="s">
        <v>528</v>
      </c>
    </row>
    <row r="93" spans="1:14" x14ac:dyDescent="0.3">
      <c r="A93" s="1">
        <v>92</v>
      </c>
      <c r="B93" s="25" t="s">
        <v>233</v>
      </c>
      <c r="C93" s="346" t="s">
        <v>123</v>
      </c>
      <c r="D93" s="346"/>
      <c r="E93" s="346"/>
      <c r="F93" s="25" t="s">
        <v>346</v>
      </c>
      <c r="G93" s="25" t="s">
        <v>417</v>
      </c>
      <c r="H93" s="25" t="s">
        <v>417</v>
      </c>
      <c r="I93" s="25" t="s">
        <v>417</v>
      </c>
      <c r="J93" s="25" t="s">
        <v>470</v>
      </c>
      <c r="K93" s="25" t="s">
        <v>488</v>
      </c>
      <c r="L93" s="25" t="s">
        <v>489</v>
      </c>
      <c r="M93" s="25" t="s">
        <v>496</v>
      </c>
      <c r="N93" s="165" t="s">
        <v>528</v>
      </c>
    </row>
    <row r="94" spans="1:14" x14ac:dyDescent="0.3">
      <c r="A94" s="1">
        <v>93</v>
      </c>
      <c r="B94" s="206" t="s">
        <v>1007</v>
      </c>
      <c r="C94" s="346" t="s">
        <v>1004</v>
      </c>
      <c r="D94" s="346"/>
      <c r="E94" s="346"/>
      <c r="F94" s="207" t="s">
        <v>1005</v>
      </c>
      <c r="G94" s="207" t="s">
        <v>1006</v>
      </c>
      <c r="H94" s="207" t="s">
        <v>789</v>
      </c>
      <c r="I94" s="207" t="s">
        <v>417</v>
      </c>
      <c r="J94" s="207" t="s">
        <v>789</v>
      </c>
      <c r="K94" s="207" t="s">
        <v>488</v>
      </c>
      <c r="L94" s="207" t="s">
        <v>489</v>
      </c>
      <c r="M94" s="207" t="s">
        <v>496</v>
      </c>
      <c r="N94" s="207" t="s">
        <v>528</v>
      </c>
    </row>
    <row r="95" spans="1:14" x14ac:dyDescent="0.3">
      <c r="A95" s="1">
        <v>94</v>
      </c>
      <c r="B95" s="25" t="s">
        <v>234</v>
      </c>
      <c r="C95" s="346" t="s">
        <v>124</v>
      </c>
      <c r="D95" s="346"/>
      <c r="E95" s="346"/>
      <c r="F95" s="25" t="s">
        <v>347</v>
      </c>
      <c r="G95" s="25" t="s">
        <v>417</v>
      </c>
      <c r="H95" s="25" t="s">
        <v>417</v>
      </c>
      <c r="I95" s="25" t="s">
        <v>417</v>
      </c>
      <c r="J95" s="25" t="s">
        <v>7</v>
      </c>
      <c r="K95" s="25" t="s">
        <v>488</v>
      </c>
      <c r="L95" s="25">
        <v>42353</v>
      </c>
      <c r="M95" s="25" t="s">
        <v>500</v>
      </c>
      <c r="N95" s="165" t="s">
        <v>528</v>
      </c>
    </row>
    <row r="96" spans="1:14" x14ac:dyDescent="0.3">
      <c r="A96" s="1">
        <v>95</v>
      </c>
      <c r="B96" s="25" t="s">
        <v>235</v>
      </c>
      <c r="C96" s="346" t="s">
        <v>125</v>
      </c>
      <c r="D96" s="346"/>
      <c r="E96" s="346"/>
      <c r="F96" s="25" t="s">
        <v>348</v>
      </c>
      <c r="G96" s="25" t="s">
        <v>417</v>
      </c>
      <c r="H96" s="25" t="s">
        <v>417</v>
      </c>
      <c r="I96" s="25" t="s">
        <v>417</v>
      </c>
      <c r="J96" s="25" t="s">
        <v>7</v>
      </c>
      <c r="K96" s="25" t="s">
        <v>488</v>
      </c>
      <c r="L96" s="25">
        <v>42485</v>
      </c>
      <c r="M96" s="25" t="s">
        <v>500</v>
      </c>
      <c r="N96" s="165" t="s">
        <v>528</v>
      </c>
    </row>
    <row r="97" spans="1:14" x14ac:dyDescent="0.3">
      <c r="A97" s="1">
        <v>96</v>
      </c>
      <c r="B97" s="25" t="s">
        <v>236</v>
      </c>
      <c r="C97" s="346" t="s">
        <v>126</v>
      </c>
      <c r="D97" s="346"/>
      <c r="E97" s="346"/>
      <c r="F97" s="25" t="s">
        <v>349</v>
      </c>
      <c r="G97" s="25" t="s">
        <v>417</v>
      </c>
      <c r="H97" s="25" t="s">
        <v>417</v>
      </c>
      <c r="I97" s="25" t="s">
        <v>417</v>
      </c>
      <c r="J97" s="25" t="s">
        <v>7</v>
      </c>
      <c r="K97" s="25" t="s">
        <v>488</v>
      </c>
      <c r="L97" s="25">
        <v>42515</v>
      </c>
      <c r="M97" s="25" t="s">
        <v>500</v>
      </c>
      <c r="N97" s="165" t="s">
        <v>528</v>
      </c>
    </row>
    <row r="98" spans="1:14" x14ac:dyDescent="0.3">
      <c r="A98" s="1">
        <v>97</v>
      </c>
      <c r="B98" s="25" t="s">
        <v>237</v>
      </c>
      <c r="C98" s="346" t="s">
        <v>127</v>
      </c>
      <c r="D98" s="346"/>
      <c r="E98" s="346"/>
      <c r="F98" s="25" t="s">
        <v>350</v>
      </c>
      <c r="G98" s="25" t="s">
        <v>417</v>
      </c>
      <c r="H98" s="25" t="s">
        <v>417</v>
      </c>
      <c r="I98" s="25" t="s">
        <v>417</v>
      </c>
      <c r="J98" s="25" t="s">
        <v>7</v>
      </c>
      <c r="K98" s="25" t="s">
        <v>488</v>
      </c>
      <c r="L98" s="25">
        <v>42535</v>
      </c>
      <c r="M98" s="25" t="s">
        <v>500</v>
      </c>
      <c r="N98" s="165" t="s">
        <v>528</v>
      </c>
    </row>
    <row r="99" spans="1:14" x14ac:dyDescent="0.3">
      <c r="A99" s="1">
        <v>98</v>
      </c>
      <c r="B99" s="25" t="s">
        <v>238</v>
      </c>
      <c r="C99" s="346" t="s">
        <v>128</v>
      </c>
      <c r="D99" s="346"/>
      <c r="E99" s="346"/>
      <c r="F99" s="25" t="s">
        <v>351</v>
      </c>
      <c r="G99" s="25" t="s">
        <v>417</v>
      </c>
      <c r="H99" s="25" t="s">
        <v>417</v>
      </c>
      <c r="I99" s="25" t="s">
        <v>417</v>
      </c>
      <c r="J99" s="25" t="s">
        <v>7</v>
      </c>
      <c r="K99" s="25" t="s">
        <v>488</v>
      </c>
      <c r="L99" s="25">
        <v>42583</v>
      </c>
      <c r="M99" s="25" t="s">
        <v>500</v>
      </c>
      <c r="N99" s="165" t="s">
        <v>528</v>
      </c>
    </row>
    <row r="100" spans="1:14" x14ac:dyDescent="0.3">
      <c r="A100" s="1">
        <v>99</v>
      </c>
      <c r="B100" s="25" t="s">
        <v>239</v>
      </c>
      <c r="C100" s="346" t="s">
        <v>129</v>
      </c>
      <c r="D100" s="346"/>
      <c r="E100" s="346"/>
      <c r="F100" s="25" t="s">
        <v>352</v>
      </c>
      <c r="G100" s="25" t="s">
        <v>417</v>
      </c>
      <c r="H100" s="25" t="s">
        <v>417</v>
      </c>
      <c r="I100" s="25" t="s">
        <v>417</v>
      </c>
      <c r="J100" s="25" t="s">
        <v>7</v>
      </c>
      <c r="K100" s="25" t="s">
        <v>488</v>
      </c>
      <c r="L100" s="25">
        <v>42583</v>
      </c>
      <c r="M100" s="25" t="s">
        <v>500</v>
      </c>
      <c r="N100" s="165" t="s">
        <v>528</v>
      </c>
    </row>
    <row r="101" spans="1:14" x14ac:dyDescent="0.3">
      <c r="A101" s="1">
        <v>100</v>
      </c>
      <c r="B101" s="25" t="s">
        <v>240</v>
      </c>
      <c r="C101" s="346" t="s">
        <v>130</v>
      </c>
      <c r="D101" s="346"/>
      <c r="E101" s="346"/>
      <c r="F101" s="212" t="s">
        <v>353</v>
      </c>
      <c r="G101" s="212" t="s">
        <v>417</v>
      </c>
      <c r="H101" s="212" t="s">
        <v>417</v>
      </c>
      <c r="I101" s="212" t="s">
        <v>417</v>
      </c>
      <c r="J101" s="212" t="s">
        <v>7</v>
      </c>
      <c r="K101" s="212" t="s">
        <v>488</v>
      </c>
      <c r="L101" s="212" t="s">
        <v>489</v>
      </c>
      <c r="M101" s="212" t="s">
        <v>500</v>
      </c>
      <c r="N101" s="212" t="s">
        <v>528</v>
      </c>
    </row>
    <row r="102" spans="1:14" x14ac:dyDescent="0.3">
      <c r="A102" s="1">
        <v>101</v>
      </c>
      <c r="B102" s="207" t="s">
        <v>1010</v>
      </c>
      <c r="C102" s="346" t="s">
        <v>1008</v>
      </c>
      <c r="D102" s="346"/>
      <c r="E102" s="346"/>
      <c r="F102" s="212" t="s">
        <v>1009</v>
      </c>
      <c r="G102" s="212" t="s">
        <v>789</v>
      </c>
      <c r="H102" s="212" t="s">
        <v>789</v>
      </c>
      <c r="I102" s="212" t="s">
        <v>417</v>
      </c>
      <c r="J102" s="212" t="s">
        <v>470</v>
      </c>
      <c r="K102" s="212" t="s">
        <v>789</v>
      </c>
      <c r="L102" s="212" t="s">
        <v>489</v>
      </c>
      <c r="M102" s="212" t="s">
        <v>500</v>
      </c>
      <c r="N102" s="212" t="s">
        <v>528</v>
      </c>
    </row>
    <row r="103" spans="1:14" x14ac:dyDescent="0.3">
      <c r="A103" s="1">
        <v>102</v>
      </c>
      <c r="B103" s="25" t="s">
        <v>218</v>
      </c>
      <c r="C103" s="346" t="s">
        <v>131</v>
      </c>
      <c r="D103" s="346"/>
      <c r="E103" s="346"/>
      <c r="F103" s="25" t="s">
        <v>354</v>
      </c>
      <c r="G103" s="25" t="s">
        <v>417</v>
      </c>
      <c r="H103" s="25" t="s">
        <v>417</v>
      </c>
      <c r="I103" s="25" t="s">
        <v>417</v>
      </c>
      <c r="J103" s="25" t="s">
        <v>469</v>
      </c>
      <c r="K103" s="25" t="s">
        <v>488</v>
      </c>
      <c r="L103" s="25" t="s">
        <v>489</v>
      </c>
      <c r="M103" s="25" t="s">
        <v>502</v>
      </c>
      <c r="N103" s="165" t="s">
        <v>528</v>
      </c>
    </row>
    <row r="104" spans="1:14" x14ac:dyDescent="0.3">
      <c r="A104" s="1">
        <v>103</v>
      </c>
      <c r="B104" s="25" t="s">
        <v>241</v>
      </c>
      <c r="C104" s="346" t="s">
        <v>132</v>
      </c>
      <c r="D104" s="346"/>
      <c r="E104" s="346"/>
      <c r="F104" s="25" t="s">
        <v>355</v>
      </c>
      <c r="G104" s="25" t="s">
        <v>417</v>
      </c>
      <c r="H104" s="25" t="s">
        <v>417</v>
      </c>
      <c r="I104" s="25" t="s">
        <v>417</v>
      </c>
      <c r="J104" s="25" t="s">
        <v>470</v>
      </c>
      <c r="K104" s="25" t="s">
        <v>488</v>
      </c>
      <c r="L104" s="25" t="s">
        <v>489</v>
      </c>
      <c r="M104" s="25" t="s">
        <v>496</v>
      </c>
      <c r="N104" s="165" t="s">
        <v>528</v>
      </c>
    </row>
    <row r="105" spans="1:14" x14ac:dyDescent="0.3">
      <c r="A105" s="1">
        <v>104</v>
      </c>
      <c r="B105" s="25" t="s">
        <v>751</v>
      </c>
      <c r="C105" s="346" t="s">
        <v>747</v>
      </c>
      <c r="D105" s="346"/>
      <c r="E105" s="346"/>
      <c r="F105" s="25" t="s">
        <v>748</v>
      </c>
      <c r="G105" s="25" t="s">
        <v>417</v>
      </c>
      <c r="H105" s="25" t="s">
        <v>417</v>
      </c>
      <c r="I105" s="25" t="s">
        <v>417</v>
      </c>
      <c r="J105" s="25" t="s">
        <v>470</v>
      </c>
      <c r="K105" s="25" t="s">
        <v>488</v>
      </c>
      <c r="L105" s="25" t="s">
        <v>489</v>
      </c>
      <c r="M105" s="25" t="s">
        <v>498</v>
      </c>
      <c r="N105" s="165" t="s">
        <v>528</v>
      </c>
    </row>
    <row r="106" spans="1:14" x14ac:dyDescent="0.3">
      <c r="A106" s="1">
        <v>105</v>
      </c>
      <c r="B106" s="25" t="s">
        <v>242</v>
      </c>
      <c r="C106" s="346" t="s">
        <v>133</v>
      </c>
      <c r="D106" s="346"/>
      <c r="E106" s="346"/>
      <c r="F106" s="25" t="s">
        <v>356</v>
      </c>
      <c r="G106" s="25" t="s">
        <v>417</v>
      </c>
      <c r="H106" s="25" t="s">
        <v>417</v>
      </c>
      <c r="I106" s="25" t="s">
        <v>417</v>
      </c>
      <c r="J106" s="25" t="s">
        <v>470</v>
      </c>
      <c r="K106" s="25" t="s">
        <v>488</v>
      </c>
      <c r="L106" s="25" t="s">
        <v>489</v>
      </c>
      <c r="M106" s="25" t="s">
        <v>495</v>
      </c>
      <c r="N106" s="165" t="s">
        <v>528</v>
      </c>
    </row>
    <row r="107" spans="1:14" x14ac:dyDescent="0.3">
      <c r="A107" s="1">
        <v>106</v>
      </c>
      <c r="B107" s="203" t="s">
        <v>999</v>
      </c>
      <c r="C107" s="346" t="s">
        <v>997</v>
      </c>
      <c r="D107" s="346"/>
      <c r="E107" s="346"/>
      <c r="F107" s="203" t="s">
        <v>998</v>
      </c>
      <c r="G107" s="203" t="s">
        <v>417</v>
      </c>
      <c r="H107" s="203" t="s">
        <v>417</v>
      </c>
      <c r="I107" s="203" t="s">
        <v>417</v>
      </c>
      <c r="J107" s="203" t="s">
        <v>470</v>
      </c>
      <c r="K107" s="203" t="s">
        <v>488</v>
      </c>
      <c r="L107" s="203" t="s">
        <v>489</v>
      </c>
      <c r="M107" s="203" t="s">
        <v>1000</v>
      </c>
      <c r="N107" s="203" t="s">
        <v>528</v>
      </c>
    </row>
    <row r="108" spans="1:14" x14ac:dyDescent="0.3">
      <c r="A108" s="1">
        <v>107</v>
      </c>
      <c r="B108" s="25" t="s">
        <v>709</v>
      </c>
      <c r="C108" s="346" t="s">
        <v>706</v>
      </c>
      <c r="D108" s="346"/>
      <c r="E108" s="346"/>
      <c r="F108" s="25" t="s">
        <v>707</v>
      </c>
      <c r="G108" s="25" t="s">
        <v>417</v>
      </c>
      <c r="H108" s="25" t="s">
        <v>417</v>
      </c>
      <c r="I108" s="25" t="s">
        <v>449</v>
      </c>
      <c r="J108" s="25" t="s">
        <v>470</v>
      </c>
      <c r="K108" s="25" t="s">
        <v>490</v>
      </c>
      <c r="L108" s="25" t="s">
        <v>483</v>
      </c>
      <c r="M108" s="203" t="s">
        <v>505</v>
      </c>
      <c r="N108" s="223" t="s">
        <v>1063</v>
      </c>
    </row>
    <row r="109" spans="1:14" x14ac:dyDescent="0.3">
      <c r="A109" s="1">
        <v>108</v>
      </c>
      <c r="B109" s="25" t="s">
        <v>243</v>
      </c>
      <c r="C109" s="346" t="s">
        <v>134</v>
      </c>
      <c r="D109" s="346"/>
      <c r="E109" s="346"/>
      <c r="F109" s="25" t="s">
        <v>357</v>
      </c>
      <c r="G109" s="25" t="s">
        <v>417</v>
      </c>
      <c r="H109" s="25" t="s">
        <v>436</v>
      </c>
      <c r="I109" s="25" t="s">
        <v>415</v>
      </c>
      <c r="J109" s="25" t="s">
        <v>479</v>
      </c>
      <c r="K109" s="25" t="s">
        <v>488</v>
      </c>
      <c r="L109" s="25" t="s">
        <v>489</v>
      </c>
      <c r="M109" s="25" t="s">
        <v>501</v>
      </c>
      <c r="N109" s="165" t="s">
        <v>518</v>
      </c>
    </row>
    <row r="110" spans="1:14" x14ac:dyDescent="0.3">
      <c r="A110" s="1">
        <v>109</v>
      </c>
      <c r="B110" s="25" t="s">
        <v>244</v>
      </c>
      <c r="C110" s="346" t="s">
        <v>135</v>
      </c>
      <c r="D110" s="346"/>
      <c r="E110" s="346"/>
      <c r="F110" s="25" t="s">
        <v>358</v>
      </c>
      <c r="G110" s="25" t="s">
        <v>417</v>
      </c>
      <c r="H110" s="25" t="s">
        <v>417</v>
      </c>
      <c r="I110" s="25" t="s">
        <v>417</v>
      </c>
      <c r="J110" s="25" t="s">
        <v>470</v>
      </c>
      <c r="K110" s="25" t="s">
        <v>488</v>
      </c>
      <c r="L110" s="25" t="s">
        <v>489</v>
      </c>
      <c r="M110" s="25" t="s">
        <v>496</v>
      </c>
      <c r="N110" s="165" t="s">
        <v>528</v>
      </c>
    </row>
    <row r="111" spans="1:14" x14ac:dyDescent="0.3">
      <c r="A111" s="1">
        <v>110</v>
      </c>
      <c r="B111" s="212" t="s">
        <v>245</v>
      </c>
      <c r="C111" s="346" t="s">
        <v>136</v>
      </c>
      <c r="D111" s="346"/>
      <c r="E111" s="346"/>
      <c r="F111" s="25" t="s">
        <v>359</v>
      </c>
      <c r="G111" s="25" t="s">
        <v>417</v>
      </c>
      <c r="H111" s="25" t="s">
        <v>439</v>
      </c>
      <c r="I111" s="25" t="s">
        <v>417</v>
      </c>
      <c r="J111" s="25" t="s">
        <v>470</v>
      </c>
      <c r="K111" s="25" t="s">
        <v>488</v>
      </c>
      <c r="L111" s="25">
        <v>42970</v>
      </c>
      <c r="M111" s="25" t="s">
        <v>498</v>
      </c>
      <c r="N111" s="165" t="s">
        <v>528</v>
      </c>
    </row>
    <row r="112" spans="1:14" x14ac:dyDescent="0.3">
      <c r="A112" s="1">
        <v>111</v>
      </c>
      <c r="B112" s="25" t="s">
        <v>246</v>
      </c>
      <c r="C112" s="346" t="s">
        <v>137</v>
      </c>
      <c r="D112" s="346"/>
      <c r="E112" s="346"/>
      <c r="F112" s="25" t="s">
        <v>360</v>
      </c>
      <c r="G112" s="25" t="s">
        <v>417</v>
      </c>
      <c r="H112" s="25" t="s">
        <v>439</v>
      </c>
      <c r="I112" s="25" t="s">
        <v>417</v>
      </c>
      <c r="J112" s="25" t="s">
        <v>470</v>
      </c>
      <c r="K112" s="25" t="s">
        <v>488</v>
      </c>
      <c r="L112" s="25" t="s">
        <v>491</v>
      </c>
      <c r="M112" s="25" t="s">
        <v>498</v>
      </c>
      <c r="N112" s="165" t="s">
        <v>528</v>
      </c>
    </row>
    <row r="113" spans="1:14" x14ac:dyDescent="0.3">
      <c r="A113" s="1">
        <v>112</v>
      </c>
      <c r="B113" s="25" t="s">
        <v>247</v>
      </c>
      <c r="C113" s="346" t="s">
        <v>138</v>
      </c>
      <c r="D113" s="346"/>
      <c r="E113" s="346"/>
      <c r="F113" s="25" t="s">
        <v>361</v>
      </c>
      <c r="G113" s="25" t="s">
        <v>408</v>
      </c>
      <c r="H113" s="25" t="s">
        <v>440</v>
      </c>
      <c r="I113" s="25" t="s">
        <v>415</v>
      </c>
      <c r="J113" s="25" t="s">
        <v>468</v>
      </c>
      <c r="K113" s="25" t="s">
        <v>488</v>
      </c>
      <c r="L113" s="25" t="s">
        <v>492</v>
      </c>
      <c r="M113" s="25" t="s">
        <v>495</v>
      </c>
      <c r="N113" s="165" t="s">
        <v>518</v>
      </c>
    </row>
    <row r="114" spans="1:14" x14ac:dyDescent="0.3">
      <c r="A114" s="1">
        <v>113</v>
      </c>
      <c r="B114" s="25" t="s">
        <v>248</v>
      </c>
      <c r="C114" s="346" t="s">
        <v>139</v>
      </c>
      <c r="D114" s="346"/>
      <c r="E114" s="346"/>
      <c r="F114" s="25" t="s">
        <v>362</v>
      </c>
      <c r="G114" s="25" t="s">
        <v>418</v>
      </c>
      <c r="H114" s="25" t="s">
        <v>418</v>
      </c>
      <c r="I114" s="25" t="s">
        <v>415</v>
      </c>
      <c r="J114" s="25" t="s">
        <v>469</v>
      </c>
      <c r="K114" s="25" t="s">
        <v>488</v>
      </c>
      <c r="L114" s="25" t="s">
        <v>489</v>
      </c>
      <c r="M114" s="25" t="s">
        <v>498</v>
      </c>
      <c r="N114" s="165" t="s">
        <v>518</v>
      </c>
    </row>
    <row r="115" spans="1:14" x14ac:dyDescent="0.3">
      <c r="A115" s="1">
        <v>114</v>
      </c>
      <c r="B115" s="212" t="s">
        <v>1035</v>
      </c>
      <c r="C115" s="346" t="s">
        <v>1030</v>
      </c>
      <c r="D115" s="346"/>
      <c r="E115" s="346"/>
      <c r="F115" s="212" t="s">
        <v>1031</v>
      </c>
      <c r="G115" s="223" t="s">
        <v>1089</v>
      </c>
      <c r="H115" s="212" t="s">
        <v>1033</v>
      </c>
      <c r="I115" s="212" t="s">
        <v>1032</v>
      </c>
      <c r="J115" s="212" t="s">
        <v>470</v>
      </c>
      <c r="K115" s="212" t="s">
        <v>830</v>
      </c>
      <c r="L115" s="212" t="s">
        <v>489</v>
      </c>
      <c r="M115" s="212" t="s">
        <v>510</v>
      </c>
      <c r="N115" s="212" t="e">
        <v>#N/A</v>
      </c>
    </row>
    <row r="116" spans="1:14" x14ac:dyDescent="0.3">
      <c r="A116" s="1">
        <v>115</v>
      </c>
      <c r="B116" s="25" t="s">
        <v>249</v>
      </c>
      <c r="C116" s="346" t="s">
        <v>140</v>
      </c>
      <c r="D116" s="346"/>
      <c r="E116" s="346"/>
      <c r="F116" s="25" t="s">
        <v>363</v>
      </c>
      <c r="G116" s="25" t="s">
        <v>419</v>
      </c>
      <c r="H116" s="25" t="s">
        <v>441</v>
      </c>
      <c r="I116" s="25" t="s">
        <v>423</v>
      </c>
      <c r="J116" s="25" t="s">
        <v>467</v>
      </c>
      <c r="K116" s="25" t="s">
        <v>488</v>
      </c>
      <c r="L116" s="25" t="s">
        <v>489</v>
      </c>
      <c r="M116" s="25" t="s">
        <v>499</v>
      </c>
      <c r="N116" s="165" t="s">
        <v>532</v>
      </c>
    </row>
    <row r="117" spans="1:14" x14ac:dyDescent="0.3">
      <c r="A117" s="1">
        <v>116</v>
      </c>
      <c r="B117" s="25" t="s">
        <v>250</v>
      </c>
      <c r="C117" s="346" t="s">
        <v>141</v>
      </c>
      <c r="D117" s="346"/>
      <c r="E117" s="346"/>
      <c r="F117" s="25" t="s">
        <v>364</v>
      </c>
      <c r="G117" s="25" t="s">
        <v>420</v>
      </c>
      <c r="H117" s="25" t="s">
        <v>442</v>
      </c>
      <c r="I117" s="25" t="s">
        <v>420</v>
      </c>
      <c r="J117" s="25" t="s">
        <v>471</v>
      </c>
      <c r="K117" s="25" t="s">
        <v>488</v>
      </c>
      <c r="L117" s="25" t="s">
        <v>489</v>
      </c>
      <c r="M117" s="25" t="s">
        <v>496</v>
      </c>
      <c r="N117" s="165" t="s">
        <v>531</v>
      </c>
    </row>
    <row r="118" spans="1:14" x14ac:dyDescent="0.3">
      <c r="A118" s="1">
        <v>117</v>
      </c>
      <c r="B118" s="25" t="s">
        <v>251</v>
      </c>
      <c r="C118" s="346" t="s">
        <v>142</v>
      </c>
      <c r="D118" s="346"/>
      <c r="E118" s="346"/>
      <c r="F118" s="25" t="s">
        <v>365</v>
      </c>
      <c r="G118" s="25" t="s">
        <v>420</v>
      </c>
      <c r="H118" s="25" t="s">
        <v>442</v>
      </c>
      <c r="I118" s="25" t="s">
        <v>460</v>
      </c>
      <c r="J118" s="25" t="s">
        <v>467</v>
      </c>
      <c r="K118" s="25" t="s">
        <v>488</v>
      </c>
      <c r="L118" s="25" t="s">
        <v>489</v>
      </c>
      <c r="M118" s="25" t="s">
        <v>496</v>
      </c>
      <c r="N118" s="165" t="e">
        <v>#N/A</v>
      </c>
    </row>
    <row r="119" spans="1:14" x14ac:dyDescent="0.3">
      <c r="A119" s="1">
        <v>118</v>
      </c>
      <c r="B119" s="25" t="s">
        <v>252</v>
      </c>
      <c r="C119" s="346" t="s">
        <v>143</v>
      </c>
      <c r="D119" s="346"/>
      <c r="E119" s="346"/>
      <c r="F119" s="25" t="s">
        <v>366</v>
      </c>
      <c r="G119" s="25" t="s">
        <v>420</v>
      </c>
      <c r="H119" s="25" t="s">
        <v>442</v>
      </c>
      <c r="I119" s="25" t="s">
        <v>420</v>
      </c>
      <c r="J119" s="25" t="s">
        <v>471</v>
      </c>
      <c r="K119" s="25" t="s">
        <v>488</v>
      </c>
      <c r="L119" s="25" t="s">
        <v>489</v>
      </c>
      <c r="M119" s="25" t="s">
        <v>497</v>
      </c>
      <c r="N119" s="165" t="s">
        <v>531</v>
      </c>
    </row>
    <row r="120" spans="1:14" x14ac:dyDescent="0.3">
      <c r="A120" s="1">
        <v>119</v>
      </c>
      <c r="B120" s="25" t="s">
        <v>253</v>
      </c>
      <c r="C120" s="346" t="s">
        <v>144</v>
      </c>
      <c r="D120" s="346"/>
      <c r="E120" s="346"/>
      <c r="F120" s="25" t="s">
        <v>367</v>
      </c>
      <c r="G120" s="25" t="s">
        <v>420</v>
      </c>
      <c r="H120" s="25" t="s">
        <v>442</v>
      </c>
      <c r="I120" s="25" t="s">
        <v>420</v>
      </c>
      <c r="J120" s="25" t="s">
        <v>469</v>
      </c>
      <c r="K120" s="25" t="s">
        <v>488</v>
      </c>
      <c r="L120" s="25" t="s">
        <v>489</v>
      </c>
      <c r="M120" s="25" t="s">
        <v>502</v>
      </c>
      <c r="N120" s="165" t="s">
        <v>531</v>
      </c>
    </row>
    <row r="121" spans="1:14" x14ac:dyDescent="0.3">
      <c r="A121" s="1">
        <v>120</v>
      </c>
      <c r="B121" s="25" t="s">
        <v>805</v>
      </c>
      <c r="C121" s="346" t="s">
        <v>799</v>
      </c>
      <c r="D121" s="346"/>
      <c r="E121" s="346"/>
      <c r="F121" s="25" t="s">
        <v>800</v>
      </c>
      <c r="G121" s="25" t="s">
        <v>803</v>
      </c>
      <c r="H121" s="25" t="s">
        <v>803</v>
      </c>
      <c r="I121" s="25" t="s">
        <v>415</v>
      </c>
      <c r="J121" s="25" t="s">
        <v>466</v>
      </c>
      <c r="K121" s="25" t="s">
        <v>488</v>
      </c>
      <c r="L121" s="25" t="s">
        <v>489</v>
      </c>
      <c r="M121" s="25" t="s">
        <v>496</v>
      </c>
      <c r="N121" s="165" t="s">
        <v>518</v>
      </c>
    </row>
    <row r="122" spans="1:14" x14ac:dyDescent="0.3">
      <c r="A122" s="1">
        <v>121</v>
      </c>
      <c r="B122" s="25" t="s">
        <v>804</v>
      </c>
      <c r="C122" s="346" t="s">
        <v>927</v>
      </c>
      <c r="D122" s="346"/>
      <c r="E122" s="346"/>
      <c r="F122" s="25" t="s">
        <v>802</v>
      </c>
      <c r="G122" s="25" t="s">
        <v>928</v>
      </c>
      <c r="H122" s="25" t="s">
        <v>928</v>
      </c>
      <c r="I122" s="25" t="s">
        <v>431</v>
      </c>
      <c r="J122" s="25" t="s">
        <v>477</v>
      </c>
      <c r="K122" s="25" t="s">
        <v>488</v>
      </c>
      <c r="L122" s="25" t="s">
        <v>492</v>
      </c>
      <c r="M122" s="25" t="s">
        <v>496</v>
      </c>
      <c r="N122" s="165" t="s">
        <v>526</v>
      </c>
    </row>
    <row r="123" spans="1:14" x14ac:dyDescent="0.3">
      <c r="A123" s="1">
        <v>122</v>
      </c>
      <c r="B123" s="25" t="s">
        <v>254</v>
      </c>
      <c r="C123" s="346" t="s">
        <v>145</v>
      </c>
      <c r="D123" s="346"/>
      <c r="E123" s="346"/>
      <c r="F123" s="25" t="s">
        <v>368</v>
      </c>
      <c r="G123" s="25" t="s">
        <v>421</v>
      </c>
      <c r="H123" s="25" t="s">
        <v>443</v>
      </c>
      <c r="I123" s="25" t="s">
        <v>426</v>
      </c>
      <c r="J123" s="25" t="s">
        <v>480</v>
      </c>
      <c r="K123" s="25" t="s">
        <v>490</v>
      </c>
      <c r="L123" s="25" t="s">
        <v>483</v>
      </c>
      <c r="M123" s="25" t="s">
        <v>504</v>
      </c>
      <c r="N123" s="165" t="s">
        <v>529</v>
      </c>
    </row>
    <row r="124" spans="1:14" x14ac:dyDescent="0.3">
      <c r="A124" s="1">
        <v>123</v>
      </c>
      <c r="B124" s="25" t="s">
        <v>255</v>
      </c>
      <c r="C124" s="346" t="s">
        <v>146</v>
      </c>
      <c r="D124" s="346"/>
      <c r="E124" s="346"/>
      <c r="F124" s="25" t="s">
        <v>369</v>
      </c>
      <c r="G124" s="25" t="s">
        <v>422</v>
      </c>
      <c r="H124" s="25" t="s">
        <v>423</v>
      </c>
      <c r="I124" s="25" t="s">
        <v>423</v>
      </c>
      <c r="J124" s="25" t="s">
        <v>467</v>
      </c>
      <c r="K124" s="25" t="s">
        <v>488</v>
      </c>
      <c r="L124" s="25" t="s">
        <v>489</v>
      </c>
      <c r="M124" s="25" t="s">
        <v>496</v>
      </c>
      <c r="N124" s="165" t="s">
        <v>532</v>
      </c>
    </row>
    <row r="125" spans="1:14" x14ac:dyDescent="0.3">
      <c r="A125" s="1">
        <v>124</v>
      </c>
      <c r="B125" s="25" t="s">
        <v>256</v>
      </c>
      <c r="C125" s="346" t="s">
        <v>713</v>
      </c>
      <c r="D125" s="346"/>
      <c r="E125" s="346"/>
      <c r="F125" s="25" t="s">
        <v>370</v>
      </c>
      <c r="G125" s="25" t="s">
        <v>423</v>
      </c>
      <c r="H125" s="25" t="s">
        <v>423</v>
      </c>
      <c r="I125" s="25" t="s">
        <v>423</v>
      </c>
      <c r="J125" s="25" t="s">
        <v>481</v>
      </c>
      <c r="K125" s="25" t="s">
        <v>488</v>
      </c>
      <c r="L125" s="25" t="s">
        <v>489</v>
      </c>
      <c r="M125" s="25" t="s">
        <v>502</v>
      </c>
      <c r="N125" s="165" t="s">
        <v>532</v>
      </c>
    </row>
    <row r="126" spans="1:14" x14ac:dyDescent="0.3">
      <c r="A126" s="1">
        <v>125</v>
      </c>
      <c r="B126" s="25" t="s">
        <v>257</v>
      </c>
      <c r="C126" s="346" t="s">
        <v>147</v>
      </c>
      <c r="D126" s="346"/>
      <c r="E126" s="346"/>
      <c r="F126" s="25" t="s">
        <v>371</v>
      </c>
      <c r="G126" s="25" t="s">
        <v>422</v>
      </c>
      <c r="H126" s="25" t="s">
        <v>423</v>
      </c>
      <c r="I126" s="25" t="s">
        <v>423</v>
      </c>
      <c r="J126" s="25" t="s">
        <v>473</v>
      </c>
      <c r="K126" s="25" t="s">
        <v>488</v>
      </c>
      <c r="L126" s="25" t="s">
        <v>489</v>
      </c>
      <c r="M126" s="25" t="s">
        <v>497</v>
      </c>
      <c r="N126" s="165" t="s">
        <v>532</v>
      </c>
    </row>
    <row r="127" spans="1:14" x14ac:dyDescent="0.3">
      <c r="A127" s="1">
        <v>126</v>
      </c>
      <c r="B127" s="25" t="s">
        <v>258</v>
      </c>
      <c r="C127" s="346" t="s">
        <v>148</v>
      </c>
      <c r="D127" s="346"/>
      <c r="E127" s="346"/>
      <c r="F127" s="25" t="s">
        <v>372</v>
      </c>
      <c r="G127" s="25" t="s">
        <v>423</v>
      </c>
      <c r="H127" s="25" t="s">
        <v>423</v>
      </c>
      <c r="I127" s="25" t="s">
        <v>423</v>
      </c>
      <c r="J127" s="25" t="s">
        <v>473</v>
      </c>
      <c r="K127" s="25" t="s">
        <v>488</v>
      </c>
      <c r="L127" s="25" t="s">
        <v>489</v>
      </c>
      <c r="M127" s="25" t="s">
        <v>497</v>
      </c>
      <c r="N127" s="165" t="s">
        <v>532</v>
      </c>
    </row>
    <row r="128" spans="1:14" x14ac:dyDescent="0.3">
      <c r="A128" s="1">
        <v>127</v>
      </c>
      <c r="B128" s="25" t="s">
        <v>259</v>
      </c>
      <c r="C128" s="346" t="s">
        <v>149</v>
      </c>
      <c r="D128" s="346"/>
      <c r="E128" s="346"/>
      <c r="F128" s="25" t="s">
        <v>373</v>
      </c>
      <c r="G128" s="25" t="s">
        <v>422</v>
      </c>
      <c r="H128" s="25" t="s">
        <v>423</v>
      </c>
      <c r="I128" s="25" t="s">
        <v>423</v>
      </c>
      <c r="J128" s="25" t="s">
        <v>467</v>
      </c>
      <c r="K128" s="25" t="s">
        <v>488</v>
      </c>
      <c r="L128" s="25" t="s">
        <v>489</v>
      </c>
      <c r="M128" s="25" t="s">
        <v>499</v>
      </c>
      <c r="N128" s="165" t="s">
        <v>532</v>
      </c>
    </row>
    <row r="129" spans="1:14" x14ac:dyDescent="0.3">
      <c r="A129" s="1">
        <v>128</v>
      </c>
      <c r="B129" s="25" t="s">
        <v>260</v>
      </c>
      <c r="C129" s="346" t="s">
        <v>150</v>
      </c>
      <c r="D129" s="346"/>
      <c r="E129" s="346"/>
      <c r="F129" s="25" t="s">
        <v>374</v>
      </c>
      <c r="G129" s="25" t="s">
        <v>422</v>
      </c>
      <c r="H129" s="25" t="s">
        <v>423</v>
      </c>
      <c r="I129" s="25" t="s">
        <v>423</v>
      </c>
      <c r="J129" s="25" t="s">
        <v>474</v>
      </c>
      <c r="K129" s="25" t="s">
        <v>488</v>
      </c>
      <c r="L129" s="25" t="s">
        <v>489</v>
      </c>
      <c r="M129" s="25" t="s">
        <v>497</v>
      </c>
      <c r="N129" s="165" t="s">
        <v>532</v>
      </c>
    </row>
    <row r="130" spans="1:14" x14ac:dyDescent="0.3">
      <c r="A130" s="1">
        <v>129</v>
      </c>
      <c r="B130" s="25" t="s">
        <v>261</v>
      </c>
      <c r="C130" s="346" t="s">
        <v>151</v>
      </c>
      <c r="D130" s="346"/>
      <c r="E130" s="346"/>
      <c r="F130" s="25" t="s">
        <v>375</v>
      </c>
      <c r="G130" s="25" t="s">
        <v>423</v>
      </c>
      <c r="H130" s="25" t="s">
        <v>423</v>
      </c>
      <c r="I130" s="25" t="s">
        <v>423</v>
      </c>
      <c r="J130" s="25" t="s">
        <v>467</v>
      </c>
      <c r="K130" s="25" t="s">
        <v>488</v>
      </c>
      <c r="L130" s="25" t="s">
        <v>489</v>
      </c>
      <c r="M130" s="25" t="s">
        <v>496</v>
      </c>
      <c r="N130" s="165" t="s">
        <v>532</v>
      </c>
    </row>
    <row r="131" spans="1:14" x14ac:dyDescent="0.3">
      <c r="A131" s="1">
        <v>130</v>
      </c>
      <c r="B131" s="25" t="s">
        <v>262</v>
      </c>
      <c r="C131" s="346" t="s">
        <v>152</v>
      </c>
      <c r="D131" s="346"/>
      <c r="E131" s="346"/>
      <c r="F131" s="25" t="s">
        <v>376</v>
      </c>
      <c r="G131" s="25" t="s">
        <v>423</v>
      </c>
      <c r="H131" s="25" t="s">
        <v>423</v>
      </c>
      <c r="I131" s="25" t="s">
        <v>423</v>
      </c>
      <c r="J131" s="25" t="s">
        <v>474</v>
      </c>
      <c r="K131" s="25" t="s">
        <v>488</v>
      </c>
      <c r="L131" s="25" t="s">
        <v>489</v>
      </c>
      <c r="M131" s="25" t="s">
        <v>497</v>
      </c>
      <c r="N131" s="165" t="s">
        <v>532</v>
      </c>
    </row>
    <row r="132" spans="1:14" x14ac:dyDescent="0.3">
      <c r="A132" s="1">
        <v>131</v>
      </c>
      <c r="B132" s="25" t="s">
        <v>263</v>
      </c>
      <c r="C132" s="346" t="s">
        <v>153</v>
      </c>
      <c r="D132" s="346"/>
      <c r="E132" s="346"/>
      <c r="F132" s="25" t="s">
        <v>377</v>
      </c>
      <c r="G132" s="25" t="s">
        <v>424</v>
      </c>
      <c r="H132" s="25" t="s">
        <v>424</v>
      </c>
      <c r="I132" s="25" t="s">
        <v>423</v>
      </c>
      <c r="J132" s="25" t="s">
        <v>469</v>
      </c>
      <c r="K132" s="25" t="s">
        <v>488</v>
      </c>
      <c r="L132" s="25" t="s">
        <v>489</v>
      </c>
      <c r="M132" s="25" t="s">
        <v>498</v>
      </c>
      <c r="N132" s="165" t="s">
        <v>532</v>
      </c>
    </row>
    <row r="133" spans="1:14" x14ac:dyDescent="0.3">
      <c r="A133" s="1">
        <v>132</v>
      </c>
      <c r="B133" s="25" t="s">
        <v>792</v>
      </c>
      <c r="C133" s="346" t="s">
        <v>785</v>
      </c>
      <c r="D133" s="346"/>
      <c r="E133" s="346"/>
      <c r="F133" s="25" t="s">
        <v>786</v>
      </c>
      <c r="G133" s="25" t="s">
        <v>425</v>
      </c>
      <c r="H133" s="25" t="s">
        <v>444</v>
      </c>
      <c r="I133" s="25" t="s">
        <v>423</v>
      </c>
      <c r="J133" s="25" t="s">
        <v>471</v>
      </c>
      <c r="K133" s="25" t="s">
        <v>488</v>
      </c>
      <c r="L133" s="25" t="s">
        <v>489</v>
      </c>
      <c r="M133" s="25" t="s">
        <v>499</v>
      </c>
      <c r="N133" s="165" t="s">
        <v>532</v>
      </c>
    </row>
    <row r="134" spans="1:14" x14ac:dyDescent="0.3">
      <c r="A134" s="1">
        <v>133</v>
      </c>
      <c r="B134" s="25" t="s">
        <v>793</v>
      </c>
      <c r="C134" s="346" t="s">
        <v>787</v>
      </c>
      <c r="D134" s="346"/>
      <c r="E134" s="346"/>
      <c r="F134" s="25" t="s">
        <v>788</v>
      </c>
      <c r="G134" s="25" t="s">
        <v>425</v>
      </c>
      <c r="H134" s="25" t="s">
        <v>444</v>
      </c>
      <c r="I134" s="25" t="s">
        <v>423</v>
      </c>
      <c r="J134" s="25" t="s">
        <v>471</v>
      </c>
      <c r="K134" s="25" t="s">
        <v>488</v>
      </c>
      <c r="L134" s="25" t="s">
        <v>489</v>
      </c>
      <c r="M134" s="25" t="s">
        <v>495</v>
      </c>
      <c r="N134" s="165" t="s">
        <v>532</v>
      </c>
    </row>
    <row r="135" spans="1:14" x14ac:dyDescent="0.3">
      <c r="A135" s="1">
        <v>134</v>
      </c>
      <c r="B135" s="25" t="s">
        <v>264</v>
      </c>
      <c r="C135" s="346" t="s">
        <v>154</v>
      </c>
      <c r="D135" s="346"/>
      <c r="E135" s="346"/>
      <c r="F135" s="25" t="s">
        <v>378</v>
      </c>
      <c r="G135" s="25" t="s">
        <v>425</v>
      </c>
      <c r="H135" s="25" t="s">
        <v>444</v>
      </c>
      <c r="I135" s="25" t="s">
        <v>431</v>
      </c>
      <c r="J135" s="25" t="s">
        <v>482</v>
      </c>
      <c r="K135" s="25" t="s">
        <v>488</v>
      </c>
      <c r="L135" s="25" t="s">
        <v>492</v>
      </c>
      <c r="M135" s="25" t="s">
        <v>501</v>
      </c>
      <c r="N135" s="165" t="s">
        <v>526</v>
      </c>
    </row>
    <row r="136" spans="1:14" x14ac:dyDescent="0.3">
      <c r="A136" s="1">
        <v>135</v>
      </c>
      <c r="B136" s="25" t="s">
        <v>265</v>
      </c>
      <c r="C136" s="346" t="s">
        <v>155</v>
      </c>
      <c r="D136" s="346"/>
      <c r="E136" s="346"/>
      <c r="F136" s="25" t="s">
        <v>379</v>
      </c>
      <c r="G136" s="25" t="s">
        <v>426</v>
      </c>
      <c r="H136" s="25" t="s">
        <v>445</v>
      </c>
      <c r="I136" s="25" t="s">
        <v>426</v>
      </c>
      <c r="J136" s="25" t="s">
        <v>480</v>
      </c>
      <c r="K136" s="25" t="s">
        <v>490</v>
      </c>
      <c r="L136" s="25" t="s">
        <v>483</v>
      </c>
      <c r="M136" s="25" t="s">
        <v>504</v>
      </c>
      <c r="N136" s="165" t="s">
        <v>529</v>
      </c>
    </row>
    <row r="137" spans="1:14" x14ac:dyDescent="0.3">
      <c r="A137" s="1">
        <v>136</v>
      </c>
      <c r="B137" s="25" t="s">
        <v>266</v>
      </c>
      <c r="C137" s="346" t="s">
        <v>156</v>
      </c>
      <c r="D137" s="346"/>
      <c r="E137" s="346"/>
      <c r="F137" t="s">
        <v>380</v>
      </c>
      <c r="G137" t="s">
        <v>408</v>
      </c>
      <c r="H137" t="s">
        <v>446</v>
      </c>
      <c r="I137" t="s">
        <v>415</v>
      </c>
      <c r="J137" t="s">
        <v>483</v>
      </c>
      <c r="K137" t="s">
        <v>488</v>
      </c>
      <c r="L137" t="s">
        <v>489</v>
      </c>
      <c r="M137" s="25" t="s">
        <v>501</v>
      </c>
      <c r="N137" s="165" t="s">
        <v>518</v>
      </c>
    </row>
    <row r="138" spans="1:14" x14ac:dyDescent="0.3">
      <c r="A138" s="1">
        <v>137</v>
      </c>
      <c r="B138" s="25" t="s">
        <v>267</v>
      </c>
      <c r="C138" s="346" t="s">
        <v>157</v>
      </c>
      <c r="D138" s="346"/>
      <c r="E138" s="346"/>
      <c r="F138" t="s">
        <v>381</v>
      </c>
      <c r="G138" t="s">
        <v>427</v>
      </c>
      <c r="H138" t="s">
        <v>427</v>
      </c>
      <c r="I138" t="s">
        <v>461</v>
      </c>
      <c r="J138" t="s">
        <v>484</v>
      </c>
      <c r="K138" t="s">
        <v>490</v>
      </c>
      <c r="L138" t="s">
        <v>483</v>
      </c>
      <c r="M138" s="25" t="s">
        <v>504</v>
      </c>
      <c r="N138" s="165" t="s">
        <v>524</v>
      </c>
    </row>
    <row r="139" spans="1:14" x14ac:dyDescent="0.3">
      <c r="A139" s="1">
        <v>138</v>
      </c>
      <c r="B139" s="25" t="s">
        <v>268</v>
      </c>
      <c r="C139" s="346" t="s">
        <v>158</v>
      </c>
      <c r="D139" s="346"/>
      <c r="E139" s="346"/>
      <c r="F139" t="s">
        <v>382</v>
      </c>
      <c r="G139" t="s">
        <v>705</v>
      </c>
      <c r="H139" t="s">
        <v>447</v>
      </c>
      <c r="I139" t="s">
        <v>431</v>
      </c>
      <c r="J139" t="s">
        <v>482</v>
      </c>
      <c r="K139" t="s">
        <v>488</v>
      </c>
      <c r="L139" t="s">
        <v>489</v>
      </c>
      <c r="M139" s="25" t="s">
        <v>501</v>
      </c>
      <c r="N139" s="165" t="s">
        <v>526</v>
      </c>
    </row>
    <row r="140" spans="1:14" x14ac:dyDescent="0.3">
      <c r="A140" s="1">
        <v>139</v>
      </c>
      <c r="B140" s="25" t="s">
        <v>269</v>
      </c>
      <c r="C140" s="346" t="s">
        <v>159</v>
      </c>
      <c r="D140" s="346"/>
      <c r="E140" s="346"/>
      <c r="F140" t="s">
        <v>383</v>
      </c>
      <c r="G140" t="s">
        <v>428</v>
      </c>
      <c r="H140" t="s">
        <v>448</v>
      </c>
      <c r="I140" t="s">
        <v>457</v>
      </c>
      <c r="J140" t="s">
        <v>470</v>
      </c>
      <c r="K140" t="s">
        <v>490</v>
      </c>
      <c r="L140" t="s">
        <v>483</v>
      </c>
      <c r="M140" s="25" t="s">
        <v>505</v>
      </c>
      <c r="N140" s="165" t="s">
        <v>521</v>
      </c>
    </row>
    <row r="141" spans="1:14" x14ac:dyDescent="0.3">
      <c r="A141" s="1">
        <v>140</v>
      </c>
      <c r="B141" s="25" t="s">
        <v>270</v>
      </c>
      <c r="C141" s="346" t="s">
        <v>160</v>
      </c>
      <c r="D141" s="346"/>
      <c r="E141" s="346"/>
      <c r="F141" t="s">
        <v>384</v>
      </c>
      <c r="G141" t="s">
        <v>429</v>
      </c>
      <c r="H141" t="s">
        <v>449</v>
      </c>
      <c r="I141" t="s">
        <v>423</v>
      </c>
      <c r="J141" t="s">
        <v>467</v>
      </c>
      <c r="K141" t="s">
        <v>488</v>
      </c>
      <c r="L141" t="s">
        <v>489</v>
      </c>
      <c r="M141" s="25" t="s">
        <v>506</v>
      </c>
      <c r="N141" s="165" t="s">
        <v>532</v>
      </c>
    </row>
    <row r="142" spans="1:14" x14ac:dyDescent="0.3">
      <c r="A142" s="1">
        <v>141</v>
      </c>
      <c r="B142" s="25" t="s">
        <v>271</v>
      </c>
      <c r="C142" s="346" t="s">
        <v>161</v>
      </c>
      <c r="D142" s="346"/>
      <c r="E142" s="346"/>
      <c r="F142" t="s">
        <v>385</v>
      </c>
      <c r="G142" t="s">
        <v>413</v>
      </c>
      <c r="H142" t="s">
        <v>450</v>
      </c>
      <c r="I142" t="s">
        <v>458</v>
      </c>
      <c r="J142" t="s">
        <v>485</v>
      </c>
      <c r="K142" t="s">
        <v>488</v>
      </c>
      <c r="L142" t="s">
        <v>489</v>
      </c>
      <c r="M142" s="25" t="s">
        <v>501</v>
      </c>
      <c r="N142" s="165" t="s">
        <v>530</v>
      </c>
    </row>
    <row r="143" spans="1:14" x14ac:dyDescent="0.3">
      <c r="A143" s="1">
        <v>142</v>
      </c>
      <c r="B143" s="25" t="s">
        <v>272</v>
      </c>
      <c r="C143" s="346" t="s">
        <v>162</v>
      </c>
      <c r="D143" s="346"/>
      <c r="E143" s="346"/>
      <c r="F143" t="s">
        <v>386</v>
      </c>
      <c r="G143" t="s">
        <v>430</v>
      </c>
      <c r="H143" t="s">
        <v>430</v>
      </c>
      <c r="I143" t="s">
        <v>462</v>
      </c>
      <c r="J143" t="s">
        <v>467</v>
      </c>
      <c r="K143" t="s">
        <v>488</v>
      </c>
      <c r="L143" t="s">
        <v>489</v>
      </c>
      <c r="M143" s="25" t="s">
        <v>499</v>
      </c>
      <c r="N143" s="165" t="s">
        <v>525</v>
      </c>
    </row>
    <row r="144" spans="1:14" x14ac:dyDescent="0.3">
      <c r="A144" s="1">
        <v>143</v>
      </c>
      <c r="B144" s="25" t="s">
        <v>273</v>
      </c>
      <c r="C144" s="346" t="s">
        <v>163</v>
      </c>
      <c r="D144" s="346"/>
      <c r="E144" s="346"/>
      <c r="F144" t="s">
        <v>387</v>
      </c>
      <c r="G144" t="s">
        <v>430</v>
      </c>
      <c r="H144" t="s">
        <v>430</v>
      </c>
      <c r="I144" t="s">
        <v>462</v>
      </c>
      <c r="J144" t="s">
        <v>468</v>
      </c>
      <c r="K144" t="s">
        <v>488</v>
      </c>
      <c r="L144" t="s">
        <v>489</v>
      </c>
      <c r="M144" s="25" t="s">
        <v>495</v>
      </c>
      <c r="N144" s="165" t="s">
        <v>525</v>
      </c>
    </row>
    <row r="145" spans="1:15" x14ac:dyDescent="0.3">
      <c r="A145" s="1">
        <v>144</v>
      </c>
      <c r="B145" s="25" t="s">
        <v>274</v>
      </c>
      <c r="C145" s="346" t="s">
        <v>164</v>
      </c>
      <c r="D145" s="346"/>
      <c r="E145" s="346"/>
      <c r="F145" t="s">
        <v>388</v>
      </c>
      <c r="G145" t="s">
        <v>431</v>
      </c>
      <c r="H145" t="s">
        <v>451</v>
      </c>
      <c r="I145" t="s">
        <v>431</v>
      </c>
      <c r="J145" t="s">
        <v>467</v>
      </c>
      <c r="K145" t="s">
        <v>488</v>
      </c>
      <c r="L145" t="s">
        <v>489</v>
      </c>
      <c r="M145" s="25" t="s">
        <v>496</v>
      </c>
      <c r="N145" s="165" t="s">
        <v>526</v>
      </c>
    </row>
    <row r="146" spans="1:15" x14ac:dyDescent="0.3">
      <c r="A146" s="1">
        <v>145</v>
      </c>
      <c r="B146" s="25" t="s">
        <v>275</v>
      </c>
      <c r="C146" s="346" t="s">
        <v>165</v>
      </c>
      <c r="D146" s="346"/>
      <c r="E146" s="346"/>
      <c r="F146" t="s">
        <v>389</v>
      </c>
      <c r="G146" t="s">
        <v>431</v>
      </c>
      <c r="H146" t="s">
        <v>451</v>
      </c>
      <c r="I146" t="s">
        <v>431</v>
      </c>
      <c r="J146" t="s">
        <v>466</v>
      </c>
      <c r="K146" t="s">
        <v>488</v>
      </c>
      <c r="L146" t="s">
        <v>489</v>
      </c>
      <c r="M146" s="25" t="s">
        <v>497</v>
      </c>
      <c r="N146" s="165" t="s">
        <v>526</v>
      </c>
      <c r="O146" s="203"/>
    </row>
    <row r="147" spans="1:15" s="182" customFormat="1" x14ac:dyDescent="0.3">
      <c r="A147" s="1">
        <v>146</v>
      </c>
      <c r="B147" s="25" t="s">
        <v>276</v>
      </c>
      <c r="C147" s="346" t="s">
        <v>166</v>
      </c>
      <c r="D147" s="346"/>
      <c r="E147" s="346"/>
      <c r="F147" t="s">
        <v>390</v>
      </c>
      <c r="G147" t="s">
        <v>431</v>
      </c>
      <c r="H147" t="s">
        <v>451</v>
      </c>
      <c r="I147" t="s">
        <v>431</v>
      </c>
      <c r="J147" t="s">
        <v>468</v>
      </c>
      <c r="K147" t="s">
        <v>488</v>
      </c>
      <c r="L147" t="s">
        <v>489</v>
      </c>
      <c r="M147" s="25" t="s">
        <v>497</v>
      </c>
      <c r="N147" s="165" t="s">
        <v>526</v>
      </c>
      <c r="O147" s="202"/>
    </row>
    <row r="148" spans="1:15" x14ac:dyDescent="0.3">
      <c r="A148" s="1">
        <v>147</v>
      </c>
      <c r="B148" s="25" t="s">
        <v>277</v>
      </c>
      <c r="C148" s="346" t="s">
        <v>167</v>
      </c>
      <c r="D148" s="346"/>
      <c r="E148" s="346"/>
      <c r="F148" t="s">
        <v>391</v>
      </c>
      <c r="G148" t="s">
        <v>431</v>
      </c>
      <c r="H148" t="s">
        <v>451</v>
      </c>
      <c r="I148" t="s">
        <v>431</v>
      </c>
      <c r="J148" t="s">
        <v>468</v>
      </c>
      <c r="K148" t="s">
        <v>488</v>
      </c>
      <c r="L148" t="s">
        <v>489</v>
      </c>
      <c r="M148" s="25" t="s">
        <v>497</v>
      </c>
      <c r="N148" s="165" t="s">
        <v>526</v>
      </c>
    </row>
    <row r="149" spans="1:15" x14ac:dyDescent="0.3">
      <c r="A149" s="1">
        <v>148</v>
      </c>
      <c r="B149" s="25" t="s">
        <v>278</v>
      </c>
      <c r="C149" s="346" t="s">
        <v>168</v>
      </c>
      <c r="D149" s="346"/>
      <c r="E149" s="346"/>
      <c r="F149" t="s">
        <v>392</v>
      </c>
      <c r="G149" t="s">
        <v>431</v>
      </c>
      <c r="H149" t="s">
        <v>451</v>
      </c>
      <c r="I149" t="s">
        <v>431</v>
      </c>
      <c r="J149" t="s">
        <v>474</v>
      </c>
      <c r="K149" t="s">
        <v>488</v>
      </c>
      <c r="L149" t="s">
        <v>489</v>
      </c>
      <c r="M149" s="25" t="s">
        <v>497</v>
      </c>
      <c r="N149" s="165" t="s">
        <v>526</v>
      </c>
    </row>
    <row r="150" spans="1:15" x14ac:dyDescent="0.3">
      <c r="A150" s="1">
        <v>149</v>
      </c>
      <c r="B150" s="25" t="s">
        <v>1069</v>
      </c>
      <c r="C150" s="346" t="s">
        <v>169</v>
      </c>
      <c r="D150" s="346"/>
      <c r="E150" s="346"/>
      <c r="F150" t="s">
        <v>393</v>
      </c>
      <c r="G150" t="s">
        <v>431</v>
      </c>
      <c r="H150" t="s">
        <v>451</v>
      </c>
      <c r="I150" t="s">
        <v>431</v>
      </c>
      <c r="J150" t="s">
        <v>474</v>
      </c>
      <c r="K150" t="s">
        <v>488</v>
      </c>
      <c r="L150" t="s">
        <v>489</v>
      </c>
      <c r="M150" s="25" t="s">
        <v>497</v>
      </c>
      <c r="N150" s="165" t="s">
        <v>526</v>
      </c>
    </row>
    <row r="151" spans="1:15" x14ac:dyDescent="0.3">
      <c r="A151" s="224">
        <v>150</v>
      </c>
      <c r="B151" s="223" t="s">
        <v>1068</v>
      </c>
      <c r="C151" s="346" t="s">
        <v>1065</v>
      </c>
      <c r="D151" s="346"/>
      <c r="E151" s="346"/>
      <c r="F151" s="223" t="s">
        <v>1066</v>
      </c>
      <c r="G151" s="223" t="s">
        <v>431</v>
      </c>
      <c r="H151" s="223" t="s">
        <v>451</v>
      </c>
      <c r="I151" s="223" t="s">
        <v>431</v>
      </c>
      <c r="J151" s="223" t="s">
        <v>1067</v>
      </c>
      <c r="K151" s="223" t="s">
        <v>488</v>
      </c>
      <c r="L151" s="223" t="s">
        <v>489</v>
      </c>
      <c r="M151" s="223" t="s">
        <v>497</v>
      </c>
      <c r="N151" s="223" t="s">
        <v>526</v>
      </c>
    </row>
    <row r="152" spans="1:15" x14ac:dyDescent="0.3">
      <c r="A152" s="224">
        <v>151</v>
      </c>
      <c r="B152" s="25" t="s">
        <v>279</v>
      </c>
      <c r="C152" s="346" t="s">
        <v>170</v>
      </c>
      <c r="D152" s="346"/>
      <c r="E152" s="346"/>
      <c r="F152" t="s">
        <v>394</v>
      </c>
      <c r="G152" t="s">
        <v>431</v>
      </c>
      <c r="H152" t="s">
        <v>451</v>
      </c>
      <c r="I152" t="s">
        <v>431</v>
      </c>
      <c r="J152" t="s">
        <v>471</v>
      </c>
      <c r="K152" t="s">
        <v>488</v>
      </c>
      <c r="L152" t="s">
        <v>489</v>
      </c>
      <c r="M152" s="25" t="s">
        <v>498</v>
      </c>
      <c r="N152" s="165" t="s">
        <v>526</v>
      </c>
      <c r="O152" s="182"/>
    </row>
    <row r="153" spans="1:15" x14ac:dyDescent="0.3">
      <c r="A153" s="224">
        <v>152</v>
      </c>
      <c r="B153" s="25" t="s">
        <v>280</v>
      </c>
      <c r="C153" s="346" t="s">
        <v>171</v>
      </c>
      <c r="D153" s="346"/>
      <c r="E153" s="346"/>
      <c r="F153" t="s">
        <v>395</v>
      </c>
      <c r="G153" t="s">
        <v>431</v>
      </c>
      <c r="H153" t="s">
        <v>451</v>
      </c>
      <c r="I153" t="s">
        <v>431</v>
      </c>
      <c r="J153" t="s">
        <v>467</v>
      </c>
      <c r="K153" t="s">
        <v>488</v>
      </c>
      <c r="L153" t="s">
        <v>489</v>
      </c>
      <c r="M153" s="25" t="s">
        <v>496</v>
      </c>
      <c r="N153" s="165" t="s">
        <v>526</v>
      </c>
    </row>
    <row r="154" spans="1:15" x14ac:dyDescent="0.3">
      <c r="A154" s="224">
        <v>153</v>
      </c>
      <c r="B154" s="25" t="s">
        <v>281</v>
      </c>
      <c r="C154" s="346" t="s">
        <v>172</v>
      </c>
      <c r="D154" s="346"/>
      <c r="E154" s="346"/>
      <c r="F154" t="s">
        <v>396</v>
      </c>
      <c r="G154" t="s">
        <v>431</v>
      </c>
      <c r="H154" t="s">
        <v>451</v>
      </c>
      <c r="I154" t="s">
        <v>431</v>
      </c>
      <c r="J154" t="s">
        <v>467</v>
      </c>
      <c r="K154" t="s">
        <v>488</v>
      </c>
      <c r="L154" t="s">
        <v>489</v>
      </c>
      <c r="M154" s="25" t="s">
        <v>496</v>
      </c>
      <c r="N154" s="165" t="s">
        <v>526</v>
      </c>
    </row>
    <row r="155" spans="1:15" x14ac:dyDescent="0.3">
      <c r="A155" s="224">
        <v>154</v>
      </c>
      <c r="B155" s="25" t="s">
        <v>282</v>
      </c>
      <c r="C155" s="346" t="s">
        <v>173</v>
      </c>
      <c r="D155" s="346"/>
      <c r="E155" s="346"/>
      <c r="F155" t="s">
        <v>397</v>
      </c>
      <c r="G155" t="s">
        <v>431</v>
      </c>
      <c r="H155" t="s">
        <v>451</v>
      </c>
      <c r="I155" t="s">
        <v>431</v>
      </c>
      <c r="J155" t="s">
        <v>470</v>
      </c>
      <c r="K155" t="s">
        <v>488</v>
      </c>
      <c r="L155" t="s">
        <v>489</v>
      </c>
      <c r="M155" s="25" t="s">
        <v>498</v>
      </c>
      <c r="N155" s="165" t="s">
        <v>526</v>
      </c>
    </row>
    <row r="156" spans="1:15" x14ac:dyDescent="0.3">
      <c r="A156" s="224">
        <v>155</v>
      </c>
      <c r="B156" s="203" t="s">
        <v>993</v>
      </c>
      <c r="C156" s="346" t="s">
        <v>989</v>
      </c>
      <c r="D156" s="346"/>
      <c r="E156" s="346"/>
      <c r="F156" s="203" t="s">
        <v>990</v>
      </c>
      <c r="G156" s="203" t="s">
        <v>991</v>
      </c>
      <c r="H156" s="203" t="s">
        <v>992</v>
      </c>
      <c r="I156" s="203" t="s">
        <v>431</v>
      </c>
      <c r="J156" s="203" t="s">
        <v>830</v>
      </c>
      <c r="K156" s="203"/>
      <c r="L156" s="203" t="s">
        <v>489</v>
      </c>
      <c r="M156" s="203" t="s">
        <v>496</v>
      </c>
      <c r="N156" s="203" t="s">
        <v>526</v>
      </c>
    </row>
    <row r="157" spans="1:15" x14ac:dyDescent="0.3">
      <c r="A157" s="224">
        <v>156</v>
      </c>
      <c r="B157" s="25" t="s">
        <v>283</v>
      </c>
      <c r="C157" s="346" t="s">
        <v>174</v>
      </c>
      <c r="D157" s="346"/>
      <c r="E157" s="346"/>
      <c r="F157" t="s">
        <v>398</v>
      </c>
      <c r="G157" t="s">
        <v>408</v>
      </c>
      <c r="H157" t="s">
        <v>408</v>
      </c>
      <c r="I157" t="s">
        <v>463</v>
      </c>
      <c r="J157" t="s">
        <v>471</v>
      </c>
      <c r="K157" t="s">
        <v>488</v>
      </c>
      <c r="L157" t="s">
        <v>489</v>
      </c>
      <c r="M157" s="206" t="s">
        <v>500</v>
      </c>
      <c r="N157" s="206" t="s">
        <v>527</v>
      </c>
    </row>
    <row r="158" spans="1:15" x14ac:dyDescent="0.3">
      <c r="A158" s="224">
        <v>157</v>
      </c>
      <c r="B158" s="25" t="s">
        <v>284</v>
      </c>
      <c r="C158" s="346" t="s">
        <v>175</v>
      </c>
      <c r="D158" s="346"/>
      <c r="E158" s="346"/>
      <c r="F158" t="s">
        <v>399</v>
      </c>
      <c r="G158" t="s">
        <v>419</v>
      </c>
      <c r="H158" t="s">
        <v>452</v>
      </c>
      <c r="I158" t="s">
        <v>423</v>
      </c>
      <c r="J158" t="s">
        <v>478</v>
      </c>
      <c r="K158" t="s">
        <v>488</v>
      </c>
      <c r="L158" t="s">
        <v>489</v>
      </c>
      <c r="M158" s="25" t="s">
        <v>502</v>
      </c>
      <c r="N158" s="165" t="s">
        <v>532</v>
      </c>
    </row>
    <row r="159" spans="1:15" x14ac:dyDescent="0.3">
      <c r="A159" s="224">
        <v>158</v>
      </c>
      <c r="B159" s="25" t="s">
        <v>285</v>
      </c>
      <c r="C159" s="346" t="s">
        <v>176</v>
      </c>
      <c r="D159" s="346"/>
      <c r="E159" s="346"/>
      <c r="F159" t="s">
        <v>400</v>
      </c>
      <c r="G159" t="s">
        <v>408</v>
      </c>
      <c r="H159" t="s">
        <v>453</v>
      </c>
      <c r="I159" t="s">
        <v>463</v>
      </c>
      <c r="J159" t="s">
        <v>467</v>
      </c>
      <c r="K159" t="s">
        <v>488</v>
      </c>
      <c r="L159" t="s">
        <v>493</v>
      </c>
      <c r="M159" s="25" t="s">
        <v>506</v>
      </c>
      <c r="N159" s="165" t="s">
        <v>527</v>
      </c>
    </row>
    <row r="160" spans="1:15" x14ac:dyDescent="0.3">
      <c r="A160" s="224">
        <v>159</v>
      </c>
      <c r="B160" s="25" t="s">
        <v>286</v>
      </c>
      <c r="C160" s="346" t="s">
        <v>766</v>
      </c>
      <c r="D160" s="346"/>
      <c r="E160" s="346"/>
      <c r="F160" t="s">
        <v>401</v>
      </c>
      <c r="G160" t="s">
        <v>432</v>
      </c>
      <c r="H160" t="s">
        <v>454</v>
      </c>
      <c r="I160" t="s">
        <v>432</v>
      </c>
      <c r="J160" t="s">
        <v>468</v>
      </c>
      <c r="K160" t="s">
        <v>488</v>
      </c>
      <c r="L160" t="s">
        <v>489</v>
      </c>
      <c r="M160" s="25" t="s">
        <v>495</v>
      </c>
      <c r="N160" s="165" t="s">
        <v>520</v>
      </c>
    </row>
    <row r="161" spans="1:14" x14ac:dyDescent="0.3">
      <c r="A161" s="224">
        <v>160</v>
      </c>
      <c r="B161" s="25" t="s">
        <v>287</v>
      </c>
      <c r="C161" s="346" t="s">
        <v>177</v>
      </c>
      <c r="D161" s="346"/>
      <c r="E161" s="346"/>
      <c r="F161" t="s">
        <v>402</v>
      </c>
      <c r="G161" t="s">
        <v>432</v>
      </c>
      <c r="H161" t="s">
        <v>454</v>
      </c>
      <c r="I161" t="s">
        <v>432</v>
      </c>
      <c r="J161" t="s">
        <v>474</v>
      </c>
      <c r="K161" t="s">
        <v>488</v>
      </c>
      <c r="L161" t="s">
        <v>489</v>
      </c>
      <c r="M161" s="25" t="s">
        <v>495</v>
      </c>
      <c r="N161" s="165" t="s">
        <v>520</v>
      </c>
    </row>
    <row r="162" spans="1:14" x14ac:dyDescent="0.3">
      <c r="A162" s="224">
        <v>161</v>
      </c>
      <c r="B162" s="182" t="s">
        <v>980</v>
      </c>
      <c r="C162" s="346" t="s">
        <v>977</v>
      </c>
      <c r="D162" s="346"/>
      <c r="E162" s="346"/>
      <c r="F162" s="182" t="s">
        <v>978</v>
      </c>
      <c r="G162" s="182" t="s">
        <v>432</v>
      </c>
      <c r="H162" s="182" t="s">
        <v>454</v>
      </c>
      <c r="I162" s="182" t="s">
        <v>432</v>
      </c>
      <c r="J162" s="182" t="s">
        <v>979</v>
      </c>
      <c r="K162" s="182" t="s">
        <v>488</v>
      </c>
      <c r="L162" s="182" t="s">
        <v>489</v>
      </c>
      <c r="M162" s="182" t="s">
        <v>495</v>
      </c>
      <c r="N162" s="182" t="s">
        <v>520</v>
      </c>
    </row>
    <row r="163" spans="1:14" x14ac:dyDescent="0.3">
      <c r="A163" s="224">
        <v>162</v>
      </c>
      <c r="B163" s="25" t="s">
        <v>288</v>
      </c>
      <c r="C163" s="346" t="s">
        <v>767</v>
      </c>
      <c r="D163" s="346"/>
      <c r="E163" s="346"/>
      <c r="F163" t="s">
        <v>403</v>
      </c>
      <c r="G163" t="s">
        <v>432</v>
      </c>
      <c r="H163" t="s">
        <v>454</v>
      </c>
      <c r="I163" t="s">
        <v>432</v>
      </c>
      <c r="J163" t="s">
        <v>467</v>
      </c>
      <c r="K163" t="s">
        <v>488</v>
      </c>
      <c r="L163" s="25" t="s">
        <v>489</v>
      </c>
      <c r="M163" s="165" t="s">
        <v>496</v>
      </c>
      <c r="N163" s="182" t="s">
        <v>520</v>
      </c>
    </row>
    <row r="164" spans="1:14" x14ac:dyDescent="0.3">
      <c r="A164" s="224">
        <v>163</v>
      </c>
      <c r="B164" s="25" t="s">
        <v>289</v>
      </c>
      <c r="C164" s="346" t="s">
        <v>178</v>
      </c>
      <c r="D164" s="346"/>
      <c r="E164" s="346"/>
      <c r="F164" t="s">
        <v>404</v>
      </c>
      <c r="G164" t="s">
        <v>408</v>
      </c>
      <c r="H164" t="s">
        <v>455</v>
      </c>
      <c r="I164" t="s">
        <v>415</v>
      </c>
      <c r="J164" t="s">
        <v>467</v>
      </c>
      <c r="K164" t="s">
        <v>488</v>
      </c>
      <c r="L164" s="25" t="s">
        <v>489</v>
      </c>
      <c r="M164" s="165" t="s">
        <v>506</v>
      </c>
      <c r="N164" s="165" t="s">
        <v>518</v>
      </c>
    </row>
    <row r="165" spans="1:14" x14ac:dyDescent="0.3">
      <c r="A165" s="224">
        <v>164</v>
      </c>
      <c r="B165" s="25" t="s">
        <v>983</v>
      </c>
      <c r="C165" s="346" t="s">
        <v>983</v>
      </c>
      <c r="D165" s="346"/>
      <c r="E165" s="346"/>
      <c r="F165" t="s">
        <v>984</v>
      </c>
      <c r="G165" t="s">
        <v>985</v>
      </c>
      <c r="H165" t="s">
        <v>986</v>
      </c>
      <c r="I165" t="s">
        <v>987</v>
      </c>
      <c r="J165" s="212" t="s">
        <v>830</v>
      </c>
      <c r="K165" s="212" t="s">
        <v>830</v>
      </c>
      <c r="L165" s="25" t="s">
        <v>489</v>
      </c>
      <c r="M165" s="223" t="s">
        <v>500</v>
      </c>
      <c r="N165" s="199" t="e">
        <v>#N/A</v>
      </c>
    </row>
    <row r="166" spans="1:14" x14ac:dyDescent="0.3">
      <c r="A166" s="224">
        <v>165</v>
      </c>
      <c r="B166" s="212" t="s">
        <v>1036</v>
      </c>
      <c r="C166" s="346" t="s">
        <v>1037</v>
      </c>
      <c r="D166" s="346"/>
      <c r="E166" s="346"/>
      <c r="F166" s="212" t="s">
        <v>1038</v>
      </c>
      <c r="G166" s="212" t="s">
        <v>1039</v>
      </c>
      <c r="H166" s="212" t="s">
        <v>1039</v>
      </c>
      <c r="I166" s="212" t="s">
        <v>1039</v>
      </c>
      <c r="J166" s="212" t="s">
        <v>830</v>
      </c>
      <c r="K166" s="212" t="s">
        <v>830</v>
      </c>
      <c r="L166" s="212" t="s">
        <v>489</v>
      </c>
      <c r="M166" s="223" t="s">
        <v>496</v>
      </c>
      <c r="N166" s="212" t="s">
        <v>521</v>
      </c>
    </row>
    <row r="167" spans="1:14" x14ac:dyDescent="0.3">
      <c r="A167" s="224">
        <v>166</v>
      </c>
      <c r="B167" s="212" t="s">
        <v>1053</v>
      </c>
      <c r="C167" s="346" t="s">
        <v>1086</v>
      </c>
      <c r="D167" s="346"/>
      <c r="E167" s="346"/>
      <c r="F167" s="212" t="s">
        <v>1043</v>
      </c>
      <c r="G167" s="212" t="s">
        <v>1044</v>
      </c>
      <c r="H167" s="212" t="s">
        <v>1045</v>
      </c>
      <c r="I167" s="212" t="s">
        <v>1032</v>
      </c>
      <c r="J167" s="212" t="s">
        <v>468</v>
      </c>
      <c r="K167" s="212" t="s">
        <v>830</v>
      </c>
      <c r="L167" s="212" t="s">
        <v>489</v>
      </c>
      <c r="M167" s="223" t="s">
        <v>497</v>
      </c>
      <c r="N167" s="212" t="s">
        <v>1034</v>
      </c>
    </row>
    <row r="168" spans="1:14" s="223" customFormat="1" x14ac:dyDescent="0.3">
      <c r="A168" s="224">
        <v>167</v>
      </c>
      <c r="B168" s="223" t="s">
        <v>1147</v>
      </c>
      <c r="C168" s="345" t="s">
        <v>1119</v>
      </c>
      <c r="D168" s="345"/>
      <c r="E168" s="345"/>
      <c r="F168" s="223" t="s">
        <v>1120</v>
      </c>
      <c r="G168" s="223" t="s">
        <v>1148</v>
      </c>
      <c r="H168" s="223" t="s">
        <v>830</v>
      </c>
      <c r="I168" s="223" t="s">
        <v>1149</v>
      </c>
      <c r="J168" s="223" t="s">
        <v>1150</v>
      </c>
      <c r="K168" s="223" t="s">
        <v>830</v>
      </c>
      <c r="L168" s="223" t="s">
        <v>489</v>
      </c>
      <c r="M168" s="223" t="s">
        <v>505</v>
      </c>
      <c r="N168" s="223" t="s">
        <v>1120</v>
      </c>
    </row>
    <row r="169" spans="1:14" s="223" customFormat="1" x14ac:dyDescent="0.3">
      <c r="A169" s="224">
        <v>168</v>
      </c>
      <c r="B169" s="223" t="s">
        <v>1121</v>
      </c>
      <c r="C169" s="345" t="s">
        <v>1121</v>
      </c>
      <c r="D169" s="345"/>
      <c r="E169" s="345"/>
      <c r="F169" s="223" t="s">
        <v>1122</v>
      </c>
      <c r="G169" s="223" t="s">
        <v>1151</v>
      </c>
      <c r="H169" s="223" t="s">
        <v>1152</v>
      </c>
      <c r="I169" s="223" t="s">
        <v>415</v>
      </c>
      <c r="J169" s="223" t="s">
        <v>468</v>
      </c>
      <c r="K169" s="223" t="s">
        <v>488</v>
      </c>
      <c r="L169" s="223" t="s">
        <v>489</v>
      </c>
      <c r="M169" s="223" t="s">
        <v>495</v>
      </c>
      <c r="N169" s="223" t="s">
        <v>518</v>
      </c>
    </row>
    <row r="170" spans="1:14" s="223" customFormat="1" x14ac:dyDescent="0.3">
      <c r="A170" s="224">
        <v>169</v>
      </c>
      <c r="B170" s="223" t="s">
        <v>1153</v>
      </c>
      <c r="C170" s="345" t="s">
        <v>1154</v>
      </c>
      <c r="D170" s="345"/>
      <c r="E170" s="345"/>
      <c r="F170" s="223" t="s">
        <v>1131</v>
      </c>
      <c r="G170" s="223" t="s">
        <v>1148</v>
      </c>
      <c r="H170" s="223" t="s">
        <v>830</v>
      </c>
      <c r="I170" s="223" t="s">
        <v>1155</v>
      </c>
      <c r="J170" s="223" t="s">
        <v>1150</v>
      </c>
      <c r="K170" s="223" t="s">
        <v>488</v>
      </c>
      <c r="L170" s="223" t="s">
        <v>489</v>
      </c>
      <c r="M170" s="223" t="s">
        <v>501</v>
      </c>
      <c r="N170" s="223" t="s">
        <v>1156</v>
      </c>
    </row>
    <row r="171" spans="1:14" s="223" customFormat="1" x14ac:dyDescent="0.3">
      <c r="A171" s="224">
        <v>170</v>
      </c>
      <c r="B171" s="223" t="s">
        <v>1157</v>
      </c>
      <c r="C171" s="345" t="s">
        <v>1157</v>
      </c>
      <c r="D171" s="345"/>
      <c r="E171" s="345"/>
      <c r="F171" s="223" t="s">
        <v>1158</v>
      </c>
      <c r="G171" s="223" t="s">
        <v>1151</v>
      </c>
      <c r="H171" s="223" t="s">
        <v>1159</v>
      </c>
      <c r="I171" s="223" t="s">
        <v>415</v>
      </c>
      <c r="J171" s="223" t="s">
        <v>1160</v>
      </c>
      <c r="K171" s="223" t="s">
        <v>830</v>
      </c>
      <c r="L171" s="223" t="s">
        <v>489</v>
      </c>
      <c r="M171" s="223" t="s">
        <v>502</v>
      </c>
      <c r="N171" s="223" t="s">
        <v>518</v>
      </c>
    </row>
    <row r="172" spans="1:14" s="223" customFormat="1" x14ac:dyDescent="0.3">
      <c r="A172" s="224">
        <v>171</v>
      </c>
      <c r="B172" s="223" t="s">
        <v>1161</v>
      </c>
      <c r="C172" s="345" t="s">
        <v>1162</v>
      </c>
      <c r="D172" s="345"/>
      <c r="E172" s="345"/>
      <c r="F172" s="223" t="s">
        <v>1163</v>
      </c>
      <c r="G172" s="223" t="s">
        <v>1151</v>
      </c>
      <c r="H172" s="223" t="s">
        <v>1159</v>
      </c>
      <c r="I172" s="223" t="s">
        <v>415</v>
      </c>
      <c r="J172" s="223" t="s">
        <v>1164</v>
      </c>
      <c r="K172" s="223" t="s">
        <v>488</v>
      </c>
      <c r="L172" s="223" t="s">
        <v>489</v>
      </c>
      <c r="M172" s="223" t="s">
        <v>498</v>
      </c>
      <c r="N172" s="223" t="s">
        <v>518</v>
      </c>
    </row>
    <row r="173" spans="1:14" s="223" customFormat="1" x14ac:dyDescent="0.3">
      <c r="A173" s="224">
        <v>172</v>
      </c>
      <c r="B173" s="223" t="s">
        <v>1165</v>
      </c>
      <c r="C173" s="345" t="s">
        <v>1166</v>
      </c>
      <c r="D173" s="345"/>
      <c r="E173" s="345"/>
      <c r="F173" s="223" t="s">
        <v>1167</v>
      </c>
      <c r="G173" s="223" t="s">
        <v>1151</v>
      </c>
      <c r="H173" s="223" t="s">
        <v>1168</v>
      </c>
      <c r="I173" s="223" t="s">
        <v>415</v>
      </c>
      <c r="J173" s="223" t="s">
        <v>1164</v>
      </c>
      <c r="K173" s="223" t="s">
        <v>488</v>
      </c>
      <c r="L173" s="223" t="s">
        <v>489</v>
      </c>
      <c r="M173" s="223" t="s">
        <v>498</v>
      </c>
      <c r="N173" s="223" t="s">
        <v>518</v>
      </c>
    </row>
    <row r="174" spans="1:14" s="223" customFormat="1" x14ac:dyDescent="0.3">
      <c r="A174" s="224">
        <v>173</v>
      </c>
      <c r="B174" s="223" t="s">
        <v>1169</v>
      </c>
      <c r="C174" s="345" t="s">
        <v>1169</v>
      </c>
      <c r="D174" s="345"/>
      <c r="E174" s="345"/>
      <c r="F174" s="223" t="s">
        <v>1170</v>
      </c>
      <c r="G174" s="223" t="s">
        <v>1151</v>
      </c>
      <c r="H174" s="223" t="s">
        <v>1171</v>
      </c>
      <c r="I174" s="223" t="s">
        <v>415</v>
      </c>
      <c r="J174" s="223" t="s">
        <v>1164</v>
      </c>
      <c r="K174" s="223" t="s">
        <v>488</v>
      </c>
      <c r="L174" s="223" t="s">
        <v>489</v>
      </c>
      <c r="M174" s="223" t="s">
        <v>498</v>
      </c>
      <c r="N174" s="223" t="s">
        <v>518</v>
      </c>
    </row>
    <row r="175" spans="1:14" s="223" customFormat="1" x14ac:dyDescent="0.3">
      <c r="A175" s="224">
        <v>174</v>
      </c>
      <c r="B175" s="223" t="s">
        <v>1172</v>
      </c>
      <c r="C175" s="345" t="s">
        <v>1173</v>
      </c>
      <c r="D175" s="345"/>
      <c r="E175" s="345"/>
      <c r="F175" s="223" t="s">
        <v>1174</v>
      </c>
      <c r="G175" s="223" t="s">
        <v>1151</v>
      </c>
      <c r="H175" s="223" t="s">
        <v>1171</v>
      </c>
      <c r="I175" s="223" t="s">
        <v>415</v>
      </c>
      <c r="J175" s="223" t="s">
        <v>467</v>
      </c>
      <c r="K175" s="223" t="s">
        <v>488</v>
      </c>
      <c r="L175" s="223" t="s">
        <v>489</v>
      </c>
      <c r="M175" s="223" t="s">
        <v>499</v>
      </c>
      <c r="N175" s="223" t="s">
        <v>518</v>
      </c>
    </row>
    <row r="176" spans="1:14" s="223" customFormat="1" x14ac:dyDescent="0.3">
      <c r="A176" s="224">
        <v>175</v>
      </c>
      <c r="B176" s="223" t="s">
        <v>1175</v>
      </c>
      <c r="C176" s="345" t="s">
        <v>1175</v>
      </c>
      <c r="D176" s="345"/>
      <c r="E176" s="345"/>
      <c r="F176" s="223" t="s">
        <v>1176</v>
      </c>
      <c r="G176" s="223" t="s">
        <v>1151</v>
      </c>
      <c r="H176" s="223" t="s">
        <v>1171</v>
      </c>
      <c r="I176" s="223" t="s">
        <v>415</v>
      </c>
      <c r="J176" s="223" t="s">
        <v>1164</v>
      </c>
      <c r="K176" s="223" t="s">
        <v>488</v>
      </c>
      <c r="L176" s="223" t="s">
        <v>489</v>
      </c>
      <c r="M176" s="223" t="s">
        <v>498</v>
      </c>
      <c r="N176" s="223" t="s">
        <v>518</v>
      </c>
    </row>
    <row r="177" spans="1:14" s="223" customFormat="1" x14ac:dyDescent="0.3">
      <c r="A177" s="224">
        <v>176</v>
      </c>
      <c r="B177" s="223" t="s">
        <v>1177</v>
      </c>
      <c r="C177" s="345" t="s">
        <v>1132</v>
      </c>
      <c r="D177" s="345"/>
      <c r="E177" s="345"/>
      <c r="F177" s="223" t="s">
        <v>1133</v>
      </c>
      <c r="G177" s="223" t="s">
        <v>1148</v>
      </c>
      <c r="H177" s="223" t="s">
        <v>830</v>
      </c>
      <c r="I177" s="223" t="s">
        <v>1178</v>
      </c>
      <c r="J177" s="223" t="s">
        <v>1150</v>
      </c>
      <c r="K177" s="223" t="s">
        <v>488</v>
      </c>
      <c r="L177" s="223" t="s">
        <v>489</v>
      </c>
      <c r="M177" s="223" t="s">
        <v>501</v>
      </c>
      <c r="N177" s="223" t="s">
        <v>1179</v>
      </c>
    </row>
    <row r="178" spans="1:14" s="223" customFormat="1" x14ac:dyDescent="0.3">
      <c r="A178" s="224">
        <v>177</v>
      </c>
      <c r="B178" s="223" t="s">
        <v>1180</v>
      </c>
      <c r="C178" s="345" t="s">
        <v>1134</v>
      </c>
      <c r="D178" s="345"/>
      <c r="E178" s="345"/>
      <c r="F178" s="223" t="s">
        <v>1135</v>
      </c>
      <c r="G178" s="223" t="s">
        <v>1148</v>
      </c>
      <c r="H178" s="223" t="s">
        <v>830</v>
      </c>
      <c r="I178" s="223" t="s">
        <v>1178</v>
      </c>
      <c r="J178" s="223" t="s">
        <v>1150</v>
      </c>
      <c r="K178" s="223" t="s">
        <v>830</v>
      </c>
      <c r="L178" s="223" t="s">
        <v>489</v>
      </c>
      <c r="M178" s="223" t="s">
        <v>504</v>
      </c>
      <c r="N178" s="223" t="s">
        <v>1179</v>
      </c>
    </row>
    <row r="179" spans="1:14" s="223" customFormat="1" x14ac:dyDescent="0.3">
      <c r="A179" s="224">
        <v>178</v>
      </c>
      <c r="B179" s="223" t="s">
        <v>1181</v>
      </c>
      <c r="C179" s="345" t="s">
        <v>1181</v>
      </c>
      <c r="D179" s="345"/>
      <c r="E179" s="345"/>
      <c r="F179" s="223" t="s">
        <v>1145</v>
      </c>
      <c r="G179" s="223" t="s">
        <v>1182</v>
      </c>
      <c r="H179" s="223" t="s">
        <v>830</v>
      </c>
      <c r="I179" s="223" t="s">
        <v>1183</v>
      </c>
      <c r="J179" s="223" t="s">
        <v>1150</v>
      </c>
      <c r="K179" s="223" t="s">
        <v>830</v>
      </c>
      <c r="L179" s="223" t="s">
        <v>489</v>
      </c>
      <c r="M179" s="223" t="s">
        <v>510</v>
      </c>
      <c r="N179" s="223" t="s">
        <v>1184</v>
      </c>
    </row>
    <row r="180" spans="1:14" s="223" customFormat="1" x14ac:dyDescent="0.3">
      <c r="A180" s="224">
        <v>179</v>
      </c>
      <c r="B180" s="223" t="s">
        <v>1185</v>
      </c>
      <c r="C180" s="345" t="s">
        <v>1140</v>
      </c>
      <c r="D180" s="345"/>
      <c r="E180" s="345"/>
      <c r="F180" s="223" t="s">
        <v>1141</v>
      </c>
      <c r="G180" s="223" t="s">
        <v>1148</v>
      </c>
      <c r="H180" s="223" t="s">
        <v>1186</v>
      </c>
      <c r="I180" s="223" t="s">
        <v>1187</v>
      </c>
      <c r="J180" s="223" t="s">
        <v>467</v>
      </c>
      <c r="K180" s="223" t="s">
        <v>830</v>
      </c>
      <c r="L180" s="223" t="s">
        <v>489</v>
      </c>
      <c r="M180" s="223" t="s">
        <v>506</v>
      </c>
      <c r="N180" s="223" t="s">
        <v>1034</v>
      </c>
    </row>
    <row r="181" spans="1:14" s="223" customFormat="1" x14ac:dyDescent="0.3">
      <c r="A181" s="224">
        <v>180</v>
      </c>
      <c r="B181" s="223" t="s">
        <v>1142</v>
      </c>
      <c r="C181" s="345" t="s">
        <v>1142</v>
      </c>
      <c r="D181" s="345"/>
      <c r="E181" s="345"/>
      <c r="F181" s="223" t="s">
        <v>1143</v>
      </c>
      <c r="G181" s="223" t="s">
        <v>1151</v>
      </c>
      <c r="H181" s="223" t="s">
        <v>1188</v>
      </c>
      <c r="I181" s="223" t="s">
        <v>415</v>
      </c>
      <c r="J181" s="223" t="s">
        <v>1164</v>
      </c>
      <c r="K181" s="223" t="s">
        <v>488</v>
      </c>
      <c r="L181" s="223" t="s">
        <v>489</v>
      </c>
      <c r="M181" s="223" t="s">
        <v>498</v>
      </c>
      <c r="N181" s="223" t="s">
        <v>518</v>
      </c>
    </row>
    <row r="182" spans="1:14" s="223" customFormat="1" x14ac:dyDescent="0.3">
      <c r="A182" s="224">
        <v>181</v>
      </c>
      <c r="B182" s="223" t="s">
        <v>1189</v>
      </c>
      <c r="C182" s="345" t="s">
        <v>1127</v>
      </c>
      <c r="D182" s="345"/>
      <c r="E182" s="345"/>
      <c r="F182" s="223" t="s">
        <v>1128</v>
      </c>
      <c r="G182" s="223" t="s">
        <v>1190</v>
      </c>
      <c r="H182" s="223" t="s">
        <v>1006</v>
      </c>
      <c r="I182" s="223" t="s">
        <v>1006</v>
      </c>
      <c r="J182" s="223" t="s">
        <v>468</v>
      </c>
      <c r="K182" s="223" t="s">
        <v>488</v>
      </c>
      <c r="L182" s="223" t="s">
        <v>489</v>
      </c>
      <c r="M182" s="223" t="s">
        <v>497</v>
      </c>
      <c r="N182" s="223" t="s">
        <v>528</v>
      </c>
    </row>
    <row r="183" spans="1:14" s="223" customFormat="1" x14ac:dyDescent="0.3">
      <c r="A183" s="224">
        <v>182</v>
      </c>
      <c r="B183" s="223" t="s">
        <v>1191</v>
      </c>
      <c r="C183" s="345" t="s">
        <v>1191</v>
      </c>
      <c r="D183" s="345"/>
      <c r="E183" s="345"/>
      <c r="F183" s="223" t="s">
        <v>1192</v>
      </c>
      <c r="G183" s="223" t="s">
        <v>1193</v>
      </c>
      <c r="H183" s="223" t="s">
        <v>1194</v>
      </c>
      <c r="I183" s="223" t="s">
        <v>1195</v>
      </c>
      <c r="J183" s="223" t="s">
        <v>1164</v>
      </c>
      <c r="K183" s="223" t="s">
        <v>488</v>
      </c>
      <c r="L183" s="223" t="s">
        <v>489</v>
      </c>
      <c r="M183" s="223" t="s">
        <v>498</v>
      </c>
      <c r="N183" s="223" t="e">
        <v>#N/A</v>
      </c>
    </row>
    <row r="184" spans="1:14" s="223" customFormat="1" x14ac:dyDescent="0.3">
      <c r="A184" s="224">
        <v>183</v>
      </c>
      <c r="B184" s="223" t="s">
        <v>1136</v>
      </c>
      <c r="C184" s="345" t="s">
        <v>1136</v>
      </c>
      <c r="D184" s="345"/>
      <c r="E184" s="345"/>
      <c r="F184" s="223" t="s">
        <v>1137</v>
      </c>
      <c r="G184" s="223" t="s">
        <v>1193</v>
      </c>
      <c r="H184" s="223" t="s">
        <v>1194</v>
      </c>
      <c r="I184" s="223" t="s">
        <v>1195</v>
      </c>
      <c r="J184" s="223" t="s">
        <v>467</v>
      </c>
      <c r="K184" s="223" t="s">
        <v>488</v>
      </c>
      <c r="L184" s="223" t="s">
        <v>489</v>
      </c>
      <c r="M184" s="223" t="s">
        <v>499</v>
      </c>
      <c r="N184" s="223" t="e">
        <v>#N/A</v>
      </c>
    </row>
    <row r="185" spans="1:14" s="223" customFormat="1" x14ac:dyDescent="0.3">
      <c r="A185" s="224">
        <v>184</v>
      </c>
      <c r="B185" s="223" t="s">
        <v>1138</v>
      </c>
      <c r="C185" s="345" t="s">
        <v>1138</v>
      </c>
      <c r="D185" s="345"/>
      <c r="E185" s="345"/>
      <c r="F185" s="223" t="s">
        <v>1139</v>
      </c>
      <c r="G185" s="223" t="s">
        <v>1193</v>
      </c>
      <c r="H185" s="223" t="s">
        <v>1194</v>
      </c>
      <c r="I185" s="223" t="s">
        <v>1195</v>
      </c>
      <c r="J185" s="223" t="s">
        <v>467</v>
      </c>
      <c r="K185" s="223" t="s">
        <v>488</v>
      </c>
      <c r="L185" s="223" t="s">
        <v>489</v>
      </c>
      <c r="M185" s="223" t="s">
        <v>499</v>
      </c>
      <c r="N185" s="223" t="e">
        <v>#N/A</v>
      </c>
    </row>
    <row r="186" spans="1:14" s="223" customFormat="1" x14ac:dyDescent="0.3">
      <c r="A186" s="224">
        <v>185</v>
      </c>
      <c r="B186" s="223" t="s">
        <v>1196</v>
      </c>
      <c r="C186" s="345" t="s">
        <v>1117</v>
      </c>
      <c r="D186" s="345"/>
      <c r="E186" s="345"/>
      <c r="F186" s="223" t="s">
        <v>1118</v>
      </c>
      <c r="G186" s="223" t="s">
        <v>1151</v>
      </c>
      <c r="H186" s="223" t="s">
        <v>830</v>
      </c>
      <c r="I186" s="223" t="s">
        <v>830</v>
      </c>
      <c r="J186" s="223" t="s">
        <v>1150</v>
      </c>
      <c r="K186" s="223" t="s">
        <v>830</v>
      </c>
      <c r="L186" s="223" t="s">
        <v>489</v>
      </c>
      <c r="M186" s="223" t="s">
        <v>510</v>
      </c>
      <c r="N186" s="223" t="e">
        <v>#N/A</v>
      </c>
    </row>
    <row r="187" spans="1:14" s="223" customFormat="1" x14ac:dyDescent="0.3">
      <c r="A187" s="224">
        <v>186</v>
      </c>
      <c r="B187" s="223" t="s">
        <v>1197</v>
      </c>
      <c r="C187" s="345" t="s">
        <v>1198</v>
      </c>
      <c r="D187" s="345"/>
      <c r="E187" s="345"/>
      <c r="F187" s="223" t="s">
        <v>1146</v>
      </c>
      <c r="G187" s="223" t="s">
        <v>1182</v>
      </c>
      <c r="H187" s="223" t="s">
        <v>1199</v>
      </c>
      <c r="I187" s="223" t="s">
        <v>1182</v>
      </c>
      <c r="J187" s="223" t="s">
        <v>1150</v>
      </c>
      <c r="K187" s="223" t="s">
        <v>830</v>
      </c>
      <c r="L187" s="223" t="s">
        <v>489</v>
      </c>
      <c r="M187" s="223" t="s">
        <v>495</v>
      </c>
      <c r="N187" s="223" t="e">
        <v>#N/A</v>
      </c>
    </row>
    <row r="188" spans="1:14" s="223" customFormat="1" x14ac:dyDescent="0.3">
      <c r="A188" s="224">
        <v>187</v>
      </c>
      <c r="B188" s="223" t="s">
        <v>1200</v>
      </c>
      <c r="C188" s="345" t="s">
        <v>1125</v>
      </c>
      <c r="D188" s="345"/>
      <c r="E188" s="345"/>
      <c r="F188" s="223" t="s">
        <v>1126</v>
      </c>
      <c r="G188" s="223" t="s">
        <v>1006</v>
      </c>
      <c r="H188" s="223" t="s">
        <v>1006</v>
      </c>
      <c r="I188" s="223" t="s">
        <v>1006</v>
      </c>
      <c r="J188" s="223" t="s">
        <v>468</v>
      </c>
      <c r="K188" s="223" t="s">
        <v>488</v>
      </c>
      <c r="L188" s="223" t="s">
        <v>489</v>
      </c>
      <c r="M188" s="223" t="s">
        <v>497</v>
      </c>
      <c r="N188" s="223" t="s">
        <v>528</v>
      </c>
    </row>
    <row r="189" spans="1:14" x14ac:dyDescent="0.3">
      <c r="A189" s="224">
        <v>188</v>
      </c>
      <c r="B189" s="223" t="s">
        <v>1201</v>
      </c>
      <c r="C189" s="345" t="s">
        <v>1202</v>
      </c>
      <c r="D189" s="345"/>
      <c r="E189" s="345"/>
      <c r="F189" s="223" t="s">
        <v>1124</v>
      </c>
      <c r="G189" s="223" t="s">
        <v>415</v>
      </c>
      <c r="H189" s="223" t="s">
        <v>437</v>
      </c>
      <c r="I189" s="223" t="s">
        <v>415</v>
      </c>
      <c r="J189" s="223" t="s">
        <v>471</v>
      </c>
      <c r="K189" s="223" t="s">
        <v>488</v>
      </c>
      <c r="L189" s="223" t="s">
        <v>489</v>
      </c>
      <c r="M189" s="223" t="s">
        <v>497</v>
      </c>
      <c r="N189" s="223" t="s">
        <v>518</v>
      </c>
    </row>
    <row r="190" spans="1:14" x14ac:dyDescent="0.3">
      <c r="A190" s="224">
        <v>189</v>
      </c>
      <c r="B190" s="223" t="s">
        <v>1203</v>
      </c>
      <c r="C190" s="345" t="s">
        <v>1204</v>
      </c>
      <c r="D190" s="345"/>
      <c r="E190" s="345"/>
      <c r="F190" s="223">
        <v>5</v>
      </c>
      <c r="G190" s="223"/>
      <c r="H190" s="223"/>
      <c r="I190" s="223"/>
      <c r="J190" s="223"/>
      <c r="K190" s="223"/>
      <c r="L190" s="223"/>
      <c r="M190" s="223" t="s">
        <v>507</v>
      </c>
      <c r="N190" s="223"/>
    </row>
    <row r="191" spans="1:14" s="223" customFormat="1" x14ac:dyDescent="0.3">
      <c r="A191" s="224">
        <v>190</v>
      </c>
      <c r="B191" s="223" t="s">
        <v>1053</v>
      </c>
      <c r="C191" s="347" t="s">
        <v>1086</v>
      </c>
      <c r="D191" s="347"/>
      <c r="E191" s="347"/>
      <c r="F191" s="223" t="s">
        <v>1043</v>
      </c>
      <c r="G191" s="223" t="s">
        <v>1044</v>
      </c>
      <c r="H191" s="223" t="s">
        <v>1045</v>
      </c>
      <c r="I191" s="223" t="s">
        <v>1032</v>
      </c>
      <c r="J191" s="223" t="s">
        <v>468</v>
      </c>
      <c r="K191" s="223" t="s">
        <v>830</v>
      </c>
      <c r="L191" s="223" t="s">
        <v>489</v>
      </c>
      <c r="M191" s="223" t="s">
        <v>497</v>
      </c>
      <c r="N191" s="223" t="s">
        <v>1034</v>
      </c>
    </row>
    <row r="192" spans="1:14" s="223" customFormat="1" x14ac:dyDescent="0.3">
      <c r="A192" s="224"/>
      <c r="C192" s="297"/>
      <c r="D192" s="297"/>
      <c r="E192" s="297"/>
    </row>
    <row r="193" spans="1:7" s="223" customFormat="1" x14ac:dyDescent="0.3">
      <c r="A193" s="257" t="s">
        <v>1084</v>
      </c>
      <c r="B193" s="258"/>
      <c r="C193" s="258"/>
    </row>
    <row r="194" spans="1:7" s="223" customFormat="1" x14ac:dyDescent="0.3">
      <c r="A194" s="348" t="s">
        <v>467</v>
      </c>
      <c r="B194" s="349"/>
      <c r="C194" s="256" t="s">
        <v>537</v>
      </c>
      <c r="D194" s="256" t="s">
        <v>9</v>
      </c>
      <c r="E194" s="256" t="s">
        <v>8</v>
      </c>
      <c r="F194" s="256" t="s">
        <v>7</v>
      </c>
      <c r="G194" s="216" t="s">
        <v>10</v>
      </c>
    </row>
    <row r="195" spans="1:7" s="223" customFormat="1" x14ac:dyDescent="0.3">
      <c r="A195" s="52" t="s">
        <v>534</v>
      </c>
      <c r="B195" s="52" t="s">
        <v>536</v>
      </c>
      <c r="C195" s="52" t="s">
        <v>536</v>
      </c>
      <c r="D195" s="52" t="s">
        <v>536</v>
      </c>
      <c r="E195" s="52" t="s">
        <v>536</v>
      </c>
      <c r="F195" s="215" t="s">
        <v>536</v>
      </c>
      <c r="G195" s="216" t="s">
        <v>536</v>
      </c>
    </row>
    <row r="196" spans="1:7" s="223" customFormat="1" x14ac:dyDescent="0.3">
      <c r="A196" s="218">
        <v>42005</v>
      </c>
      <c r="B196" s="213">
        <v>9.2999999999999992E-3</v>
      </c>
      <c r="C196" s="213">
        <v>-6.2E-2</v>
      </c>
      <c r="D196" s="213">
        <v>7.6E-3</v>
      </c>
      <c r="E196" s="213">
        <v>1.4800000000000001E-2</v>
      </c>
      <c r="F196" s="213">
        <v>1.24E-2</v>
      </c>
      <c r="G196" s="213">
        <v>2.2499999999999999E-2</v>
      </c>
    </row>
    <row r="197" spans="1:7" s="223" customFormat="1" x14ac:dyDescent="0.3">
      <c r="A197" s="218">
        <v>42036</v>
      </c>
      <c r="B197" s="213">
        <v>8.2000000000000007E-3</v>
      </c>
      <c r="C197" s="213">
        <v>9.9699999999999997E-2</v>
      </c>
      <c r="D197" s="213">
        <v>2.7000000000000001E-3</v>
      </c>
      <c r="E197" s="213">
        <v>1.1599999999999999E-2</v>
      </c>
      <c r="F197" s="213">
        <v>1.2200000000000001E-2</v>
      </c>
      <c r="G197" s="213">
        <v>1.4E-2</v>
      </c>
    </row>
    <row r="198" spans="1:7" s="223" customFormat="1" x14ac:dyDescent="0.3">
      <c r="A198" s="218">
        <v>42064</v>
      </c>
      <c r="B198" s="213">
        <v>1.04E-2</v>
      </c>
      <c r="C198" s="213">
        <v>-8.3999999999999995E-3</v>
      </c>
      <c r="D198" s="213">
        <v>9.7999999999999997E-3</v>
      </c>
      <c r="E198" s="213">
        <v>1.5100000000000001E-2</v>
      </c>
      <c r="F198" s="213">
        <v>1.32E-2</v>
      </c>
      <c r="G198" s="213">
        <v>1.26E-2</v>
      </c>
    </row>
    <row r="199" spans="1:7" s="223" customFormat="1" x14ac:dyDescent="0.3">
      <c r="A199" s="218">
        <v>42095</v>
      </c>
      <c r="B199" s="213">
        <v>9.4999999999999998E-3</v>
      </c>
      <c r="C199" s="213">
        <v>9.9299999999999999E-2</v>
      </c>
      <c r="D199" s="213">
        <v>1.1699999999999999E-2</v>
      </c>
      <c r="E199" s="213">
        <v>7.1000000000000004E-3</v>
      </c>
      <c r="F199" s="213">
        <v>7.1000000000000004E-3</v>
      </c>
      <c r="G199" s="213">
        <v>5.4999999999999997E-3</v>
      </c>
    </row>
    <row r="200" spans="1:7" s="223" customFormat="1" x14ac:dyDescent="0.3">
      <c r="A200" s="218">
        <v>42125</v>
      </c>
      <c r="B200" s="213">
        <v>9.7999999999999997E-3</v>
      </c>
      <c r="C200" s="213">
        <v>-6.1699999999999998E-2</v>
      </c>
      <c r="D200" s="213">
        <v>4.0999999999999995E-3</v>
      </c>
      <c r="E200" s="213">
        <v>9.8999999999999991E-3</v>
      </c>
      <c r="F200" s="213">
        <v>7.4000000000000003E-3</v>
      </c>
      <c r="G200" s="213">
        <v>5.7000000000000002E-3</v>
      </c>
    </row>
    <row r="201" spans="1:7" s="223" customFormat="1" x14ac:dyDescent="0.3">
      <c r="A201" s="218">
        <v>42156</v>
      </c>
      <c r="B201" s="211">
        <v>2.5000000000000001E-3</v>
      </c>
      <c r="C201" s="211">
        <v>-1.3899999999999999E-2</v>
      </c>
      <c r="D201" s="213">
        <v>6.7000000000000002E-3</v>
      </c>
      <c r="E201" s="211">
        <v>7.7000000000000002E-3</v>
      </c>
      <c r="F201" s="211">
        <v>7.9000000000000008E-3</v>
      </c>
      <c r="G201" s="213">
        <v>8.0999999999999996E-3</v>
      </c>
    </row>
    <row r="202" spans="1:7" s="223" customFormat="1" x14ac:dyDescent="0.3">
      <c r="A202" s="218">
        <v>42186</v>
      </c>
      <c r="B202" s="217">
        <v>1.1773159876993304E-2</v>
      </c>
      <c r="C202" s="217">
        <v>-4.174830444600957E-2</v>
      </c>
      <c r="D202" s="217">
        <v>6.9110458262002794E-3</v>
      </c>
      <c r="E202" s="217">
        <v>5.8000000971969714E-3</v>
      </c>
      <c r="F202" s="217">
        <v>6.1999997797011017E-3</v>
      </c>
      <c r="G202" s="211">
        <v>9.4999999999999998E-3</v>
      </c>
    </row>
    <row r="203" spans="1:7" s="223" customFormat="1" x14ac:dyDescent="0.3">
      <c r="A203" s="218">
        <v>42217</v>
      </c>
      <c r="B203" s="217">
        <v>1.11E-2</v>
      </c>
      <c r="C203" s="219">
        <v>-8.3299999999999999E-2</v>
      </c>
      <c r="D203" s="217">
        <v>2.8E-3</v>
      </c>
      <c r="E203" s="217">
        <v>2.5000000000000001E-3</v>
      </c>
      <c r="F203" s="217">
        <v>2.2000000000000001E-3</v>
      </c>
      <c r="G203" s="211">
        <v>5.9999999999999995E-4</v>
      </c>
    </row>
    <row r="204" spans="1:7" s="223" customFormat="1" x14ac:dyDescent="0.3">
      <c r="A204" s="218">
        <v>42248</v>
      </c>
      <c r="B204" s="219">
        <v>1.11E-2</v>
      </c>
      <c r="C204" s="219">
        <v>-3.3599999999999998E-2</v>
      </c>
      <c r="D204" s="219">
        <v>9.4999999999999998E-3</v>
      </c>
      <c r="E204" s="219">
        <v>5.1000000000000004E-3</v>
      </c>
      <c r="F204" s="219">
        <v>5.4000000000000003E-3</v>
      </c>
      <c r="G204" s="214">
        <v>4.7999999999999996E-3</v>
      </c>
    </row>
    <row r="205" spans="1:7" s="223" customFormat="1" x14ac:dyDescent="0.3">
      <c r="A205" s="218">
        <v>42278</v>
      </c>
      <c r="B205" s="220">
        <v>1.11E-2</v>
      </c>
      <c r="C205" s="219">
        <v>1.7999999999999999E-2</v>
      </c>
      <c r="D205" s="219">
        <v>1.89E-2</v>
      </c>
      <c r="E205" s="219">
        <v>7.7000000000000002E-3</v>
      </c>
      <c r="F205" s="219">
        <v>8.2000000000000007E-3</v>
      </c>
      <c r="G205" s="214">
        <v>7.7999999999999996E-3</v>
      </c>
    </row>
    <row r="206" spans="1:7" s="223" customFormat="1" x14ac:dyDescent="0.3">
      <c r="A206" s="218">
        <v>42309</v>
      </c>
      <c r="B206" s="220">
        <v>1.06E-2</v>
      </c>
      <c r="C206" s="219">
        <v>-1.6299999999999999E-2</v>
      </c>
      <c r="D206" s="219">
        <v>1.52E-2</v>
      </c>
      <c r="E206" s="219">
        <v>1.11E-2</v>
      </c>
      <c r="F206" s="219">
        <v>1.01E-2</v>
      </c>
      <c r="G206" s="214">
        <v>1.023E-2</v>
      </c>
    </row>
    <row r="207" spans="1:7" s="223" customFormat="1" x14ac:dyDescent="0.3">
      <c r="A207" s="218">
        <v>42339</v>
      </c>
      <c r="B207" s="238">
        <v>1.1599999999999999E-2</v>
      </c>
      <c r="C207" s="239">
        <v>-3.9300000000000002E-2</v>
      </c>
      <c r="D207" s="239">
        <v>4.8999999999999998E-3</v>
      </c>
      <c r="E207" s="239">
        <v>8.9999999999999993E-3</v>
      </c>
      <c r="F207" s="239">
        <v>9.5999999999999992E-3</v>
      </c>
      <c r="G207" s="238">
        <v>7.7000000000000002E-3</v>
      </c>
    </row>
    <row r="208" spans="1:7" s="223" customFormat="1" x14ac:dyDescent="0.3">
      <c r="A208" s="218">
        <v>42370</v>
      </c>
      <c r="B208" s="255">
        <v>1.0500000000000001E-2</v>
      </c>
      <c r="C208" s="249">
        <v>-6.7900000000000002E-2</v>
      </c>
      <c r="D208" s="249">
        <v>1.14E-2</v>
      </c>
      <c r="E208" s="249">
        <v>1.5100000000000001E-2</v>
      </c>
      <c r="F208" s="249">
        <v>1.2699999999999999E-2</v>
      </c>
      <c r="G208" s="249">
        <v>1.7999999999999999E-2</v>
      </c>
    </row>
    <row r="209" spans="1:11" s="223" customFormat="1" x14ac:dyDescent="0.3">
      <c r="A209" s="218">
        <v>42401</v>
      </c>
      <c r="B209" s="255">
        <v>0.01</v>
      </c>
      <c r="C209" s="255">
        <v>5.91E-2</v>
      </c>
      <c r="D209" s="255">
        <v>1.29E-2</v>
      </c>
      <c r="E209" s="255">
        <v>9.4999999999999998E-3</v>
      </c>
      <c r="F209" s="255">
        <v>8.9999999999999993E-3</v>
      </c>
      <c r="G209" s="255">
        <v>7.1000000000000004E-3</v>
      </c>
    </row>
    <row r="210" spans="1:11" s="223" customFormat="1" x14ac:dyDescent="0.3">
      <c r="A210" s="218">
        <v>42430</v>
      </c>
      <c r="B210" s="255">
        <v>1.1599999999999999E-2</v>
      </c>
      <c r="C210" s="255">
        <v>0.16969999999999999</v>
      </c>
      <c r="D210" s="255">
        <v>5.1000000000000004E-3</v>
      </c>
      <c r="E210" s="255">
        <v>4.4000000000000003E-3</v>
      </c>
      <c r="F210" s="255">
        <v>4.3E-3</v>
      </c>
      <c r="G210" s="255">
        <v>4.4000000000000003E-3</v>
      </c>
    </row>
    <row r="211" spans="1:11" s="223" customFormat="1" x14ac:dyDescent="0.3">
      <c r="A211" s="218">
        <v>42461</v>
      </c>
      <c r="B211" s="255"/>
      <c r="C211" s="255"/>
      <c r="D211" s="255"/>
      <c r="E211" s="255"/>
      <c r="F211" s="255"/>
      <c r="G211" s="255"/>
    </row>
    <row r="212" spans="1:11" s="223" customFormat="1" x14ac:dyDescent="0.3">
      <c r="A212" s="218">
        <v>42491</v>
      </c>
      <c r="B212" s="255"/>
      <c r="C212" s="255"/>
      <c r="D212" s="255"/>
      <c r="E212" s="255"/>
      <c r="F212" s="255"/>
      <c r="G212" s="255"/>
    </row>
    <row r="213" spans="1:11" s="223" customFormat="1" x14ac:dyDescent="0.3">
      <c r="A213" s="218">
        <v>42522</v>
      </c>
      <c r="B213" s="255"/>
      <c r="C213" s="255"/>
      <c r="D213" s="255"/>
      <c r="E213" s="255"/>
      <c r="F213" s="255"/>
      <c r="G213" s="255"/>
    </row>
    <row r="214" spans="1:11" s="223" customFormat="1" x14ac:dyDescent="0.3">
      <c r="A214" s="218">
        <v>42552</v>
      </c>
      <c r="B214" s="255"/>
      <c r="C214" s="255"/>
      <c r="D214" s="255"/>
      <c r="E214" s="255"/>
      <c r="F214" s="255"/>
      <c r="G214" s="255"/>
    </row>
    <row r="215" spans="1:11" s="223" customFormat="1" x14ac:dyDescent="0.3">
      <c r="A215" s="218">
        <v>42583</v>
      </c>
      <c r="B215" s="255"/>
      <c r="C215" s="255"/>
      <c r="D215" s="255"/>
      <c r="E215" s="255"/>
      <c r="F215" s="255"/>
      <c r="G215" s="255"/>
    </row>
    <row r="216" spans="1:11" s="223" customFormat="1" x14ac:dyDescent="0.3">
      <c r="A216" s="218">
        <v>42614</v>
      </c>
      <c r="B216" s="255"/>
      <c r="C216" s="255"/>
      <c r="D216" s="255"/>
      <c r="E216" s="255"/>
      <c r="F216" s="255"/>
      <c r="G216" s="255"/>
    </row>
    <row r="217" spans="1:11" s="223" customFormat="1" x14ac:dyDescent="0.3">
      <c r="A217" s="218">
        <v>42644</v>
      </c>
      <c r="B217" s="255"/>
      <c r="C217" s="255"/>
      <c r="D217" s="255"/>
      <c r="E217" s="255"/>
      <c r="F217" s="255"/>
      <c r="G217" s="255"/>
    </row>
    <row r="218" spans="1:11" s="223" customFormat="1" x14ac:dyDescent="0.3">
      <c r="A218" s="218">
        <v>42675</v>
      </c>
      <c r="B218" s="255"/>
      <c r="C218" s="255"/>
      <c r="D218" s="255"/>
      <c r="E218" s="255"/>
      <c r="F218" s="255"/>
      <c r="G218" s="255"/>
    </row>
    <row r="219" spans="1:11" s="223" customFormat="1" x14ac:dyDescent="0.3">
      <c r="A219" s="218">
        <v>42705</v>
      </c>
      <c r="B219" s="255"/>
      <c r="C219" s="255"/>
      <c r="D219" s="255"/>
      <c r="E219" s="255"/>
      <c r="F219" s="255"/>
      <c r="G219" s="255"/>
    </row>
    <row r="220" spans="1:11" s="223" customFormat="1" x14ac:dyDescent="0.3">
      <c r="A220" s="254"/>
      <c r="C220" s="206"/>
    </row>
    <row r="221" spans="1:11" s="223" customFormat="1" x14ac:dyDescent="0.3">
      <c r="A221" s="224"/>
      <c r="C221" s="206"/>
    </row>
    <row r="222" spans="1:11" s="223" customFormat="1" x14ac:dyDescent="0.3">
      <c r="A222" s="257" t="s">
        <v>1085</v>
      </c>
      <c r="C222" s="206"/>
    </row>
    <row r="223" spans="1:11" s="270" customFormat="1" x14ac:dyDescent="0.3">
      <c r="A223" s="266">
        <v>1</v>
      </c>
      <c r="B223" s="267" t="s">
        <v>73</v>
      </c>
      <c r="C223" s="268" t="s">
        <v>1</v>
      </c>
      <c r="D223" s="304" t="s">
        <v>547</v>
      </c>
      <c r="E223" s="305" t="s">
        <v>548</v>
      </c>
      <c r="F223" s="306" t="s">
        <v>549</v>
      </c>
      <c r="G223" s="306" t="s">
        <v>550</v>
      </c>
      <c r="H223" s="306" t="s">
        <v>691</v>
      </c>
      <c r="I223" s="306" t="s">
        <v>692</v>
      </c>
      <c r="J223" s="269" t="s">
        <v>1087</v>
      </c>
      <c r="K223" s="269" t="s">
        <v>1088</v>
      </c>
    </row>
    <row r="224" spans="1:11" s="270" customFormat="1" x14ac:dyDescent="0.3">
      <c r="A224" s="266">
        <v>2</v>
      </c>
      <c r="B224" s="224" t="s">
        <v>1117</v>
      </c>
      <c r="C224" s="326" t="s">
        <v>1118</v>
      </c>
      <c r="D224" s="322">
        <v>37332972.380000003</v>
      </c>
      <c r="E224" s="330">
        <v>1E-4</v>
      </c>
      <c r="F224" s="307">
        <v>-8.2943999999999996</v>
      </c>
      <c r="G224" s="307">
        <v>-2.23E-2</v>
      </c>
      <c r="H224" s="314">
        <v>-8.4400000000000003E-2</v>
      </c>
      <c r="I224" s="308">
        <v>1011578.0472</v>
      </c>
      <c r="J224" s="331">
        <v>0</v>
      </c>
      <c r="K224" s="270">
        <v>17</v>
      </c>
    </row>
    <row r="225" spans="1:11" s="270" customFormat="1" x14ac:dyDescent="0.3">
      <c r="A225" s="266">
        <v>3</v>
      </c>
      <c r="B225" s="271" t="s">
        <v>1119</v>
      </c>
      <c r="C225" s="326" t="s">
        <v>1120</v>
      </c>
      <c r="D225" s="322">
        <v>94608554.069999993</v>
      </c>
      <c r="E225" s="330">
        <v>8.9999999999999993E-3</v>
      </c>
      <c r="F225" s="307">
        <v>-8.6400000000000005E-2</v>
      </c>
      <c r="G225" s="307">
        <v>-2.2599999999999999E-2</v>
      </c>
      <c r="H225" s="314">
        <v>-8.0199999999999994E-2</v>
      </c>
      <c r="I225" s="308">
        <v>104.18915072</v>
      </c>
      <c r="J225" s="331">
        <v>5.4999999999999997E-3</v>
      </c>
      <c r="K225" s="270">
        <v>32</v>
      </c>
    </row>
    <row r="226" spans="1:11" s="270" customFormat="1" x14ac:dyDescent="0.3">
      <c r="A226" s="266">
        <v>4</v>
      </c>
      <c r="B226" s="271" t="s">
        <v>807</v>
      </c>
      <c r="C226" s="327" t="s">
        <v>290</v>
      </c>
      <c r="D226" s="322">
        <v>432778788.41000003</v>
      </c>
      <c r="E226" s="330">
        <v>5.1700000000000003E-2</v>
      </c>
      <c r="F226" s="307">
        <v>-2.07E-2</v>
      </c>
      <c r="G226" s="307">
        <v>-2.2100000000000002E-2</v>
      </c>
      <c r="H226" s="314">
        <v>-4.9099999999999998E-2</v>
      </c>
      <c r="I226" s="308">
        <v>1.3227659</v>
      </c>
      <c r="J226" s="331">
        <v>3.1899999999999998E-2</v>
      </c>
      <c r="K226" s="270">
        <v>41</v>
      </c>
    </row>
    <row r="227" spans="1:11" s="270" customFormat="1" x14ac:dyDescent="0.3">
      <c r="A227" s="266">
        <v>5</v>
      </c>
      <c r="B227" s="271" t="s">
        <v>1056</v>
      </c>
      <c r="C227" s="327" t="s">
        <v>293</v>
      </c>
      <c r="D227" s="322">
        <v>1226700.67</v>
      </c>
      <c r="E227" s="330">
        <v>0.1074</v>
      </c>
      <c r="F227" s="307">
        <v>-2.2000000000000001E-3</v>
      </c>
      <c r="G227" s="307">
        <v>-3.4200000000000001E-2</v>
      </c>
      <c r="H227" s="314">
        <v>-2.7900000000000001E-2</v>
      </c>
      <c r="I227" s="308">
        <v>6.8294264</v>
      </c>
      <c r="J227" s="331">
        <v>6.5199999999999994E-2</v>
      </c>
      <c r="K227" s="270">
        <v>134</v>
      </c>
    </row>
    <row r="228" spans="1:11" s="270" customFormat="1" x14ac:dyDescent="0.3">
      <c r="A228" s="266">
        <v>6</v>
      </c>
      <c r="B228" s="271" t="s">
        <v>808</v>
      </c>
      <c r="C228" s="327" t="s">
        <v>295</v>
      </c>
      <c r="D228" s="322">
        <v>116381364.17</v>
      </c>
      <c r="E228" s="330">
        <v>6.4899999999999999E-2</v>
      </c>
      <c r="F228" s="307">
        <v>5.5599999999999997E-2</v>
      </c>
      <c r="G228" s="307">
        <v>-1.7399999999999999E-2</v>
      </c>
      <c r="H228" s="314">
        <v>-2.1499999999999998E-2</v>
      </c>
      <c r="I228" s="308">
        <v>4.8917157573000001</v>
      </c>
      <c r="J228" s="331">
        <v>3.95E-2</v>
      </c>
      <c r="K228" s="270">
        <v>36</v>
      </c>
    </row>
    <row r="229" spans="1:11" s="270" customFormat="1" x14ac:dyDescent="0.3">
      <c r="A229" s="266">
        <v>7</v>
      </c>
      <c r="B229" s="271" t="s">
        <v>809</v>
      </c>
      <c r="C229" s="327" t="s">
        <v>775</v>
      </c>
      <c r="D229" s="322">
        <v>160427128.83000001</v>
      </c>
      <c r="E229" s="330">
        <v>0.19309999999999999</v>
      </c>
      <c r="F229" s="307">
        <v>7.4300000000000005E-2</v>
      </c>
      <c r="G229" s="307">
        <v>-1.04E-2</v>
      </c>
      <c r="H229" s="314">
        <v>1.77E-2</v>
      </c>
      <c r="I229" s="308">
        <v>3.9898121350000002</v>
      </c>
      <c r="J229" s="331">
        <v>0.11749999999999999</v>
      </c>
      <c r="K229" s="270">
        <v>7167</v>
      </c>
    </row>
    <row r="230" spans="1:11" s="270" customFormat="1" x14ac:dyDescent="0.3">
      <c r="A230" s="266">
        <v>8</v>
      </c>
      <c r="B230" s="271" t="s">
        <v>810</v>
      </c>
      <c r="C230" s="327" t="s">
        <v>777</v>
      </c>
      <c r="D230" s="322">
        <v>82333928.280000001</v>
      </c>
      <c r="E230" s="330">
        <v>8.0699999999999994E-2</v>
      </c>
      <c r="F230" s="307">
        <v>6.9900000000000004E-2</v>
      </c>
      <c r="G230" s="307">
        <v>-2.69E-2</v>
      </c>
      <c r="H230" s="314">
        <v>-5.1000000000000004E-3</v>
      </c>
      <c r="I230" s="308">
        <v>1.1352982009999999</v>
      </c>
      <c r="J230" s="331">
        <v>4.9000000000000002E-2</v>
      </c>
      <c r="K230" s="270">
        <v>48</v>
      </c>
    </row>
    <row r="231" spans="1:11" s="270" customFormat="1" x14ac:dyDescent="0.3">
      <c r="A231" s="266">
        <v>9</v>
      </c>
      <c r="B231" s="271" t="s">
        <v>811</v>
      </c>
      <c r="C231" s="327" t="s">
        <v>297</v>
      </c>
      <c r="D231" s="322">
        <v>285666415.79000002</v>
      </c>
      <c r="E231" s="330">
        <v>1E-4</v>
      </c>
      <c r="F231" s="307">
        <v>-0.3286</v>
      </c>
      <c r="G231" s="307">
        <v>-2.1700000000000001E-2</v>
      </c>
      <c r="H231" s="314">
        <v>-7.6899999999999996E-2</v>
      </c>
      <c r="I231" s="308">
        <v>4.445595</v>
      </c>
      <c r="J231" s="331">
        <v>0</v>
      </c>
      <c r="K231" s="270">
        <v>69</v>
      </c>
    </row>
    <row r="232" spans="1:11" s="270" customFormat="1" x14ac:dyDescent="0.3">
      <c r="A232" s="266">
        <v>10</v>
      </c>
      <c r="B232" s="271" t="s">
        <v>1037</v>
      </c>
      <c r="C232" s="327" t="s">
        <v>1038</v>
      </c>
      <c r="D232" s="322">
        <v>33295802192.189999</v>
      </c>
      <c r="E232" s="330">
        <v>0</v>
      </c>
      <c r="F232" s="307">
        <v>-9.4257000000000009</v>
      </c>
      <c r="G232" s="307">
        <v>-2.1899999999999999E-2</v>
      </c>
      <c r="H232" s="314">
        <v>-7.8899999999999998E-2</v>
      </c>
      <c r="I232" s="308">
        <v>3.1298879999999998</v>
      </c>
      <c r="J232" s="331">
        <v>0</v>
      </c>
      <c r="K232" s="270">
        <v>136554</v>
      </c>
    </row>
    <row r="233" spans="1:11" s="270" customFormat="1" x14ac:dyDescent="0.3">
      <c r="A233" s="266">
        <v>11</v>
      </c>
      <c r="B233" s="271" t="s">
        <v>924</v>
      </c>
      <c r="C233" s="327" t="s">
        <v>916</v>
      </c>
      <c r="D233" s="322">
        <v>50844490.880000003</v>
      </c>
      <c r="E233" s="330">
        <v>1E-4</v>
      </c>
      <c r="F233" s="307">
        <v>-0.93969999999999998</v>
      </c>
      <c r="G233" s="307">
        <v>-2.18E-2</v>
      </c>
      <c r="H233" s="314">
        <v>-7.8299999999999995E-2</v>
      </c>
      <c r="I233" s="308">
        <v>10.757058000000001</v>
      </c>
      <c r="J233" s="331">
        <v>1E-4</v>
      </c>
      <c r="K233" s="270">
        <v>2195</v>
      </c>
    </row>
    <row r="234" spans="1:11" s="270" customFormat="1" x14ac:dyDescent="0.3">
      <c r="A234" s="266">
        <v>12</v>
      </c>
      <c r="B234" s="271" t="s">
        <v>812</v>
      </c>
      <c r="C234" s="327" t="s">
        <v>773</v>
      </c>
      <c r="D234" s="322">
        <v>39468545.670000002</v>
      </c>
      <c r="E234" s="330">
        <v>0.1201</v>
      </c>
      <c r="F234" s="307">
        <v>6.1499999999999999E-2</v>
      </c>
      <c r="G234" s="307">
        <v>-3.73E-2</v>
      </c>
      <c r="H234" s="314">
        <v>3.0999999999999999E-3</v>
      </c>
      <c r="I234" s="308">
        <v>0.99544389899999997</v>
      </c>
      <c r="J234" s="331">
        <v>7.2700000000000001E-2</v>
      </c>
      <c r="K234" s="270">
        <v>29</v>
      </c>
    </row>
    <row r="235" spans="1:11" s="270" customFormat="1" x14ac:dyDescent="0.3">
      <c r="A235" s="266">
        <v>13</v>
      </c>
      <c r="B235" s="271" t="s">
        <v>813</v>
      </c>
      <c r="C235" s="327" t="s">
        <v>300</v>
      </c>
      <c r="D235" s="322">
        <v>99468223.780000001</v>
      </c>
      <c r="E235" s="330">
        <v>0.14249999999999999</v>
      </c>
      <c r="F235" s="307">
        <v>7.6600000000000001E-2</v>
      </c>
      <c r="G235" s="307">
        <v>-4.3799999999999999E-2</v>
      </c>
      <c r="H235" s="314">
        <v>1.38E-2</v>
      </c>
      <c r="I235" s="308">
        <v>1.3630528959999999</v>
      </c>
      <c r="J235" s="331">
        <v>8.6099999999999996E-2</v>
      </c>
      <c r="K235" s="270">
        <v>85</v>
      </c>
    </row>
    <row r="236" spans="1:11" s="270" customFormat="1" x14ac:dyDescent="0.3">
      <c r="A236" s="266">
        <v>14</v>
      </c>
      <c r="B236" s="271" t="s">
        <v>972</v>
      </c>
      <c r="C236" s="327" t="s">
        <v>298</v>
      </c>
      <c r="D236" s="322">
        <v>139895523.65000001</v>
      </c>
      <c r="E236" s="330">
        <v>1.44E-2</v>
      </c>
      <c r="F236" s="307">
        <v>-8.3000000000000001E-3</v>
      </c>
      <c r="G236" s="307">
        <v>-2.0799999999999999E-2</v>
      </c>
      <c r="H236" s="314">
        <v>-6.7400000000000002E-2</v>
      </c>
      <c r="I236" s="308">
        <v>1.981611765</v>
      </c>
      <c r="J236" s="331">
        <v>8.8000000000000005E-3</v>
      </c>
      <c r="K236" s="270">
        <v>111</v>
      </c>
    </row>
    <row r="237" spans="1:11" s="270" customFormat="1" x14ac:dyDescent="0.3">
      <c r="A237" s="266">
        <v>15</v>
      </c>
      <c r="B237" s="271" t="s">
        <v>814</v>
      </c>
      <c r="C237" s="327" t="s">
        <v>306</v>
      </c>
      <c r="D237" s="322">
        <v>297750407.41000003</v>
      </c>
      <c r="E237" s="330">
        <v>3.8899999999999997E-2</v>
      </c>
      <c r="F237" s="307">
        <v>8.9999999999999993E-3</v>
      </c>
      <c r="G237" s="307">
        <v>-2.4500000000000001E-2</v>
      </c>
      <c r="H237" s="314">
        <v>-7.0199999999999999E-2</v>
      </c>
      <c r="I237" s="308">
        <v>1.3688993759999999</v>
      </c>
      <c r="J237" s="331">
        <v>2.3699999999999999E-2</v>
      </c>
      <c r="K237" s="270">
        <v>51</v>
      </c>
    </row>
    <row r="238" spans="1:11" s="270" customFormat="1" x14ac:dyDescent="0.3">
      <c r="A238" s="266">
        <v>16</v>
      </c>
      <c r="B238" s="271" t="s">
        <v>815</v>
      </c>
      <c r="C238" s="327" t="s">
        <v>299</v>
      </c>
      <c r="D238" s="322">
        <v>1030036870.92</v>
      </c>
      <c r="E238" s="330">
        <v>1E-4</v>
      </c>
      <c r="F238" s="307">
        <v>-0.61990000000000001</v>
      </c>
      <c r="G238" s="307">
        <v>-2.1700000000000001E-2</v>
      </c>
      <c r="H238" s="314">
        <v>-7.7299999999999994E-2</v>
      </c>
      <c r="I238" s="308">
        <v>1.576179</v>
      </c>
      <c r="J238" s="331">
        <v>1E-4</v>
      </c>
      <c r="K238" s="270">
        <v>579</v>
      </c>
    </row>
    <row r="239" spans="1:11" s="270" customFormat="1" x14ac:dyDescent="0.3">
      <c r="A239" s="266">
        <v>17</v>
      </c>
      <c r="B239" s="271" t="s">
        <v>816</v>
      </c>
      <c r="C239" s="327" t="s">
        <v>301</v>
      </c>
      <c r="D239" s="322">
        <v>6033870616.7200003</v>
      </c>
      <c r="E239" s="330">
        <v>1.7899999999999999E-2</v>
      </c>
      <c r="F239" s="307">
        <v>-1.8200000000000001E-2</v>
      </c>
      <c r="G239" s="307">
        <v>-2.3199999999999998E-2</v>
      </c>
      <c r="H239" s="314">
        <v>-8.5099999999999995E-2</v>
      </c>
      <c r="I239" s="308">
        <v>1.792390873</v>
      </c>
      <c r="J239" s="331">
        <v>1.09E-2</v>
      </c>
      <c r="K239" s="270">
        <v>721</v>
      </c>
    </row>
    <row r="240" spans="1:11" s="270" customFormat="1" x14ac:dyDescent="0.3">
      <c r="A240" s="266">
        <v>18</v>
      </c>
      <c r="B240" s="271" t="s">
        <v>817</v>
      </c>
      <c r="C240" s="327" t="s">
        <v>769</v>
      </c>
      <c r="D240" s="322">
        <v>1609080196.25</v>
      </c>
      <c r="E240" s="330">
        <v>1.7999999999999999E-2</v>
      </c>
      <c r="F240" s="307">
        <v>-1.18E-2</v>
      </c>
      <c r="G240" s="307">
        <v>-2.3199999999999998E-2</v>
      </c>
      <c r="H240" s="314">
        <v>-8.5500000000000007E-2</v>
      </c>
      <c r="I240" s="308">
        <v>12.572357</v>
      </c>
      <c r="J240" s="331">
        <v>1.0999999999999999E-2</v>
      </c>
      <c r="K240" s="270">
        <v>253</v>
      </c>
    </row>
    <row r="241" spans="1:11" s="270" customFormat="1" x14ac:dyDescent="0.3">
      <c r="A241" s="266">
        <v>19</v>
      </c>
      <c r="B241" s="271" t="s">
        <v>818</v>
      </c>
      <c r="C241" s="327" t="s">
        <v>302</v>
      </c>
      <c r="D241" s="322">
        <v>906306624.70000005</v>
      </c>
      <c r="E241" s="330">
        <v>6.59E-2</v>
      </c>
      <c r="F241" s="307">
        <v>4.1200000000000001E-2</v>
      </c>
      <c r="G241" s="307">
        <v>-2.53E-2</v>
      </c>
      <c r="H241" s="314">
        <v>-3.0300000000000001E-2</v>
      </c>
      <c r="I241" s="308">
        <v>3.089661284</v>
      </c>
      <c r="J241" s="331">
        <v>4.0099999999999997E-2</v>
      </c>
      <c r="K241" s="270">
        <v>226</v>
      </c>
    </row>
    <row r="242" spans="1:11" s="270" customFormat="1" x14ac:dyDescent="0.3">
      <c r="A242" s="266">
        <v>20</v>
      </c>
      <c r="B242" s="271" t="s">
        <v>819</v>
      </c>
      <c r="C242" s="327" t="s">
        <v>303</v>
      </c>
      <c r="D242" s="322">
        <v>4197778147.77</v>
      </c>
      <c r="E242" s="330">
        <v>6.7000000000000004E-2</v>
      </c>
      <c r="F242" s="307">
        <v>4.2700000000000002E-2</v>
      </c>
      <c r="G242" s="307">
        <v>-2.5399999999999999E-2</v>
      </c>
      <c r="H242" s="314">
        <v>-2.87E-2</v>
      </c>
      <c r="I242" s="308">
        <v>3.487845627</v>
      </c>
      <c r="J242" s="331">
        <v>4.0800000000000003E-2</v>
      </c>
      <c r="K242" s="270">
        <v>539</v>
      </c>
    </row>
    <row r="243" spans="1:11" s="270" customFormat="1" x14ac:dyDescent="0.3">
      <c r="A243" s="266">
        <v>21</v>
      </c>
      <c r="B243" s="271" t="s">
        <v>820</v>
      </c>
      <c r="C243" s="327" t="s">
        <v>304</v>
      </c>
      <c r="D243" s="322">
        <v>765908147.26999998</v>
      </c>
      <c r="E243" s="330">
        <v>9.9900000000000003E-2</v>
      </c>
      <c r="F243" s="307">
        <v>5.9400000000000001E-2</v>
      </c>
      <c r="G243" s="307">
        <v>-2.4299999999999999E-2</v>
      </c>
      <c r="H243" s="314">
        <v>-3.2000000000000002E-3</v>
      </c>
      <c r="I243" s="308">
        <v>1.7404733269999999</v>
      </c>
      <c r="J243" s="331">
        <v>6.0699999999999997E-2</v>
      </c>
      <c r="K243" s="270">
        <v>210</v>
      </c>
    </row>
    <row r="244" spans="1:11" s="270" customFormat="1" x14ac:dyDescent="0.3">
      <c r="A244" s="266">
        <v>22</v>
      </c>
      <c r="B244" s="271" t="s">
        <v>821</v>
      </c>
      <c r="C244" s="327" t="s">
        <v>305</v>
      </c>
      <c r="D244" s="322">
        <v>335072619.64999998</v>
      </c>
      <c r="E244" s="330">
        <v>3.0700000000000002E-2</v>
      </c>
      <c r="F244" s="307">
        <v>4.41E-2</v>
      </c>
      <c r="G244" s="307">
        <v>-2.3300000000000001E-2</v>
      </c>
      <c r="H244" s="314">
        <v>-7.2400000000000006E-2</v>
      </c>
      <c r="I244" s="308">
        <v>1.412163847</v>
      </c>
      <c r="J244" s="331">
        <v>1.8700000000000001E-2</v>
      </c>
      <c r="K244" s="270">
        <v>96</v>
      </c>
    </row>
    <row r="245" spans="1:11" s="270" customFormat="1" x14ac:dyDescent="0.3">
      <c r="A245" s="266">
        <v>23</v>
      </c>
      <c r="B245" s="271" t="s">
        <v>822</v>
      </c>
      <c r="C245" s="327" t="s">
        <v>308</v>
      </c>
      <c r="D245" s="323">
        <v>1550396235.23</v>
      </c>
      <c r="E245" s="330">
        <v>2.3900000000000001E-2</v>
      </c>
      <c r="F245" s="307">
        <v>5.6099999999999997E-2</v>
      </c>
      <c r="G245" s="307">
        <v>-2.2499999999999999E-2</v>
      </c>
      <c r="H245" s="314">
        <v>-7.4700000000000003E-2</v>
      </c>
      <c r="I245" s="308">
        <v>3.5630414340000001</v>
      </c>
      <c r="J245" s="331">
        <v>1.46E-2</v>
      </c>
      <c r="K245" s="270">
        <v>500</v>
      </c>
    </row>
    <row r="246" spans="1:11" s="321" customFormat="1" x14ac:dyDescent="0.3">
      <c r="A246" s="320">
        <v>24</v>
      </c>
      <c r="B246" s="303" t="s">
        <v>823</v>
      </c>
      <c r="C246" s="328" t="s">
        <v>307</v>
      </c>
      <c r="D246" s="322">
        <v>7780026492.54</v>
      </c>
      <c r="E246" s="330">
        <v>1.6999999999999999E-3</v>
      </c>
      <c r="F246" s="307">
        <v>1.7000000000000001E-2</v>
      </c>
      <c r="G246" s="307">
        <v>-2.1700000000000001E-2</v>
      </c>
      <c r="H246" s="314">
        <v>-7.6600000000000001E-2</v>
      </c>
      <c r="I246" s="308">
        <v>1.8981250000000001</v>
      </c>
      <c r="J246" s="331">
        <v>1E-3</v>
      </c>
      <c r="K246" s="270">
        <v>1169</v>
      </c>
    </row>
    <row r="247" spans="1:11" s="270" customFormat="1" x14ac:dyDescent="0.3">
      <c r="A247" s="266">
        <v>25</v>
      </c>
      <c r="B247" s="271" t="s">
        <v>824</v>
      </c>
      <c r="C247" s="327" t="s">
        <v>310</v>
      </c>
      <c r="D247" s="322">
        <v>6495245017.6300001</v>
      </c>
      <c r="E247" s="330">
        <v>1E-4</v>
      </c>
      <c r="F247" s="307">
        <v>-0.1729</v>
      </c>
      <c r="G247" s="307">
        <v>-2.1700000000000001E-2</v>
      </c>
      <c r="H247" s="314">
        <v>-7.6999999999999999E-2</v>
      </c>
      <c r="I247" s="308">
        <v>1.6452009999999999</v>
      </c>
      <c r="J247" s="331">
        <v>1E-4</v>
      </c>
      <c r="K247" s="270">
        <v>843</v>
      </c>
    </row>
    <row r="248" spans="1:11" s="270" customFormat="1" x14ac:dyDescent="0.3">
      <c r="A248" s="266">
        <v>26</v>
      </c>
      <c r="B248" s="271" t="s">
        <v>825</v>
      </c>
      <c r="C248" s="327" t="s">
        <v>704</v>
      </c>
      <c r="D248" s="322">
        <v>249692092.22999999</v>
      </c>
      <c r="E248" s="330">
        <v>5.8500000000000003E-2</v>
      </c>
      <c r="F248" s="307">
        <v>2.8400000000000002E-2</v>
      </c>
      <c r="G248" s="307">
        <v>-2.5000000000000001E-2</v>
      </c>
      <c r="H248" s="314">
        <v>-4.1599999999999998E-2</v>
      </c>
      <c r="I248" s="308">
        <v>1.3891054309999999</v>
      </c>
      <c r="J248" s="331">
        <v>3.56E-2</v>
      </c>
      <c r="K248" s="270">
        <v>52</v>
      </c>
    </row>
    <row r="249" spans="1:11" s="270" customFormat="1" x14ac:dyDescent="0.3">
      <c r="A249" s="266">
        <v>27</v>
      </c>
      <c r="B249" s="271" t="s">
        <v>1021</v>
      </c>
      <c r="C249" s="327" t="s">
        <v>1022</v>
      </c>
      <c r="D249" s="322">
        <v>2254122552.9899998</v>
      </c>
      <c r="E249" s="330">
        <v>5.4000000000000003E-3</v>
      </c>
      <c r="F249" s="307">
        <v>-3.1600000000000003E-2</v>
      </c>
      <c r="G249" s="307">
        <v>-2.2200000000000001E-2</v>
      </c>
      <c r="H249" s="314">
        <v>-8.0799999999999997E-2</v>
      </c>
      <c r="I249" s="308">
        <v>1.1489492080000001</v>
      </c>
      <c r="J249" s="331">
        <v>3.3E-3</v>
      </c>
      <c r="K249" s="270">
        <v>193</v>
      </c>
    </row>
    <row r="250" spans="1:11" s="270" customFormat="1" x14ac:dyDescent="0.3">
      <c r="A250" s="266">
        <v>28</v>
      </c>
      <c r="B250" s="271" t="s">
        <v>994</v>
      </c>
      <c r="C250" s="327" t="s">
        <v>995</v>
      </c>
      <c r="D250" s="322">
        <v>2004898643.8499999</v>
      </c>
      <c r="E250" s="330">
        <v>1.78E-2</v>
      </c>
      <c r="F250" s="307">
        <v>-4.0000000000000001E-3</v>
      </c>
      <c r="G250" s="307">
        <v>-2.3199999999999998E-2</v>
      </c>
      <c r="H250" s="314">
        <v>-8.6499999999999994E-2</v>
      </c>
      <c r="I250" s="308">
        <v>1.16807599</v>
      </c>
      <c r="J250" s="331">
        <v>1.09E-2</v>
      </c>
      <c r="K250" s="270">
        <v>167</v>
      </c>
    </row>
    <row r="251" spans="1:11" s="270" customFormat="1" x14ac:dyDescent="0.3">
      <c r="A251" s="266">
        <v>29</v>
      </c>
      <c r="B251" s="271" t="s">
        <v>826</v>
      </c>
      <c r="C251" s="327" t="s">
        <v>712</v>
      </c>
      <c r="D251" s="322">
        <v>466560549.50999999</v>
      </c>
      <c r="E251" s="330">
        <v>1.1999999999999999E-3</v>
      </c>
      <c r="F251" s="307">
        <v>1.23E-2</v>
      </c>
      <c r="G251" s="307">
        <v>-2.1700000000000001E-2</v>
      </c>
      <c r="H251" s="314">
        <v>-7.6300000000000007E-2</v>
      </c>
      <c r="I251" s="308">
        <v>1.356049558</v>
      </c>
      <c r="J251" s="331">
        <v>6.9999999999999999E-4</v>
      </c>
      <c r="K251" s="270">
        <v>116</v>
      </c>
    </row>
    <row r="252" spans="1:11" s="270" customFormat="1" x14ac:dyDescent="0.3">
      <c r="A252" s="266">
        <v>30</v>
      </c>
      <c r="B252" s="271" t="s">
        <v>827</v>
      </c>
      <c r="C252" s="327" t="s">
        <v>742</v>
      </c>
      <c r="D252" s="322">
        <v>81534379.549999997</v>
      </c>
      <c r="E252" s="330">
        <v>1.1999999999999999E-3</v>
      </c>
      <c r="F252" s="307">
        <v>1.2800000000000001E-2</v>
      </c>
      <c r="G252" s="307">
        <v>-2.1700000000000001E-2</v>
      </c>
      <c r="H252" s="314">
        <v>-7.6300000000000007E-2</v>
      </c>
      <c r="I252" s="308">
        <v>1.3539404829999999</v>
      </c>
      <c r="J252" s="331">
        <v>6.9999999999999999E-4</v>
      </c>
      <c r="K252" s="270">
        <v>25</v>
      </c>
    </row>
    <row r="253" spans="1:11" s="270" customFormat="1" x14ac:dyDescent="0.3">
      <c r="A253" s="266">
        <v>31</v>
      </c>
      <c r="B253" s="271" t="s">
        <v>828</v>
      </c>
      <c r="C253" s="327" t="s">
        <v>754</v>
      </c>
      <c r="D253" s="322">
        <v>276577921.50999999</v>
      </c>
      <c r="E253" s="330">
        <v>5.6800000000000003E-2</v>
      </c>
      <c r="F253" s="307">
        <v>2.06E-2</v>
      </c>
      <c r="G253" s="307">
        <v>-2.53E-2</v>
      </c>
      <c r="H253" s="314">
        <v>-4.7500000000000001E-2</v>
      </c>
      <c r="I253" s="308">
        <v>1.3445109260000001</v>
      </c>
      <c r="J253" s="331">
        <v>3.4599999999999999E-2</v>
      </c>
      <c r="K253" s="270">
        <v>33</v>
      </c>
    </row>
    <row r="254" spans="1:11" s="270" customFormat="1" x14ac:dyDescent="0.3">
      <c r="A254" s="266">
        <v>32</v>
      </c>
      <c r="B254" s="271" t="s">
        <v>935</v>
      </c>
      <c r="C254" s="327" t="s">
        <v>309</v>
      </c>
      <c r="D254" s="322">
        <v>251247412.99000001</v>
      </c>
      <c r="E254" s="330">
        <v>1E-4</v>
      </c>
      <c r="F254" s="307">
        <v>-0.51670000000000005</v>
      </c>
      <c r="G254" s="307">
        <v>-2.1700000000000001E-2</v>
      </c>
      <c r="H254" s="314">
        <v>-7.7100000000000002E-2</v>
      </c>
      <c r="I254" s="308">
        <v>9.4438359999999992</v>
      </c>
      <c r="J254" s="331">
        <v>0</v>
      </c>
      <c r="K254" s="270">
        <v>75</v>
      </c>
    </row>
    <row r="255" spans="1:11" s="270" customFormat="1" x14ac:dyDescent="0.3">
      <c r="A255" s="266">
        <v>33</v>
      </c>
      <c r="B255" s="271" t="s">
        <v>829</v>
      </c>
      <c r="C255" s="327" t="s">
        <v>311</v>
      </c>
      <c r="D255" s="322">
        <v>90124233.459999993</v>
      </c>
      <c r="E255" s="330">
        <v>3.8E-3</v>
      </c>
      <c r="F255" s="307">
        <v>-6.6E-3</v>
      </c>
      <c r="G255" s="307">
        <v>-2.18E-2</v>
      </c>
      <c r="H255" s="314">
        <v>-7.7200000000000005E-2</v>
      </c>
      <c r="I255" s="308">
        <v>1.802484669</v>
      </c>
      <c r="J255" s="331">
        <v>2.3E-3</v>
      </c>
      <c r="K255" s="270">
        <v>29</v>
      </c>
    </row>
    <row r="256" spans="1:11" s="270" customFormat="1" x14ac:dyDescent="0.3">
      <c r="A256" s="266">
        <v>34</v>
      </c>
      <c r="B256" s="271" t="s">
        <v>1090</v>
      </c>
      <c r="C256" s="327" t="s">
        <v>291</v>
      </c>
      <c r="D256" s="322">
        <v>828824185.46000004</v>
      </c>
      <c r="E256" s="330">
        <v>8.9999999999999998E-4</v>
      </c>
      <c r="F256" s="307">
        <v>-2.5000000000000001E-2</v>
      </c>
      <c r="G256" s="307">
        <v>-2.18E-2</v>
      </c>
      <c r="H256" s="314">
        <v>-7.7799999999999994E-2</v>
      </c>
      <c r="I256" s="308">
        <v>3.83805</v>
      </c>
      <c r="J256" s="331">
        <v>5.0000000000000001E-4</v>
      </c>
      <c r="K256" s="270">
        <v>2080</v>
      </c>
    </row>
    <row r="257" spans="1:11" s="270" customFormat="1" x14ac:dyDescent="0.3">
      <c r="A257" s="266">
        <v>35</v>
      </c>
      <c r="B257" s="224" t="s">
        <v>1054</v>
      </c>
      <c r="C257" s="327" t="s">
        <v>292</v>
      </c>
      <c r="D257" s="322">
        <v>92006074.930000007</v>
      </c>
      <c r="E257" s="330">
        <v>5.7700000000000001E-2</v>
      </c>
      <c r="F257" s="307">
        <v>3.5999999999999997E-2</v>
      </c>
      <c r="G257" s="307">
        <v>-2.52E-2</v>
      </c>
      <c r="H257" s="314">
        <v>-4.02E-2</v>
      </c>
      <c r="I257" s="308">
        <v>2.5017320000000001</v>
      </c>
      <c r="J257" s="331">
        <v>3.5099999999999999E-2</v>
      </c>
      <c r="K257" s="270">
        <v>35</v>
      </c>
    </row>
    <row r="258" spans="1:11" s="270" customFormat="1" x14ac:dyDescent="0.3">
      <c r="A258" s="266">
        <v>36</v>
      </c>
      <c r="B258" s="224" t="s">
        <v>1121</v>
      </c>
      <c r="C258" s="326" t="s">
        <v>1122</v>
      </c>
      <c r="D258" s="322">
        <v>66167347.049999997</v>
      </c>
      <c r="E258" s="330">
        <v>1.12E-2</v>
      </c>
      <c r="F258" s="307">
        <v>1.67E-2</v>
      </c>
      <c r="G258" s="307">
        <v>-2.2499999999999999E-2</v>
      </c>
      <c r="H258" s="314">
        <v>-8.3500000000000005E-2</v>
      </c>
      <c r="I258" s="308">
        <v>199.70074936</v>
      </c>
      <c r="J258" s="331">
        <v>6.7999999999999996E-3</v>
      </c>
      <c r="K258" s="270">
        <v>16</v>
      </c>
    </row>
    <row r="259" spans="1:11" s="270" customFormat="1" x14ac:dyDescent="0.3">
      <c r="A259" s="266">
        <v>37</v>
      </c>
      <c r="B259" s="271" t="s">
        <v>1123</v>
      </c>
      <c r="C259" s="326" t="s">
        <v>1124</v>
      </c>
      <c r="D259" s="322">
        <v>73132565.439999998</v>
      </c>
      <c r="E259" s="330">
        <v>2.5999999999999999E-2</v>
      </c>
      <c r="F259" s="307">
        <v>-1.04E-2</v>
      </c>
      <c r="G259" s="307">
        <v>-2.3599999999999999E-2</v>
      </c>
      <c r="H259" s="314">
        <v>-8.0399999999999999E-2</v>
      </c>
      <c r="I259" s="308">
        <v>1.1030065</v>
      </c>
      <c r="J259" s="331">
        <v>1.5800000000000002E-2</v>
      </c>
      <c r="K259" s="270">
        <v>11</v>
      </c>
    </row>
    <row r="260" spans="1:11" s="270" customFormat="1" x14ac:dyDescent="0.3">
      <c r="A260" s="266">
        <v>38</v>
      </c>
      <c r="B260" s="271" t="s">
        <v>831</v>
      </c>
      <c r="C260" s="327" t="s">
        <v>317</v>
      </c>
      <c r="D260" s="322">
        <v>552094581.27999997</v>
      </c>
      <c r="E260" s="330">
        <v>6.7199999999999996E-2</v>
      </c>
      <c r="F260" s="307">
        <v>4.2599999999999999E-2</v>
      </c>
      <c r="G260" s="307">
        <v>-2.53E-2</v>
      </c>
      <c r="H260" s="314">
        <v>-2.8799999999999999E-2</v>
      </c>
      <c r="I260" s="308">
        <v>2.0100896000000001</v>
      </c>
      <c r="J260" s="331">
        <v>4.0899999999999999E-2</v>
      </c>
      <c r="K260" s="270">
        <v>108</v>
      </c>
    </row>
    <row r="261" spans="1:11" s="270" customFormat="1" x14ac:dyDescent="0.3">
      <c r="A261" s="266">
        <v>39</v>
      </c>
      <c r="B261" s="271" t="s">
        <v>832</v>
      </c>
      <c r="C261" s="327" t="s">
        <v>324</v>
      </c>
      <c r="D261" s="322">
        <v>6402341873.6300001</v>
      </c>
      <c r="E261" s="330">
        <v>1E-4</v>
      </c>
      <c r="F261" s="307">
        <v>-0.1009</v>
      </c>
      <c r="G261" s="307">
        <v>-2.1700000000000001E-2</v>
      </c>
      <c r="H261" s="314">
        <v>-7.6799999999999993E-2</v>
      </c>
      <c r="I261" s="308">
        <v>8.7516192999999998</v>
      </c>
      <c r="J261" s="331">
        <v>0</v>
      </c>
      <c r="K261" s="270">
        <v>388</v>
      </c>
    </row>
    <row r="262" spans="1:11" s="270" customFormat="1" x14ac:dyDescent="0.3">
      <c r="A262" s="266">
        <v>40</v>
      </c>
      <c r="B262" s="271" t="s">
        <v>833</v>
      </c>
      <c r="C262" s="327" t="s">
        <v>319</v>
      </c>
      <c r="D262" s="322">
        <v>1032075581.91</v>
      </c>
      <c r="E262" s="330">
        <v>1.5E-3</v>
      </c>
      <c r="F262" s="307">
        <v>3.7499999999999999E-2</v>
      </c>
      <c r="G262" s="307">
        <v>-2.1700000000000001E-2</v>
      </c>
      <c r="H262" s="314">
        <v>-7.7100000000000002E-2</v>
      </c>
      <c r="I262" s="308">
        <v>1.799717</v>
      </c>
      <c r="J262" s="331">
        <v>8.9999999999999998E-4</v>
      </c>
      <c r="K262" s="270">
        <v>88</v>
      </c>
    </row>
    <row r="263" spans="1:11" s="270" customFormat="1" x14ac:dyDescent="0.3">
      <c r="A263" s="266">
        <v>41</v>
      </c>
      <c r="B263" s="271" t="s">
        <v>834</v>
      </c>
      <c r="C263" s="327" t="s">
        <v>320</v>
      </c>
      <c r="D263" s="322">
        <v>567733307.35000002</v>
      </c>
      <c r="E263" s="330">
        <v>1.6000000000000001E-3</v>
      </c>
      <c r="F263" s="307">
        <v>3.61E-2</v>
      </c>
      <c r="G263" s="307">
        <v>-2.1700000000000001E-2</v>
      </c>
      <c r="H263" s="314">
        <v>-7.7100000000000002E-2</v>
      </c>
      <c r="I263" s="308">
        <v>1.7936654999999999</v>
      </c>
      <c r="J263" s="331">
        <v>8.9999999999999998E-4</v>
      </c>
      <c r="K263" s="270">
        <v>193</v>
      </c>
    </row>
    <row r="264" spans="1:11" s="270" customFormat="1" x14ac:dyDescent="0.3">
      <c r="A264" s="266">
        <v>42</v>
      </c>
      <c r="B264" s="271" t="s">
        <v>835</v>
      </c>
      <c r="C264" s="327" t="s">
        <v>321</v>
      </c>
      <c r="D264" s="322">
        <v>213986111.68000001</v>
      </c>
      <c r="E264" s="330">
        <v>0</v>
      </c>
      <c r="F264" s="307">
        <v>-0.38419999999999999</v>
      </c>
      <c r="G264" s="307">
        <v>-2.1700000000000001E-2</v>
      </c>
      <c r="H264" s="314">
        <v>-7.6799999999999993E-2</v>
      </c>
      <c r="I264" s="308">
        <v>2.4804604000000001</v>
      </c>
      <c r="J264" s="331">
        <v>0</v>
      </c>
      <c r="K264" s="270">
        <v>159</v>
      </c>
    </row>
    <row r="265" spans="1:11" s="270" customFormat="1" x14ac:dyDescent="0.3">
      <c r="A265" s="266">
        <v>43</v>
      </c>
      <c r="B265" s="271" t="s">
        <v>1091</v>
      </c>
      <c r="C265" s="327" t="s">
        <v>314</v>
      </c>
      <c r="D265" s="322">
        <v>4564979407.7600002</v>
      </c>
      <c r="E265" s="330">
        <v>1E-4</v>
      </c>
      <c r="F265" s="307">
        <v>-0.245</v>
      </c>
      <c r="G265" s="307">
        <v>-2.1700000000000001E-2</v>
      </c>
      <c r="H265" s="314">
        <v>-7.6999999999999999E-2</v>
      </c>
      <c r="I265" s="308">
        <v>8.7128756000000003</v>
      </c>
      <c r="J265" s="331">
        <v>1E-4</v>
      </c>
      <c r="K265" s="270">
        <v>262</v>
      </c>
    </row>
    <row r="266" spans="1:11" s="270" customFormat="1" x14ac:dyDescent="0.3">
      <c r="A266" s="266">
        <v>44</v>
      </c>
      <c r="B266" s="271" t="s">
        <v>836</v>
      </c>
      <c r="C266" s="327" t="s">
        <v>322</v>
      </c>
      <c r="D266" s="322">
        <v>22930474.550000001</v>
      </c>
      <c r="E266" s="330">
        <v>0.18029999999999999</v>
      </c>
      <c r="F266" s="307">
        <v>0.1241</v>
      </c>
      <c r="G266" s="307">
        <v>0.1711</v>
      </c>
      <c r="H266" s="314">
        <v>3.9300000000000002E-2</v>
      </c>
      <c r="I266" s="308">
        <v>402.35711709999998</v>
      </c>
      <c r="J266" s="331">
        <v>0.1084</v>
      </c>
      <c r="K266" s="270">
        <v>23</v>
      </c>
    </row>
    <row r="267" spans="1:11" s="270" customFormat="1" x14ac:dyDescent="0.3">
      <c r="A267" s="266">
        <v>45</v>
      </c>
      <c r="B267" s="271" t="s">
        <v>837</v>
      </c>
      <c r="C267" s="327" t="s">
        <v>780</v>
      </c>
      <c r="D267" s="322">
        <v>40064890.509999998</v>
      </c>
      <c r="E267" s="330">
        <v>0.11700000000000001</v>
      </c>
      <c r="F267" s="307">
        <v>1.6299999999999999E-2</v>
      </c>
      <c r="G267" s="307">
        <v>-3.5999999999999997E-2</v>
      </c>
      <c r="H267" s="314">
        <v>-1.78E-2</v>
      </c>
      <c r="I267" s="308">
        <v>1.2143333999999999</v>
      </c>
      <c r="J267" s="331">
        <v>7.1199999999999999E-2</v>
      </c>
      <c r="K267" s="270">
        <v>74</v>
      </c>
    </row>
    <row r="268" spans="1:11" s="270" customFormat="1" x14ac:dyDescent="0.3">
      <c r="A268" s="266">
        <v>46</v>
      </c>
      <c r="B268" s="271" t="s">
        <v>838</v>
      </c>
      <c r="C268" s="327" t="s">
        <v>323</v>
      </c>
      <c r="D268" s="322">
        <v>229396273.56</v>
      </c>
      <c r="E268" s="330">
        <v>0.01</v>
      </c>
      <c r="F268" s="307">
        <v>-0.56179999999999997</v>
      </c>
      <c r="G268" s="307">
        <v>-2.18E-2</v>
      </c>
      <c r="H268" s="314">
        <v>-7.7399999999999997E-2</v>
      </c>
      <c r="I268" s="308">
        <v>3.0604670999999999</v>
      </c>
      <c r="J268" s="331">
        <v>1E-4</v>
      </c>
      <c r="K268" s="270">
        <v>102</v>
      </c>
    </row>
    <row r="269" spans="1:11" s="270" customFormat="1" x14ac:dyDescent="0.3">
      <c r="A269" s="266">
        <v>47</v>
      </c>
      <c r="B269" s="271" t="s">
        <v>839</v>
      </c>
      <c r="C269" s="327" t="s">
        <v>316</v>
      </c>
      <c r="D269" s="322">
        <v>1025977549.72</v>
      </c>
      <c r="E269" s="330">
        <v>6.6900000000000001E-2</v>
      </c>
      <c r="F269" s="307">
        <v>3.9699999999999999E-2</v>
      </c>
      <c r="G269" s="307">
        <v>-2.5600000000000001E-2</v>
      </c>
      <c r="H269" s="314">
        <v>-3.0599999999999999E-2</v>
      </c>
      <c r="I269" s="308">
        <v>2.7071982000000001</v>
      </c>
      <c r="J269" s="331">
        <v>4.07E-2</v>
      </c>
      <c r="K269" s="270">
        <v>78</v>
      </c>
    </row>
    <row r="270" spans="1:11" s="270" customFormat="1" x14ac:dyDescent="0.3">
      <c r="A270" s="266">
        <v>48</v>
      </c>
      <c r="B270" s="271" t="s">
        <v>840</v>
      </c>
      <c r="C270" s="327" t="s">
        <v>315</v>
      </c>
      <c r="D270" s="322">
        <v>100501478.03</v>
      </c>
      <c r="E270" s="330">
        <v>9.98E-2</v>
      </c>
      <c r="F270" s="307">
        <v>5.8000000000000003E-2</v>
      </c>
      <c r="G270" s="307">
        <v>-2.4500000000000001E-2</v>
      </c>
      <c r="H270" s="314">
        <v>-4.0000000000000001E-3</v>
      </c>
      <c r="I270" s="308">
        <v>1.6983629</v>
      </c>
      <c r="J270" s="331">
        <v>6.0600000000000001E-2</v>
      </c>
      <c r="K270" s="270">
        <v>20</v>
      </c>
    </row>
    <row r="271" spans="1:11" s="270" customFormat="1" x14ac:dyDescent="0.3">
      <c r="A271" s="266">
        <v>49</v>
      </c>
      <c r="B271" s="271" t="s">
        <v>840</v>
      </c>
      <c r="C271" s="327" t="s">
        <v>918</v>
      </c>
      <c r="D271" s="322">
        <v>223310227.62</v>
      </c>
      <c r="E271" s="330">
        <v>1.84E-2</v>
      </c>
      <c r="F271" s="307">
        <v>-1.2200000000000001E-2</v>
      </c>
      <c r="G271" s="307">
        <v>-2.3199999999999998E-2</v>
      </c>
      <c r="H271" s="314">
        <v>-8.5300000000000001E-2</v>
      </c>
      <c r="I271" s="308">
        <v>1.2452905000000001</v>
      </c>
      <c r="J271" s="331">
        <v>1.12E-2</v>
      </c>
      <c r="K271" s="270">
        <v>56</v>
      </c>
    </row>
    <row r="272" spans="1:11" s="270" customFormat="1" x14ac:dyDescent="0.3">
      <c r="A272" s="266">
        <v>50</v>
      </c>
      <c r="B272" s="271" t="s">
        <v>841</v>
      </c>
      <c r="C272" s="327" t="s">
        <v>318</v>
      </c>
      <c r="D272" s="322">
        <v>580023501.12</v>
      </c>
      <c r="E272" s="330">
        <v>3.1800000000000002E-2</v>
      </c>
      <c r="F272" s="307">
        <v>4.1099999999999998E-2</v>
      </c>
      <c r="G272" s="307">
        <v>-2.3400000000000001E-2</v>
      </c>
      <c r="H272" s="314">
        <v>-7.2900000000000006E-2</v>
      </c>
      <c r="I272" s="308">
        <v>2.6463125999999999</v>
      </c>
      <c r="J272" s="331">
        <v>1.9300000000000001E-2</v>
      </c>
      <c r="K272" s="270">
        <v>56</v>
      </c>
    </row>
    <row r="273" spans="1:11" s="270" customFormat="1" x14ac:dyDescent="0.3">
      <c r="A273" s="266">
        <v>51</v>
      </c>
      <c r="B273" s="271" t="s">
        <v>1205</v>
      </c>
      <c r="C273" s="329" t="s">
        <v>1207</v>
      </c>
      <c r="D273" s="322" t="s">
        <v>830</v>
      </c>
      <c r="E273" s="330" t="s">
        <v>830</v>
      </c>
      <c r="F273" s="307" t="s">
        <v>830</v>
      </c>
      <c r="G273" s="307" t="s">
        <v>830</v>
      </c>
      <c r="H273" s="314" t="s">
        <v>830</v>
      </c>
      <c r="I273" s="308" t="s">
        <v>830</v>
      </c>
      <c r="J273" s="331" t="s">
        <v>830</v>
      </c>
      <c r="K273" s="270" t="s">
        <v>830</v>
      </c>
    </row>
    <row r="274" spans="1:11" s="270" customFormat="1" x14ac:dyDescent="0.3">
      <c r="A274" s="266">
        <v>52</v>
      </c>
      <c r="B274" s="271" t="s">
        <v>925</v>
      </c>
      <c r="C274" s="327" t="s">
        <v>922</v>
      </c>
      <c r="D274" s="322">
        <v>316990937.61000001</v>
      </c>
      <c r="E274" s="330">
        <v>1E-4</v>
      </c>
      <c r="F274" s="307">
        <v>-0.29210000000000003</v>
      </c>
      <c r="G274" s="307">
        <v>-2.1700000000000001E-2</v>
      </c>
      <c r="H274" s="314">
        <v>-7.6899999999999996E-2</v>
      </c>
      <c r="I274" s="308">
        <v>1.910925215</v>
      </c>
      <c r="J274" s="331">
        <v>0</v>
      </c>
      <c r="K274" s="270">
        <v>18</v>
      </c>
    </row>
    <row r="275" spans="1:11" s="270" customFormat="1" x14ac:dyDescent="0.3">
      <c r="A275" s="266">
        <v>53</v>
      </c>
      <c r="B275" s="271" t="s">
        <v>842</v>
      </c>
      <c r="C275" s="327" t="s">
        <v>325</v>
      </c>
      <c r="D275" s="322">
        <v>128991423.31999999</v>
      </c>
      <c r="E275" s="330">
        <v>6.6799999999999998E-2</v>
      </c>
      <c r="F275" s="307">
        <v>4.41E-2</v>
      </c>
      <c r="G275" s="307">
        <v>-2.53E-2</v>
      </c>
      <c r="H275" s="314">
        <v>-2.8000000000000001E-2</v>
      </c>
      <c r="I275" s="308">
        <v>2.5759031000000001</v>
      </c>
      <c r="J275" s="331">
        <v>4.0599999999999997E-2</v>
      </c>
      <c r="K275" s="270">
        <v>70</v>
      </c>
    </row>
    <row r="276" spans="1:11" s="270" customFormat="1" x14ac:dyDescent="0.3">
      <c r="A276" s="266">
        <v>54</v>
      </c>
      <c r="B276" s="271" t="s">
        <v>843</v>
      </c>
      <c r="C276" s="327" t="s">
        <v>326</v>
      </c>
      <c r="D276" s="322">
        <v>387277288.81</v>
      </c>
      <c r="E276" s="330">
        <v>6.9999999999999999E-4</v>
      </c>
      <c r="F276" s="307">
        <v>3.5999999999999999E-3</v>
      </c>
      <c r="G276" s="307">
        <v>-2.1700000000000001E-2</v>
      </c>
      <c r="H276" s="314">
        <v>-7.7399999999999997E-2</v>
      </c>
      <c r="I276" s="308">
        <v>3.0484640000000001</v>
      </c>
      <c r="J276" s="331">
        <v>4.0000000000000002E-4</v>
      </c>
      <c r="K276" s="270">
        <v>133</v>
      </c>
    </row>
    <row r="277" spans="1:11" s="270" customFormat="1" x14ac:dyDescent="0.3">
      <c r="A277" s="266">
        <v>55</v>
      </c>
      <c r="B277" s="271" t="s">
        <v>1017</v>
      </c>
      <c r="C277" s="327" t="s">
        <v>1015</v>
      </c>
      <c r="D277" s="322">
        <v>815891028.34000003</v>
      </c>
      <c r="E277" s="330">
        <v>3.2000000000000002E-3</v>
      </c>
      <c r="F277" s="307">
        <v>-4.1399999999999999E-2</v>
      </c>
      <c r="G277" s="307">
        <v>-2.1899999999999999E-2</v>
      </c>
      <c r="H277" s="314">
        <v>-7.8600000000000003E-2</v>
      </c>
      <c r="I277" s="308">
        <v>1.077064</v>
      </c>
      <c r="J277" s="331">
        <v>2E-3</v>
      </c>
      <c r="K277" s="270">
        <v>113</v>
      </c>
    </row>
    <row r="278" spans="1:11" s="270" customFormat="1" x14ac:dyDescent="0.3">
      <c r="A278" s="266">
        <v>56</v>
      </c>
      <c r="B278" s="271" t="s">
        <v>1025</v>
      </c>
      <c r="C278" s="327" t="s">
        <v>1026</v>
      </c>
      <c r="D278" s="322">
        <v>759007093.77999997</v>
      </c>
      <c r="E278" s="330">
        <v>3.2000000000000002E-3</v>
      </c>
      <c r="F278" s="307">
        <v>-4.1399999999999999E-2</v>
      </c>
      <c r="G278" s="307">
        <v>-2.1899999999999999E-2</v>
      </c>
      <c r="H278" s="314">
        <v>-7.8600000000000003E-2</v>
      </c>
      <c r="I278" s="308">
        <v>1.0607089999999999</v>
      </c>
      <c r="J278" s="331">
        <v>2E-3</v>
      </c>
      <c r="K278" s="270">
        <v>103</v>
      </c>
    </row>
    <row r="279" spans="1:11" s="270" customFormat="1" x14ac:dyDescent="0.3">
      <c r="A279" s="266">
        <v>57</v>
      </c>
      <c r="B279" s="224" t="s">
        <v>1048</v>
      </c>
      <c r="C279" s="327" t="s">
        <v>1049</v>
      </c>
      <c r="D279" s="322">
        <v>747320848.75</v>
      </c>
      <c r="E279" s="330">
        <v>3.2000000000000002E-3</v>
      </c>
      <c r="F279" s="307">
        <v>-4.1399999999999999E-2</v>
      </c>
      <c r="G279" s="307">
        <v>-2.1899999999999999E-2</v>
      </c>
      <c r="H279" s="314">
        <v>-7.8600000000000003E-2</v>
      </c>
      <c r="I279" s="308">
        <v>1.050003</v>
      </c>
      <c r="J279" s="331">
        <v>2E-3</v>
      </c>
      <c r="K279" s="270">
        <v>85</v>
      </c>
    </row>
    <row r="280" spans="1:11" s="270" customFormat="1" x14ac:dyDescent="0.3">
      <c r="A280" s="266">
        <v>58</v>
      </c>
      <c r="B280" s="271" t="s">
        <v>1046</v>
      </c>
      <c r="C280" s="327" t="s">
        <v>1047</v>
      </c>
      <c r="D280" s="322">
        <v>981808474.77999997</v>
      </c>
      <c r="E280" s="330">
        <v>3.2000000000000002E-3</v>
      </c>
      <c r="F280" s="307">
        <v>-4.1399999999999999E-2</v>
      </c>
      <c r="G280" s="307">
        <v>-2.1899999999999999E-2</v>
      </c>
      <c r="H280" s="314">
        <v>-7.8600000000000003E-2</v>
      </c>
      <c r="I280" s="308">
        <v>1.0712630000000001</v>
      </c>
      <c r="J280" s="331">
        <v>2E-3</v>
      </c>
      <c r="K280" s="270">
        <v>133</v>
      </c>
    </row>
    <row r="281" spans="1:11" s="270" customFormat="1" x14ac:dyDescent="0.3">
      <c r="A281" s="266">
        <v>59</v>
      </c>
      <c r="B281" s="224" t="s">
        <v>1125</v>
      </c>
      <c r="C281" s="326" t="s">
        <v>1126</v>
      </c>
      <c r="D281" s="322">
        <v>451830969.99000001</v>
      </c>
      <c r="E281" s="330">
        <v>3.2000000000000002E-3</v>
      </c>
      <c r="F281" s="307">
        <v>-4.1500000000000002E-2</v>
      </c>
      <c r="G281" s="307">
        <v>-2.1899999999999999E-2</v>
      </c>
      <c r="H281" s="314">
        <v>-7.8600000000000003E-2</v>
      </c>
      <c r="I281" s="308">
        <v>1.0546720000000001</v>
      </c>
      <c r="J281" s="331">
        <v>2E-3</v>
      </c>
      <c r="K281" s="270">
        <v>154</v>
      </c>
    </row>
    <row r="282" spans="1:11" s="270" customFormat="1" x14ac:dyDescent="0.3">
      <c r="A282" s="266">
        <v>60</v>
      </c>
      <c r="B282" s="271" t="s">
        <v>844</v>
      </c>
      <c r="C282" s="327" t="s">
        <v>744</v>
      </c>
      <c r="D282" s="322">
        <v>1219029178.77</v>
      </c>
      <c r="E282" s="330">
        <v>1.1999999999999999E-3</v>
      </c>
      <c r="F282" s="307">
        <v>8.0999999999999996E-3</v>
      </c>
      <c r="G282" s="307">
        <v>-2.1700000000000001E-2</v>
      </c>
      <c r="H282" s="314">
        <v>-7.6399999999999996E-2</v>
      </c>
      <c r="I282" s="308">
        <v>1.2157659999999999</v>
      </c>
      <c r="J282" s="331">
        <v>6.9999999999999999E-4</v>
      </c>
      <c r="K282" s="270">
        <v>163</v>
      </c>
    </row>
    <row r="283" spans="1:11" s="270" customFormat="1" x14ac:dyDescent="0.3">
      <c r="A283" s="266">
        <v>61</v>
      </c>
      <c r="B283" s="271" t="s">
        <v>1127</v>
      </c>
      <c r="C283" s="326" t="s">
        <v>1128</v>
      </c>
      <c r="D283" s="322">
        <v>131996791.56</v>
      </c>
      <c r="E283" s="330">
        <v>2.1499999999999998E-2</v>
      </c>
      <c r="F283" s="307">
        <v>-1.77E-2</v>
      </c>
      <c r="G283" s="307">
        <v>-2.35E-2</v>
      </c>
      <c r="H283" s="314">
        <v>-8.3299999999999999E-2</v>
      </c>
      <c r="I283" s="308">
        <v>1.089982</v>
      </c>
      <c r="J283" s="331">
        <v>1.3100000000000001E-2</v>
      </c>
      <c r="K283" s="270">
        <v>21</v>
      </c>
    </row>
    <row r="284" spans="1:11" s="270" customFormat="1" x14ac:dyDescent="0.3">
      <c r="A284" s="266">
        <v>62</v>
      </c>
      <c r="B284" s="271" t="s">
        <v>845</v>
      </c>
      <c r="C284" s="327" t="s">
        <v>758</v>
      </c>
      <c r="D284" s="322">
        <v>56384986.909999996</v>
      </c>
      <c r="E284" s="330">
        <v>3.7699999999999997E-2</v>
      </c>
      <c r="F284" s="307">
        <v>-2.9999999999999997E-4</v>
      </c>
      <c r="G284" s="307">
        <v>-2.4799999999999999E-2</v>
      </c>
      <c r="H284" s="314">
        <v>-7.2099999999999997E-2</v>
      </c>
      <c r="I284" s="308">
        <v>1.207746</v>
      </c>
      <c r="J284" s="331">
        <v>2.3E-2</v>
      </c>
      <c r="K284" s="270">
        <v>20</v>
      </c>
    </row>
    <row r="285" spans="1:11" s="270" customFormat="1" x14ac:dyDescent="0.3">
      <c r="A285" s="266">
        <v>63</v>
      </c>
      <c r="B285" s="271" t="s">
        <v>846</v>
      </c>
      <c r="C285" s="327" t="s">
        <v>715</v>
      </c>
      <c r="D285" s="322">
        <v>70214865.590000004</v>
      </c>
      <c r="E285" s="330">
        <v>1.1999999999999999E-3</v>
      </c>
      <c r="F285" s="307">
        <v>5.8999999999999999E-3</v>
      </c>
      <c r="G285" s="307">
        <v>-2.1700000000000001E-2</v>
      </c>
      <c r="H285" s="314">
        <v>-7.6399999999999996E-2</v>
      </c>
      <c r="I285" s="308">
        <v>1.2090939999999999</v>
      </c>
      <c r="J285" s="331">
        <v>6.9999999999999999E-4</v>
      </c>
      <c r="K285" s="270">
        <v>17</v>
      </c>
    </row>
    <row r="286" spans="1:11" s="270" customFormat="1" x14ac:dyDescent="0.3">
      <c r="A286" s="266">
        <v>64</v>
      </c>
      <c r="B286" s="271" t="s">
        <v>847</v>
      </c>
      <c r="C286" s="327" t="s">
        <v>746</v>
      </c>
      <c r="D286" s="322">
        <v>162586000.22</v>
      </c>
      <c r="E286" s="330">
        <v>1.1999999999999999E-3</v>
      </c>
      <c r="F286" s="307">
        <v>9.4000000000000004E-3</v>
      </c>
      <c r="G286" s="307">
        <v>-2.1700000000000001E-2</v>
      </c>
      <c r="H286" s="314">
        <v>-7.6399999999999996E-2</v>
      </c>
      <c r="I286" s="308">
        <v>1.208615</v>
      </c>
      <c r="J286" s="331">
        <v>6.9999999999999999E-4</v>
      </c>
      <c r="K286" s="270">
        <v>38</v>
      </c>
    </row>
    <row r="287" spans="1:11" s="270" customFormat="1" x14ac:dyDescent="0.3">
      <c r="A287" s="266">
        <v>65</v>
      </c>
      <c r="B287" s="271" t="s">
        <v>1020</v>
      </c>
      <c r="C287" s="327" t="s">
        <v>1018</v>
      </c>
      <c r="D287" s="322">
        <v>720727989.70000005</v>
      </c>
      <c r="E287" s="330">
        <v>6.5199999999999994E-2</v>
      </c>
      <c r="F287" s="307">
        <v>2.86E-2</v>
      </c>
      <c r="G287" s="307">
        <v>-2.5399999999999999E-2</v>
      </c>
      <c r="H287" s="314">
        <v>-3.6700000000000003E-2</v>
      </c>
      <c r="I287" s="308">
        <v>1.101364</v>
      </c>
      <c r="J287" s="331">
        <v>3.9699999999999999E-2</v>
      </c>
      <c r="K287" s="270">
        <v>70</v>
      </c>
    </row>
    <row r="288" spans="1:11" s="270" customFormat="1" x14ac:dyDescent="0.3">
      <c r="A288" s="266">
        <v>66</v>
      </c>
      <c r="B288" s="271" t="s">
        <v>848</v>
      </c>
      <c r="C288" s="327" t="s">
        <v>763</v>
      </c>
      <c r="D288" s="322">
        <v>45056138.460000001</v>
      </c>
      <c r="E288" s="330">
        <v>9.1300000000000006E-2</v>
      </c>
      <c r="F288" s="307">
        <v>5.8000000000000003E-2</v>
      </c>
      <c r="G288" s="307">
        <v>-2.4799999999999999E-2</v>
      </c>
      <c r="H288" s="314">
        <v>-7.1000000000000004E-3</v>
      </c>
      <c r="I288" s="308">
        <v>1.2239100000000001</v>
      </c>
      <c r="J288" s="331">
        <v>5.5500000000000001E-2</v>
      </c>
      <c r="K288" s="270">
        <v>18</v>
      </c>
    </row>
    <row r="289" spans="1:11" s="270" customFormat="1" x14ac:dyDescent="0.3">
      <c r="A289" s="266">
        <v>67</v>
      </c>
      <c r="B289" s="271" t="s">
        <v>849</v>
      </c>
      <c r="C289" s="327" t="s">
        <v>329</v>
      </c>
      <c r="D289" s="322">
        <v>4367781353.9099998</v>
      </c>
      <c r="E289" s="330">
        <v>2.9999999999999997E-4</v>
      </c>
      <c r="F289" s="307">
        <v>2.7400000000000001E-2</v>
      </c>
      <c r="G289" s="307">
        <v>-2.1700000000000001E-2</v>
      </c>
      <c r="H289" s="314">
        <v>-7.6300000000000007E-2</v>
      </c>
      <c r="I289" s="308">
        <v>2.6786530000000002</v>
      </c>
      <c r="J289" s="331">
        <v>2.0000000000000001E-4</v>
      </c>
      <c r="K289" s="270">
        <v>752</v>
      </c>
    </row>
    <row r="290" spans="1:11" s="270" customFormat="1" x14ac:dyDescent="0.3">
      <c r="A290" s="266">
        <v>68</v>
      </c>
      <c r="B290" s="271" t="s">
        <v>850</v>
      </c>
      <c r="C290" s="327" t="s">
        <v>327</v>
      </c>
      <c r="D290" s="322">
        <v>146320067.88999999</v>
      </c>
      <c r="E290" s="330">
        <v>0</v>
      </c>
      <c r="F290" s="307">
        <v>-1.8787799999999999</v>
      </c>
      <c r="G290" s="307">
        <v>-2.1700000000000001E-2</v>
      </c>
      <c r="H290" s="314">
        <v>-7.7200000000000005E-2</v>
      </c>
      <c r="I290" s="308">
        <v>1.3915850000000001</v>
      </c>
      <c r="J290" s="331">
        <v>0</v>
      </c>
      <c r="K290" s="270">
        <v>139</v>
      </c>
    </row>
    <row r="291" spans="1:11" s="270" customFormat="1" x14ac:dyDescent="0.3">
      <c r="A291" s="266">
        <v>69</v>
      </c>
      <c r="B291" s="271" t="s">
        <v>851</v>
      </c>
      <c r="C291" s="327" t="s">
        <v>333</v>
      </c>
      <c r="D291" s="322">
        <v>3360910351.6199999</v>
      </c>
      <c r="E291" s="330">
        <v>1.7899999999999999E-2</v>
      </c>
      <c r="F291" s="307">
        <v>-1.5699999999999999E-2</v>
      </c>
      <c r="G291" s="307">
        <v>-2.3199999999999998E-2</v>
      </c>
      <c r="H291" s="314">
        <v>-8.5400000000000004E-2</v>
      </c>
      <c r="I291" s="308">
        <v>1.4835879999999999</v>
      </c>
      <c r="J291" s="331">
        <v>1.09E-2</v>
      </c>
      <c r="K291" s="270">
        <v>564</v>
      </c>
    </row>
    <row r="292" spans="1:11" s="270" customFormat="1" x14ac:dyDescent="0.3">
      <c r="A292" s="266">
        <v>70</v>
      </c>
      <c r="B292" s="271" t="s">
        <v>852</v>
      </c>
      <c r="C292" s="327" t="s">
        <v>335</v>
      </c>
      <c r="D292" s="322">
        <v>408103307.27999997</v>
      </c>
      <c r="E292" s="330">
        <v>9.8400000000000001E-2</v>
      </c>
      <c r="F292" s="307">
        <v>5.9700000000000003E-2</v>
      </c>
      <c r="G292" s="307">
        <v>-2.4199999999999999E-2</v>
      </c>
      <c r="H292" s="314">
        <v>-3.5000000000000001E-3</v>
      </c>
      <c r="I292" s="308">
        <v>1.3724259999999999</v>
      </c>
      <c r="J292" s="331">
        <v>5.9700000000000003E-2</v>
      </c>
      <c r="K292" s="270">
        <v>122</v>
      </c>
    </row>
    <row r="293" spans="1:11" s="270" customFormat="1" x14ac:dyDescent="0.3">
      <c r="A293" s="266">
        <v>71</v>
      </c>
      <c r="B293" s="271" t="s">
        <v>853</v>
      </c>
      <c r="C293" s="327" t="s">
        <v>337</v>
      </c>
      <c r="D293" s="322">
        <v>1016107801.67</v>
      </c>
      <c r="E293" s="330">
        <v>3.0599999999999999E-2</v>
      </c>
      <c r="F293" s="307">
        <v>4.3200000000000002E-2</v>
      </c>
      <c r="G293" s="307">
        <v>-2.3300000000000001E-2</v>
      </c>
      <c r="H293" s="314">
        <v>-7.2800000000000004E-2</v>
      </c>
      <c r="I293" s="308">
        <v>1.8156060000000001</v>
      </c>
      <c r="J293" s="331">
        <v>1.8599999999999998E-2</v>
      </c>
      <c r="K293" s="270">
        <v>201</v>
      </c>
    </row>
    <row r="294" spans="1:11" s="270" customFormat="1" x14ac:dyDescent="0.3">
      <c r="A294" s="266">
        <v>72</v>
      </c>
      <c r="B294" s="271" t="s">
        <v>854</v>
      </c>
      <c r="C294" s="327" t="s">
        <v>338</v>
      </c>
      <c r="D294" s="322">
        <v>88198643.450000003</v>
      </c>
      <c r="E294" s="330">
        <v>1.6999999999999999E-3</v>
      </c>
      <c r="F294" s="307">
        <v>5.6800000000000003E-2</v>
      </c>
      <c r="G294" s="307">
        <v>-2.1600000000000001E-2</v>
      </c>
      <c r="H294" s="314">
        <v>-7.4200000000000002E-2</v>
      </c>
      <c r="I294" s="308">
        <v>1.763973</v>
      </c>
      <c r="J294" s="331">
        <v>1.1000000000000001E-3</v>
      </c>
      <c r="K294" s="270">
        <v>21</v>
      </c>
    </row>
    <row r="295" spans="1:11" s="270" customFormat="1" x14ac:dyDescent="0.3">
      <c r="A295" s="266">
        <v>73</v>
      </c>
      <c r="B295" s="271" t="s">
        <v>855</v>
      </c>
      <c r="C295" s="327" t="s">
        <v>345</v>
      </c>
      <c r="D295" s="322">
        <v>98902099.870000005</v>
      </c>
      <c r="E295" s="330">
        <v>1.1000000000000001E-3</v>
      </c>
      <c r="F295" s="307">
        <v>-2.2100000000000002E-2</v>
      </c>
      <c r="G295" s="307">
        <v>-2.18E-2</v>
      </c>
      <c r="H295" s="314">
        <v>-7.6999999999999999E-2</v>
      </c>
      <c r="I295" s="308">
        <v>1.9415370000000001</v>
      </c>
      <c r="J295" s="331">
        <v>6.9999999999999999E-4</v>
      </c>
      <c r="K295" s="270">
        <v>54</v>
      </c>
    </row>
    <row r="296" spans="1:11" s="270" customFormat="1" x14ac:dyDescent="0.3">
      <c r="A296" s="266">
        <v>74</v>
      </c>
      <c r="B296" s="271" t="s">
        <v>856</v>
      </c>
      <c r="C296" s="327" t="s">
        <v>339</v>
      </c>
      <c r="D296" s="322">
        <v>91394147.390000001</v>
      </c>
      <c r="E296" s="330">
        <v>1.9E-3</v>
      </c>
      <c r="F296" s="307">
        <v>0.1086</v>
      </c>
      <c r="G296" s="307">
        <v>-2.1499999999999998E-2</v>
      </c>
      <c r="H296" s="314">
        <v>-7.3099999999999998E-2</v>
      </c>
      <c r="I296" s="308">
        <v>1.790802</v>
      </c>
      <c r="J296" s="331">
        <v>1.1999999999999999E-3</v>
      </c>
      <c r="K296" s="270">
        <v>23</v>
      </c>
    </row>
    <row r="297" spans="1:11" s="270" customFormat="1" x14ac:dyDescent="0.3">
      <c r="A297" s="266">
        <v>75</v>
      </c>
      <c r="B297" s="271" t="s">
        <v>857</v>
      </c>
      <c r="C297" s="327" t="s">
        <v>340</v>
      </c>
      <c r="D297" s="322">
        <v>94194288.790000007</v>
      </c>
      <c r="E297" s="330">
        <v>2.0999999999999999E-3</v>
      </c>
      <c r="F297" s="307">
        <v>4.1000000000000002E-2</v>
      </c>
      <c r="G297" s="307">
        <v>-2.1600000000000001E-2</v>
      </c>
      <c r="H297" s="314">
        <v>-7.4300000000000005E-2</v>
      </c>
      <c r="I297" s="308">
        <v>1.758373</v>
      </c>
      <c r="J297" s="331">
        <v>1.2999999999999999E-3</v>
      </c>
      <c r="K297" s="270">
        <v>20</v>
      </c>
    </row>
    <row r="298" spans="1:11" s="270" customFormat="1" x14ac:dyDescent="0.3">
      <c r="A298" s="266">
        <v>76</v>
      </c>
      <c r="B298" s="271" t="s">
        <v>858</v>
      </c>
      <c r="C298" s="327" t="s">
        <v>341</v>
      </c>
      <c r="D298" s="322">
        <v>87681955.510000005</v>
      </c>
      <c r="E298" s="330">
        <v>2.5000000000000001E-3</v>
      </c>
      <c r="F298" s="307">
        <v>9.2100000000000001E-2</v>
      </c>
      <c r="G298" s="307">
        <v>-2.1499999999999998E-2</v>
      </c>
      <c r="H298" s="314">
        <v>-7.2400000000000006E-2</v>
      </c>
      <c r="I298" s="308">
        <v>1.7531890000000001</v>
      </c>
      <c r="J298" s="331">
        <v>1.5E-3</v>
      </c>
      <c r="K298" s="270">
        <v>21</v>
      </c>
    </row>
    <row r="299" spans="1:11" s="270" customFormat="1" x14ac:dyDescent="0.3">
      <c r="A299" s="266">
        <v>77</v>
      </c>
      <c r="B299" s="271" t="s">
        <v>859</v>
      </c>
      <c r="C299" s="327" t="s">
        <v>348</v>
      </c>
      <c r="D299" s="322">
        <v>101143779.44</v>
      </c>
      <c r="E299" s="330">
        <v>1E-3</v>
      </c>
      <c r="F299" s="307">
        <v>4.8500000000000001E-2</v>
      </c>
      <c r="G299" s="307">
        <v>-2.1700000000000001E-2</v>
      </c>
      <c r="H299" s="314">
        <v>-7.6100000000000001E-2</v>
      </c>
      <c r="I299" s="308">
        <v>2.0082239999999998</v>
      </c>
      <c r="J299" s="331">
        <v>5.9999999999999995E-4</v>
      </c>
      <c r="K299" s="270">
        <v>33</v>
      </c>
    </row>
    <row r="300" spans="1:11" s="270" customFormat="1" x14ac:dyDescent="0.3">
      <c r="A300" s="266">
        <v>78</v>
      </c>
      <c r="B300" s="271" t="s">
        <v>860</v>
      </c>
      <c r="C300" s="327" t="s">
        <v>349</v>
      </c>
      <c r="D300" s="322">
        <v>97763860.150000006</v>
      </c>
      <c r="E300" s="330">
        <v>8.9999999999999998E-4</v>
      </c>
      <c r="F300" s="307">
        <v>3.27E-2</v>
      </c>
      <c r="G300" s="307">
        <v>-2.1700000000000001E-2</v>
      </c>
      <c r="H300" s="314">
        <v>-7.6300000000000007E-2</v>
      </c>
      <c r="I300" s="308">
        <v>1.937837</v>
      </c>
      <c r="J300" s="331">
        <v>5.9999999999999995E-4</v>
      </c>
      <c r="K300" s="270">
        <v>21</v>
      </c>
    </row>
    <row r="301" spans="1:11" s="270" customFormat="1" x14ac:dyDescent="0.3">
      <c r="A301" s="266">
        <v>79</v>
      </c>
      <c r="B301" s="271" t="s">
        <v>861</v>
      </c>
      <c r="C301" s="327" t="s">
        <v>350</v>
      </c>
      <c r="D301" s="322">
        <v>115624058.39</v>
      </c>
      <c r="E301" s="330">
        <v>1.5E-3</v>
      </c>
      <c r="F301" s="307">
        <v>-2.9499999999999998E-2</v>
      </c>
      <c r="G301" s="307">
        <v>-2.18E-2</v>
      </c>
      <c r="H301" s="314">
        <v>-7.7299999999999994E-2</v>
      </c>
      <c r="I301" s="308">
        <v>1.951379</v>
      </c>
      <c r="J301" s="331">
        <v>8.9999999999999998E-4</v>
      </c>
      <c r="K301" s="270">
        <v>23</v>
      </c>
    </row>
    <row r="302" spans="1:11" s="270" customFormat="1" x14ac:dyDescent="0.3">
      <c r="A302" s="266">
        <v>80</v>
      </c>
      <c r="B302" s="271" t="s">
        <v>862</v>
      </c>
      <c r="C302" s="327" t="s">
        <v>351</v>
      </c>
      <c r="D302" s="322">
        <v>104762152.67</v>
      </c>
      <c r="E302" s="330">
        <v>5.9999999999999995E-4</v>
      </c>
      <c r="F302" s="307">
        <v>0.17130000000000001</v>
      </c>
      <c r="G302" s="307">
        <v>-2.1600000000000001E-2</v>
      </c>
      <c r="H302" s="314">
        <v>-7.5600000000000001E-2</v>
      </c>
      <c r="I302" s="308">
        <v>1.8953070000000001</v>
      </c>
      <c r="J302" s="331">
        <v>2.9999999999999997E-4</v>
      </c>
      <c r="K302" s="270">
        <v>49</v>
      </c>
    </row>
    <row r="303" spans="1:11" s="270" customFormat="1" x14ac:dyDescent="0.3">
      <c r="A303" s="266">
        <v>81</v>
      </c>
      <c r="B303" s="271" t="s">
        <v>863</v>
      </c>
      <c r="C303" s="327" t="s">
        <v>352</v>
      </c>
      <c r="D303" s="322">
        <v>97762470.549999997</v>
      </c>
      <c r="E303" s="330">
        <v>5.9999999999999995E-4</v>
      </c>
      <c r="F303" s="307">
        <v>0.17050000000000001</v>
      </c>
      <c r="G303" s="307">
        <v>-2.1600000000000001E-2</v>
      </c>
      <c r="H303" s="314">
        <v>-7.5600000000000001E-2</v>
      </c>
      <c r="I303" s="308">
        <v>1.896115</v>
      </c>
      <c r="J303" s="331">
        <v>2.9999999999999997E-4</v>
      </c>
      <c r="K303" s="270">
        <v>31</v>
      </c>
    </row>
    <row r="304" spans="1:11" s="270" customFormat="1" x14ac:dyDescent="0.3">
      <c r="A304" s="266">
        <v>82</v>
      </c>
      <c r="B304" s="271" t="s">
        <v>864</v>
      </c>
      <c r="C304" s="327" t="s">
        <v>353</v>
      </c>
      <c r="D304" s="322">
        <v>96350101.560000002</v>
      </c>
      <c r="E304" s="330">
        <v>8.0000000000000004E-4</v>
      </c>
      <c r="F304" s="307">
        <v>8.1699999999999995E-2</v>
      </c>
      <c r="G304" s="307">
        <v>-2.1700000000000001E-2</v>
      </c>
      <c r="H304" s="314">
        <v>-7.5899999999999995E-2</v>
      </c>
      <c r="I304" s="308">
        <v>1.8438239999999999</v>
      </c>
      <c r="J304" s="331">
        <v>5.0000000000000001E-4</v>
      </c>
      <c r="K304" s="270">
        <v>40</v>
      </c>
    </row>
    <row r="305" spans="1:11" s="270" customFormat="1" x14ac:dyDescent="0.3">
      <c r="A305" s="266">
        <v>83</v>
      </c>
      <c r="B305" s="271" t="s">
        <v>1008</v>
      </c>
      <c r="C305" s="327" t="s">
        <v>1009</v>
      </c>
      <c r="D305" s="322">
        <v>191162364.59</v>
      </c>
      <c r="E305" s="330">
        <v>1.24E-2</v>
      </c>
      <c r="F305" s="307">
        <v>5.74E-2</v>
      </c>
      <c r="G305" s="307">
        <v>-2.1100000000000001E-2</v>
      </c>
      <c r="H305" s="314">
        <v>-6.25E-2</v>
      </c>
      <c r="I305" s="308">
        <v>1.167017</v>
      </c>
      <c r="J305" s="331">
        <v>7.6E-3</v>
      </c>
      <c r="K305" s="270">
        <v>100</v>
      </c>
    </row>
    <row r="306" spans="1:11" s="270" customFormat="1" x14ac:dyDescent="0.3">
      <c r="A306" s="266">
        <v>84</v>
      </c>
      <c r="B306" s="271" t="s">
        <v>865</v>
      </c>
      <c r="C306" s="327" t="s">
        <v>343</v>
      </c>
      <c r="D306" s="322">
        <v>164234564.71000001</v>
      </c>
      <c r="E306" s="330">
        <v>4.24E-2</v>
      </c>
      <c r="F306" s="307">
        <v>6.4799999999999996E-2</v>
      </c>
      <c r="G306" s="307">
        <v>-2.2599999999999999E-2</v>
      </c>
      <c r="H306" s="314">
        <v>-4.48E-2</v>
      </c>
      <c r="I306" s="308">
        <v>1.3819330000000001</v>
      </c>
      <c r="J306" s="331">
        <v>2.58E-2</v>
      </c>
      <c r="K306" s="270">
        <v>84</v>
      </c>
    </row>
    <row r="307" spans="1:11" s="270" customFormat="1" x14ac:dyDescent="0.3">
      <c r="A307" s="266">
        <v>85</v>
      </c>
      <c r="B307" s="271" t="s">
        <v>866</v>
      </c>
      <c r="C307" s="327" t="s">
        <v>344</v>
      </c>
      <c r="D307" s="322">
        <v>181736488.91999999</v>
      </c>
      <c r="E307" s="330">
        <v>2.4E-2</v>
      </c>
      <c r="F307" s="307">
        <v>5.67E-2</v>
      </c>
      <c r="G307" s="307">
        <v>-2.24E-2</v>
      </c>
      <c r="H307" s="314">
        <v>-7.4399999999999994E-2</v>
      </c>
      <c r="I307" s="308">
        <v>1.363707</v>
      </c>
      <c r="J307" s="331">
        <v>1.46E-2</v>
      </c>
      <c r="K307" s="270">
        <v>93</v>
      </c>
    </row>
    <row r="308" spans="1:11" s="270" customFormat="1" x14ac:dyDescent="0.3">
      <c r="A308" s="266">
        <v>86</v>
      </c>
      <c r="B308" s="271" t="s">
        <v>867</v>
      </c>
      <c r="C308" s="327" t="s">
        <v>346</v>
      </c>
      <c r="D308" s="322">
        <v>2010405174.3199999</v>
      </c>
      <c r="E308" s="330">
        <v>1E-3</v>
      </c>
      <c r="F308" s="307">
        <v>3.5999999999999999E-3</v>
      </c>
      <c r="G308" s="307">
        <v>-2.1700000000000001E-2</v>
      </c>
      <c r="H308" s="314">
        <v>-7.7100000000000002E-2</v>
      </c>
      <c r="I308" s="308">
        <v>2.898768</v>
      </c>
      <c r="J308" s="331">
        <v>5.9999999999999995E-4</v>
      </c>
      <c r="K308" s="270">
        <v>477</v>
      </c>
    </row>
    <row r="309" spans="1:11" s="270" customFormat="1" x14ac:dyDescent="0.3">
      <c r="A309" s="266">
        <v>87</v>
      </c>
      <c r="B309" s="271" t="s">
        <v>868</v>
      </c>
      <c r="C309" s="327" t="s">
        <v>328</v>
      </c>
      <c r="D309" s="322">
        <v>19998510.629999999</v>
      </c>
      <c r="E309" s="330">
        <v>0.19009999999999999</v>
      </c>
      <c r="F309" s="307">
        <v>0.112</v>
      </c>
      <c r="G309" s="307">
        <v>-3.2000000000000002E-3</v>
      </c>
      <c r="H309" s="314">
        <v>3.5099999999999999E-2</v>
      </c>
      <c r="I309" s="308">
        <v>1.066065</v>
      </c>
      <c r="J309" s="331">
        <v>0.1145</v>
      </c>
      <c r="K309" s="270">
        <v>16</v>
      </c>
    </row>
    <row r="310" spans="1:11" s="270" customFormat="1" x14ac:dyDescent="0.3">
      <c r="A310" s="266">
        <v>88</v>
      </c>
      <c r="B310" s="271" t="s">
        <v>869</v>
      </c>
      <c r="C310" s="327" t="s">
        <v>331</v>
      </c>
      <c r="D310" s="322">
        <v>31992886.539999999</v>
      </c>
      <c r="E310" s="330">
        <v>0.1893</v>
      </c>
      <c r="F310" s="307">
        <v>0.1133</v>
      </c>
      <c r="G310" s="307">
        <v>-2.7000000000000001E-3</v>
      </c>
      <c r="H310" s="314">
        <v>3.56E-2</v>
      </c>
      <c r="I310" s="308">
        <v>1.157186</v>
      </c>
      <c r="J310" s="331">
        <v>0.114</v>
      </c>
      <c r="K310" s="270">
        <v>18</v>
      </c>
    </row>
    <row r="311" spans="1:11" s="270" customFormat="1" x14ac:dyDescent="0.3">
      <c r="A311" s="266">
        <v>89</v>
      </c>
      <c r="B311" s="271" t="s">
        <v>870</v>
      </c>
      <c r="C311" s="327" t="s">
        <v>332</v>
      </c>
      <c r="D311" s="322">
        <v>78078729.439999998</v>
      </c>
      <c r="E311" s="330">
        <v>0.14419999999999999</v>
      </c>
      <c r="F311" s="307">
        <v>6.7699999999999996E-2</v>
      </c>
      <c r="G311" s="307">
        <v>-4.9200000000000001E-2</v>
      </c>
      <c r="H311" s="314">
        <v>0.01</v>
      </c>
      <c r="I311" s="308">
        <v>0.70391400000000004</v>
      </c>
      <c r="J311" s="331">
        <v>8.6999999999999994E-2</v>
      </c>
      <c r="K311" s="270">
        <v>89</v>
      </c>
    </row>
    <row r="312" spans="1:11" s="270" customFormat="1" x14ac:dyDescent="0.3">
      <c r="A312" s="266">
        <v>90</v>
      </c>
      <c r="B312" s="271" t="s">
        <v>871</v>
      </c>
      <c r="C312" s="327" t="s">
        <v>354</v>
      </c>
      <c r="D312" s="322">
        <v>62045045.079999998</v>
      </c>
      <c r="E312" s="330">
        <v>0.18099999999999999</v>
      </c>
      <c r="F312" s="307">
        <v>0.11360000000000001</v>
      </c>
      <c r="G312" s="307">
        <v>-2.18E-2</v>
      </c>
      <c r="H312" s="314">
        <v>3.4799999999999998E-2</v>
      </c>
      <c r="I312" s="308">
        <v>3.2618230000000001</v>
      </c>
      <c r="J312" s="331">
        <v>0.1089</v>
      </c>
      <c r="K312" s="270">
        <v>4303</v>
      </c>
    </row>
    <row r="313" spans="1:11" s="270" customFormat="1" x14ac:dyDescent="0.3">
      <c r="A313" s="266">
        <v>91</v>
      </c>
      <c r="B313" s="271" t="s">
        <v>872</v>
      </c>
      <c r="C313" s="327" t="s">
        <v>748</v>
      </c>
      <c r="D313" s="322">
        <v>88816790.709999993</v>
      </c>
      <c r="E313" s="330">
        <v>9.4799999999999995E-2</v>
      </c>
      <c r="F313" s="307">
        <v>-2.1499999999999998E-2</v>
      </c>
      <c r="G313" s="307">
        <v>-1.6899999999999998E-2</v>
      </c>
      <c r="H313" s="314">
        <v>-3.0700000000000002E-2</v>
      </c>
      <c r="I313" s="308">
        <v>1.8922669999999999</v>
      </c>
      <c r="J313" s="331">
        <v>5.7700000000000001E-2</v>
      </c>
      <c r="K313" s="270">
        <v>12</v>
      </c>
    </row>
    <row r="314" spans="1:11" s="270" customFormat="1" x14ac:dyDescent="0.3">
      <c r="A314" s="266">
        <v>92</v>
      </c>
      <c r="B314" s="271" t="s">
        <v>873</v>
      </c>
      <c r="C314" s="327" t="s">
        <v>359</v>
      </c>
      <c r="D314" s="322">
        <v>319875281.82999998</v>
      </c>
      <c r="E314" s="330">
        <v>3.5099999999999999E-2</v>
      </c>
      <c r="F314" s="307">
        <v>4.8899999999999999E-2</v>
      </c>
      <c r="G314" s="307">
        <v>-2.1499999999999998E-2</v>
      </c>
      <c r="H314" s="314">
        <v>-3.8699999999999998E-2</v>
      </c>
      <c r="I314" s="308">
        <v>1.0446470000000001</v>
      </c>
      <c r="J314" s="331">
        <v>2.12E-2</v>
      </c>
      <c r="K314" s="270">
        <v>116</v>
      </c>
    </row>
    <row r="315" spans="1:11" s="270" customFormat="1" x14ac:dyDescent="0.3">
      <c r="A315" s="266">
        <v>93</v>
      </c>
      <c r="B315" s="271" t="s">
        <v>874</v>
      </c>
      <c r="C315" s="327" t="s">
        <v>360</v>
      </c>
      <c r="D315" s="322">
        <v>170921242.24000001</v>
      </c>
      <c r="E315" s="330">
        <v>6.4000000000000001E-2</v>
      </c>
      <c r="F315" s="307">
        <v>6.2399999999999997E-2</v>
      </c>
      <c r="G315" s="307">
        <v>-2.35E-2</v>
      </c>
      <c r="H315" s="314">
        <v>-1.9300000000000001E-2</v>
      </c>
      <c r="I315" s="308">
        <v>1.075526</v>
      </c>
      <c r="J315" s="331">
        <v>3.8800000000000001E-2</v>
      </c>
      <c r="K315" s="270">
        <v>60</v>
      </c>
    </row>
    <row r="316" spans="1:11" s="270" customFormat="1" x14ac:dyDescent="0.3">
      <c r="A316" s="266">
        <v>94</v>
      </c>
      <c r="B316" s="271" t="s">
        <v>875</v>
      </c>
      <c r="C316" s="327" t="s">
        <v>782</v>
      </c>
      <c r="D316" s="322">
        <v>9955997.9700000007</v>
      </c>
      <c r="E316" s="330">
        <v>0</v>
      </c>
      <c r="F316" s="307">
        <v>-0.27589999999999998</v>
      </c>
      <c r="G316" s="307">
        <v>-2.1700000000000001E-2</v>
      </c>
      <c r="H316" s="314">
        <v>-7.6799999999999993E-2</v>
      </c>
      <c r="I316" s="308">
        <v>1.29403</v>
      </c>
      <c r="J316" s="331">
        <v>0</v>
      </c>
      <c r="K316" s="270">
        <v>239</v>
      </c>
    </row>
    <row r="317" spans="1:11" s="270" customFormat="1" x14ac:dyDescent="0.3">
      <c r="A317" s="266">
        <v>95</v>
      </c>
      <c r="B317" s="271" t="s">
        <v>1057</v>
      </c>
      <c r="C317" s="327" t="s">
        <v>1005</v>
      </c>
      <c r="D317" s="322">
        <v>536815451.76999998</v>
      </c>
      <c r="E317" s="330">
        <v>1E-4</v>
      </c>
      <c r="F317" s="307">
        <v>-0.78390000000000004</v>
      </c>
      <c r="G317" s="307">
        <v>-2.18E-2</v>
      </c>
      <c r="H317" s="314">
        <v>-7.7600000000000002E-2</v>
      </c>
      <c r="I317" s="308">
        <v>14.041752000000001</v>
      </c>
      <c r="J317" s="331">
        <v>1E-4</v>
      </c>
      <c r="K317" s="270">
        <v>19250</v>
      </c>
    </row>
    <row r="318" spans="1:11" s="270" customFormat="1" x14ac:dyDescent="0.3">
      <c r="A318" s="266">
        <v>96</v>
      </c>
      <c r="B318" s="271" t="s">
        <v>876</v>
      </c>
      <c r="C318" s="327" t="s">
        <v>355</v>
      </c>
      <c r="D318" s="322">
        <v>2056740589.46</v>
      </c>
      <c r="E318" s="330">
        <v>5.0000000000000001E-4</v>
      </c>
      <c r="F318" s="307">
        <v>-9.9299999999999999E-2</v>
      </c>
      <c r="G318" s="307">
        <v>-2.1700000000000001E-2</v>
      </c>
      <c r="H318" s="314">
        <v>-7.6999999999999999E-2</v>
      </c>
      <c r="I318" s="308">
        <v>4.3836170000000001</v>
      </c>
      <c r="J318" s="331">
        <v>2.9999999999999997E-4</v>
      </c>
      <c r="K318" s="270">
        <v>63903</v>
      </c>
    </row>
    <row r="319" spans="1:11" s="270" customFormat="1" x14ac:dyDescent="0.3">
      <c r="A319" s="266">
        <v>97</v>
      </c>
      <c r="B319" s="271" t="s">
        <v>877</v>
      </c>
      <c r="C319" s="327" t="s">
        <v>356</v>
      </c>
      <c r="D319" s="322">
        <v>2180053523.1799998</v>
      </c>
      <c r="E319" s="330">
        <v>6.2E-2</v>
      </c>
      <c r="F319" s="307">
        <v>4.4699999999999997E-2</v>
      </c>
      <c r="G319" s="307">
        <v>-2.5100000000000001E-2</v>
      </c>
      <c r="H319" s="314">
        <v>-3.2099999999999997E-2</v>
      </c>
      <c r="I319" s="308">
        <v>2.1007699999999998</v>
      </c>
      <c r="J319" s="331">
        <v>3.7699999999999997E-2</v>
      </c>
      <c r="K319" s="270">
        <v>330</v>
      </c>
    </row>
    <row r="320" spans="1:11" s="270" customFormat="1" x14ac:dyDescent="0.3">
      <c r="A320" s="266">
        <v>98</v>
      </c>
      <c r="B320" s="271" t="s">
        <v>1092</v>
      </c>
      <c r="C320" s="327" t="s">
        <v>998</v>
      </c>
      <c r="D320" s="322">
        <v>8186509901.8900003</v>
      </c>
      <c r="E320" s="330">
        <v>0</v>
      </c>
      <c r="F320" s="307">
        <v>-17.638169999999999</v>
      </c>
      <c r="G320" s="307">
        <v>-2.1899999999999999E-2</v>
      </c>
      <c r="H320" s="314">
        <v>-7.9399999999999998E-2</v>
      </c>
      <c r="I320" s="308">
        <v>5.2509410000000001</v>
      </c>
      <c r="J320" s="331">
        <v>0</v>
      </c>
      <c r="K320" s="270">
        <v>14506</v>
      </c>
    </row>
    <row r="321" spans="1:11" s="270" customFormat="1" x14ac:dyDescent="0.3">
      <c r="A321" s="266">
        <v>99</v>
      </c>
      <c r="B321" s="271" t="s">
        <v>878</v>
      </c>
      <c r="C321" s="327" t="s">
        <v>358</v>
      </c>
      <c r="D321" s="322">
        <v>972128659.41999996</v>
      </c>
      <c r="E321" s="330">
        <v>1E-4</v>
      </c>
      <c r="F321" s="307">
        <v>-0.92100000000000004</v>
      </c>
      <c r="G321" s="307">
        <v>-2.18E-2</v>
      </c>
      <c r="H321" s="314">
        <v>-7.7600000000000002E-2</v>
      </c>
      <c r="I321" s="308">
        <v>9.4180860000000006</v>
      </c>
      <c r="J321" s="331">
        <v>1E-4</v>
      </c>
      <c r="K321" s="270">
        <v>7929</v>
      </c>
    </row>
    <row r="322" spans="1:11" s="270" customFormat="1" x14ac:dyDescent="0.3">
      <c r="A322" s="266">
        <v>100</v>
      </c>
      <c r="B322" s="271" t="s">
        <v>879</v>
      </c>
      <c r="C322" s="327" t="s">
        <v>707</v>
      </c>
      <c r="D322" s="322">
        <v>150125087.44</v>
      </c>
      <c r="E322" s="330" t="s">
        <v>830</v>
      </c>
      <c r="F322" s="307" t="s">
        <v>830</v>
      </c>
      <c r="G322" s="307" t="s">
        <v>830</v>
      </c>
      <c r="H322" s="314" t="s">
        <v>830</v>
      </c>
      <c r="I322" s="308">
        <v>952.71543535000001</v>
      </c>
      <c r="J322" s="331" t="s">
        <v>830</v>
      </c>
      <c r="K322" s="270">
        <v>425</v>
      </c>
    </row>
    <row r="323" spans="1:11" s="270" customFormat="1" x14ac:dyDescent="0.3">
      <c r="A323" s="266">
        <v>101</v>
      </c>
      <c r="B323" s="224" t="s">
        <v>936</v>
      </c>
      <c r="C323" s="327" t="s">
        <v>931</v>
      </c>
      <c r="D323" s="324">
        <v>67192162.5</v>
      </c>
      <c r="E323" s="330">
        <v>1E-4</v>
      </c>
      <c r="F323" s="307">
        <v>-0.1002</v>
      </c>
      <c r="G323" s="307">
        <v>-2.1700000000000001E-2</v>
      </c>
      <c r="H323" s="314">
        <v>-7.6799999999999993E-2</v>
      </c>
      <c r="I323" s="308">
        <v>1.2362613388000001</v>
      </c>
      <c r="J323" s="331">
        <v>1E-4</v>
      </c>
      <c r="K323" s="270">
        <v>16</v>
      </c>
    </row>
    <row r="324" spans="1:11" s="270" customFormat="1" x14ac:dyDescent="0.3">
      <c r="A324" s="266">
        <v>102</v>
      </c>
      <c r="B324" s="271" t="s">
        <v>880</v>
      </c>
      <c r="C324" s="327" t="s">
        <v>294</v>
      </c>
      <c r="D324" s="322">
        <v>128425681.55</v>
      </c>
      <c r="E324" s="330">
        <v>7.2300000000000003E-2</v>
      </c>
      <c r="F324" s="307">
        <v>5.8999999999999997E-2</v>
      </c>
      <c r="G324" s="307">
        <v>-1.66E-2</v>
      </c>
      <c r="H324" s="314">
        <v>-1.5100000000000001E-2</v>
      </c>
      <c r="I324" s="308">
        <v>2.1898644452</v>
      </c>
      <c r="J324" s="331">
        <v>4.3999999999999997E-2</v>
      </c>
      <c r="K324" s="270">
        <v>27</v>
      </c>
    </row>
    <row r="325" spans="1:11" s="270" customFormat="1" x14ac:dyDescent="0.3">
      <c r="A325" s="266">
        <v>103</v>
      </c>
      <c r="B325" s="271" t="s">
        <v>1129</v>
      </c>
      <c r="C325" s="326" t="s">
        <v>1130</v>
      </c>
      <c r="D325" s="322">
        <v>34298722.090000004</v>
      </c>
      <c r="E325" s="330">
        <v>5.8999999999999999E-3</v>
      </c>
      <c r="F325" s="307">
        <v>2.47E-2</v>
      </c>
      <c r="G325" s="307">
        <v>-2.1899999999999999E-2</v>
      </c>
      <c r="H325" s="314">
        <v>-8.0100000000000005E-2</v>
      </c>
      <c r="I325" s="308">
        <v>1.1901600210000001</v>
      </c>
      <c r="J325" s="331">
        <v>3.5999999999999999E-3</v>
      </c>
      <c r="K325" s="270">
        <v>12</v>
      </c>
    </row>
    <row r="326" spans="1:11" s="270" customFormat="1" x14ac:dyDescent="0.3">
      <c r="A326" s="266">
        <v>104</v>
      </c>
      <c r="B326" s="271" t="s">
        <v>881</v>
      </c>
      <c r="C326" s="327" t="s">
        <v>296</v>
      </c>
      <c r="D326" s="322">
        <v>452916635.97000003</v>
      </c>
      <c r="E326" s="330">
        <v>2.0000000000000001E-4</v>
      </c>
      <c r="F326" s="307">
        <v>-0.2228</v>
      </c>
      <c r="G326" s="307">
        <v>-2.1700000000000001E-2</v>
      </c>
      <c r="H326" s="314">
        <v>-7.7100000000000002E-2</v>
      </c>
      <c r="I326" s="308">
        <v>14.644792208</v>
      </c>
      <c r="J326" s="331">
        <v>1E-4</v>
      </c>
      <c r="K326" s="270">
        <v>2146</v>
      </c>
    </row>
    <row r="327" spans="1:11" s="270" customFormat="1" x14ac:dyDescent="0.3">
      <c r="A327" s="266">
        <v>105</v>
      </c>
      <c r="B327" s="271" t="s">
        <v>1001</v>
      </c>
      <c r="C327" s="327" t="s">
        <v>1002</v>
      </c>
      <c r="D327" s="322">
        <v>1466638401.1300001</v>
      </c>
      <c r="E327" s="330">
        <v>3.2000000000000002E-3</v>
      </c>
      <c r="F327" s="307">
        <v>-4.1399999999999999E-2</v>
      </c>
      <c r="G327" s="307">
        <v>-2.1899999999999999E-2</v>
      </c>
      <c r="H327" s="314">
        <v>-7.8600000000000003E-2</v>
      </c>
      <c r="I327" s="308">
        <v>1.0861730000000001</v>
      </c>
      <c r="J327" s="331">
        <v>2E-3</v>
      </c>
      <c r="K327" s="270">
        <v>119</v>
      </c>
    </row>
    <row r="328" spans="1:11" s="270" customFormat="1" x14ac:dyDescent="0.3">
      <c r="A328" s="266">
        <v>106</v>
      </c>
      <c r="B328" s="271" t="s">
        <v>1011</v>
      </c>
      <c r="C328" s="327" t="s">
        <v>1012</v>
      </c>
      <c r="D328" s="322">
        <v>256581317.16999999</v>
      </c>
      <c r="E328" s="330">
        <v>2.1499999999999998E-2</v>
      </c>
      <c r="F328" s="307">
        <v>-1.77E-2</v>
      </c>
      <c r="G328" s="307">
        <v>-2.35E-2</v>
      </c>
      <c r="H328" s="314">
        <v>-8.3299999999999999E-2</v>
      </c>
      <c r="I328" s="308">
        <v>1.083305</v>
      </c>
      <c r="J328" s="331">
        <v>1.3100000000000001E-2</v>
      </c>
      <c r="K328" s="270">
        <v>54</v>
      </c>
    </row>
    <row r="329" spans="1:11" s="270" customFormat="1" x14ac:dyDescent="0.3">
      <c r="A329" s="266">
        <v>107</v>
      </c>
      <c r="B329" s="271" t="s">
        <v>882</v>
      </c>
      <c r="C329" s="327" t="s">
        <v>334</v>
      </c>
      <c r="D329" s="322">
        <v>4727983554.7399998</v>
      </c>
      <c r="E329" s="330">
        <v>1.7899999999999999E-2</v>
      </c>
      <c r="F329" s="307">
        <v>-1.23E-2</v>
      </c>
      <c r="G329" s="307">
        <v>-2.3199999999999998E-2</v>
      </c>
      <c r="H329" s="314">
        <v>-8.5500000000000007E-2</v>
      </c>
      <c r="I329" s="308">
        <v>1.968299</v>
      </c>
      <c r="J329" s="331">
        <v>1.09E-2</v>
      </c>
      <c r="K329" s="270">
        <v>666</v>
      </c>
    </row>
    <row r="330" spans="1:11" s="270" customFormat="1" x14ac:dyDescent="0.3">
      <c r="A330" s="266">
        <v>108</v>
      </c>
      <c r="B330" s="271" t="s">
        <v>883</v>
      </c>
      <c r="C330" s="327" t="s">
        <v>336</v>
      </c>
      <c r="D330" s="322">
        <v>3387647993.7600002</v>
      </c>
      <c r="E330" s="330">
        <v>6.7000000000000004E-2</v>
      </c>
      <c r="F330" s="307">
        <v>4.2500000000000003E-2</v>
      </c>
      <c r="G330" s="307">
        <v>-2.5399999999999999E-2</v>
      </c>
      <c r="H330" s="314">
        <v>-2.8899999999999999E-2</v>
      </c>
      <c r="I330" s="308">
        <v>1.9687539999999999</v>
      </c>
      <c r="J330" s="331">
        <v>4.0800000000000003E-2</v>
      </c>
      <c r="K330" s="270">
        <v>624</v>
      </c>
    </row>
    <row r="331" spans="1:11" s="270" customFormat="1" x14ac:dyDescent="0.3">
      <c r="A331" s="266">
        <v>109</v>
      </c>
      <c r="B331" s="271" t="s">
        <v>884</v>
      </c>
      <c r="C331" s="327" t="s">
        <v>342</v>
      </c>
      <c r="D331" s="322">
        <v>9316344330.1599998</v>
      </c>
      <c r="E331" s="330">
        <v>1.6000000000000001E-3</v>
      </c>
      <c r="F331" s="307">
        <v>2.1299999999999999E-2</v>
      </c>
      <c r="G331" s="307">
        <v>-2.1700000000000001E-2</v>
      </c>
      <c r="H331" s="314">
        <v>-7.6499999999999999E-2</v>
      </c>
      <c r="I331" s="308">
        <v>1.8128500000000001</v>
      </c>
      <c r="J331" s="331">
        <v>1E-3</v>
      </c>
      <c r="K331" s="270">
        <v>1319</v>
      </c>
    </row>
    <row r="332" spans="1:11" s="270" customFormat="1" x14ac:dyDescent="0.3">
      <c r="A332" s="266">
        <v>110</v>
      </c>
      <c r="B332" s="271" t="s">
        <v>885</v>
      </c>
      <c r="C332" s="327" t="s">
        <v>361</v>
      </c>
      <c r="D332" s="322">
        <v>181260312.25999999</v>
      </c>
      <c r="E332" s="330">
        <v>2.2599999999999999E-2</v>
      </c>
      <c r="F332" s="307">
        <v>5.16E-2</v>
      </c>
      <c r="G332" s="307">
        <v>-2.23E-2</v>
      </c>
      <c r="H332" s="314">
        <v>-7.6999999999999999E-2</v>
      </c>
      <c r="I332" s="308">
        <v>1.0858876799999999</v>
      </c>
      <c r="J332" s="331">
        <v>1.38E-2</v>
      </c>
      <c r="K332" s="270">
        <v>19</v>
      </c>
    </row>
    <row r="333" spans="1:11" s="270" customFormat="1" x14ac:dyDescent="0.3">
      <c r="A333" s="266">
        <v>111</v>
      </c>
      <c r="B333" s="271" t="s">
        <v>988</v>
      </c>
      <c r="C333" s="327" t="s">
        <v>802</v>
      </c>
      <c r="D333" s="322">
        <v>67167369.609999999</v>
      </c>
      <c r="E333" s="330">
        <v>1E-4</v>
      </c>
      <c r="F333" s="307">
        <v>0.83479999999999999</v>
      </c>
      <c r="G333" s="307">
        <v>-2.1600000000000001E-2</v>
      </c>
      <c r="H333" s="314">
        <v>-7.5700000000000003E-2</v>
      </c>
      <c r="I333" s="308">
        <v>127.68656885</v>
      </c>
      <c r="J333" s="331">
        <v>1E-4</v>
      </c>
      <c r="K333" s="270">
        <v>9</v>
      </c>
    </row>
    <row r="334" spans="1:11" s="270" customFormat="1" x14ac:dyDescent="0.3">
      <c r="A334" s="266">
        <v>112</v>
      </c>
      <c r="B334" s="271" t="s">
        <v>886</v>
      </c>
      <c r="C334" s="327" t="s">
        <v>400</v>
      </c>
      <c r="D334" s="322">
        <v>11500497.289999999</v>
      </c>
      <c r="E334" s="330">
        <v>0.33200000000000002</v>
      </c>
      <c r="F334" s="307">
        <v>-1.2999999999999999E-2</v>
      </c>
      <c r="G334" s="307">
        <v>-1.2699999999999999E-2</v>
      </c>
      <c r="H334" s="314">
        <v>-1.4E-2</v>
      </c>
      <c r="I334" s="308">
        <v>0.20355506000000001</v>
      </c>
      <c r="J334" s="331">
        <v>0.22739999999999999</v>
      </c>
      <c r="K334" s="270">
        <v>14</v>
      </c>
    </row>
    <row r="335" spans="1:11" s="270" customFormat="1" x14ac:dyDescent="0.3">
      <c r="A335" s="266">
        <v>113</v>
      </c>
      <c r="B335" s="224" t="s">
        <v>887</v>
      </c>
      <c r="C335" s="327" t="s">
        <v>756</v>
      </c>
      <c r="D335" s="322">
        <v>95873037.510000005</v>
      </c>
      <c r="E335" s="330">
        <v>1E-4</v>
      </c>
      <c r="F335" s="307">
        <v>-0.94530000000000003</v>
      </c>
      <c r="G335" s="307">
        <v>-2.18E-2</v>
      </c>
      <c r="H335" s="314">
        <v>-7.7600000000000002E-2</v>
      </c>
      <c r="I335" s="308">
        <v>2.0964320999999999</v>
      </c>
      <c r="J335" s="331">
        <v>0</v>
      </c>
      <c r="K335" s="270">
        <v>30</v>
      </c>
    </row>
    <row r="336" spans="1:11" s="270" customFormat="1" x14ac:dyDescent="0.3">
      <c r="A336" s="266">
        <v>114</v>
      </c>
      <c r="B336" s="271" t="s">
        <v>1052</v>
      </c>
      <c r="C336" s="327" t="s">
        <v>381</v>
      </c>
      <c r="D336" s="322">
        <v>121140259.2</v>
      </c>
      <c r="E336" s="330">
        <v>9.1000000000000004E-3</v>
      </c>
      <c r="F336" s="307">
        <v>-0.12820000000000001</v>
      </c>
      <c r="G336" s="307">
        <v>-2.29E-2</v>
      </c>
      <c r="H336" s="314">
        <v>-8.9499999999999996E-2</v>
      </c>
      <c r="I336" s="308">
        <v>1.86858027</v>
      </c>
      <c r="J336" s="331">
        <v>5.5999999999999999E-3</v>
      </c>
      <c r="K336" s="270">
        <v>98</v>
      </c>
    </row>
    <row r="337" spans="1:11" s="270" customFormat="1" x14ac:dyDescent="0.3">
      <c r="A337" s="266">
        <v>115</v>
      </c>
      <c r="B337" s="271" t="s">
        <v>1206</v>
      </c>
      <c r="C337" s="326" t="s">
        <v>1131</v>
      </c>
      <c r="D337" s="322">
        <v>7021525.8099999996</v>
      </c>
      <c r="E337" s="330">
        <v>0</v>
      </c>
      <c r="F337" s="307">
        <v>299.75108</v>
      </c>
      <c r="G337" s="307">
        <v>-2.1499999999999998E-2</v>
      </c>
      <c r="H337" s="314">
        <v>-7.4800000000000005E-2</v>
      </c>
      <c r="I337" s="308">
        <v>155927.28090000001</v>
      </c>
      <c r="J337" s="331">
        <v>0</v>
      </c>
      <c r="K337" s="270">
        <v>5</v>
      </c>
    </row>
    <row r="338" spans="1:11" s="270" customFormat="1" x14ac:dyDescent="0.3">
      <c r="A338" s="266">
        <v>116</v>
      </c>
      <c r="B338" s="271" t="s">
        <v>1040</v>
      </c>
      <c r="C338" s="327" t="s">
        <v>368</v>
      </c>
      <c r="D338" s="322">
        <v>85310970.459999993</v>
      </c>
      <c r="E338" s="330">
        <v>3.9E-2</v>
      </c>
      <c r="F338" s="307">
        <v>-3.2500000000000001E-2</v>
      </c>
      <c r="G338" s="307">
        <v>-2.2599999999999999E-2</v>
      </c>
      <c r="H338" s="314">
        <v>-6.9000000000000006E-2</v>
      </c>
      <c r="I338" s="308">
        <v>324.5493707</v>
      </c>
      <c r="J338" s="331">
        <v>2.4E-2</v>
      </c>
      <c r="K338" s="270">
        <v>1</v>
      </c>
    </row>
    <row r="339" spans="1:11" s="270" customFormat="1" x14ac:dyDescent="0.3">
      <c r="A339" s="266">
        <v>117</v>
      </c>
      <c r="B339" s="271" t="s">
        <v>1041</v>
      </c>
      <c r="C339" s="327" t="s">
        <v>379</v>
      </c>
      <c r="D339" s="322">
        <v>4281284.1900000004</v>
      </c>
      <c r="E339" s="330">
        <v>0.1099</v>
      </c>
      <c r="F339" s="307">
        <v>2.7699999999999999E-2</v>
      </c>
      <c r="G339" s="307">
        <v>-1.5100000000000001E-2</v>
      </c>
      <c r="H339" s="314">
        <v>-1.3299999999999999E-2</v>
      </c>
      <c r="I339" s="308">
        <v>16.924182999999999</v>
      </c>
      <c r="J339" s="331">
        <v>6.5000000000000002E-2</v>
      </c>
      <c r="K339" s="270">
        <v>43</v>
      </c>
    </row>
    <row r="340" spans="1:11" s="270" customFormat="1" x14ac:dyDescent="0.3">
      <c r="A340" s="266">
        <v>118</v>
      </c>
      <c r="B340" s="224" t="s">
        <v>1064</v>
      </c>
      <c r="C340" s="327" t="s">
        <v>383</v>
      </c>
      <c r="D340" s="323">
        <v>126041007.72</v>
      </c>
      <c r="E340" s="330" t="s">
        <v>830</v>
      </c>
      <c r="F340" s="307" t="s">
        <v>830</v>
      </c>
      <c r="G340" s="307" t="s">
        <v>830</v>
      </c>
      <c r="H340" s="314" t="s">
        <v>830</v>
      </c>
      <c r="I340" s="308">
        <v>68.06</v>
      </c>
      <c r="J340" s="331" t="s">
        <v>830</v>
      </c>
      <c r="K340" s="270">
        <v>2122</v>
      </c>
    </row>
    <row r="341" spans="1:11" s="270" customFormat="1" x14ac:dyDescent="0.3">
      <c r="A341" s="266">
        <v>119</v>
      </c>
      <c r="B341" s="271" t="s">
        <v>1058</v>
      </c>
      <c r="C341" s="327" t="s">
        <v>1031</v>
      </c>
      <c r="D341" s="323">
        <v>409952871.12</v>
      </c>
      <c r="E341" s="330">
        <v>0</v>
      </c>
      <c r="F341" s="307">
        <v>-7.7039</v>
      </c>
      <c r="G341" s="307">
        <v>-2.23E-2</v>
      </c>
      <c r="H341" s="314">
        <v>-8.43E-2</v>
      </c>
      <c r="I341" s="308">
        <v>18025860.662</v>
      </c>
      <c r="J341" s="331">
        <v>0</v>
      </c>
      <c r="K341" s="270">
        <v>16</v>
      </c>
    </row>
    <row r="342" spans="1:11" s="270" customFormat="1" x14ac:dyDescent="0.3">
      <c r="A342" s="266">
        <v>120</v>
      </c>
      <c r="B342" s="271" t="s">
        <v>888</v>
      </c>
      <c r="C342" s="327" t="s">
        <v>362</v>
      </c>
      <c r="D342" s="323">
        <v>247506436.08000001</v>
      </c>
      <c r="E342" s="330">
        <v>0.12720000000000001</v>
      </c>
      <c r="F342" s="307">
        <v>-2.12E-2</v>
      </c>
      <c r="G342" s="307">
        <v>-2.87E-2</v>
      </c>
      <c r="H342" s="314">
        <v>-3.2099999999999997E-2</v>
      </c>
      <c r="I342" s="308">
        <v>1.3747023</v>
      </c>
      <c r="J342" s="331">
        <v>7.7700000000000005E-2</v>
      </c>
      <c r="K342" s="270">
        <v>3497</v>
      </c>
    </row>
    <row r="343" spans="1:11" s="270" customFormat="1" x14ac:dyDescent="0.3">
      <c r="A343" s="266">
        <v>121</v>
      </c>
      <c r="B343" s="271" t="s">
        <v>1042</v>
      </c>
      <c r="C343" s="327" t="s">
        <v>363</v>
      </c>
      <c r="D343" s="323">
        <v>2179009.2200000002</v>
      </c>
      <c r="E343" s="330">
        <v>4.7999999999999996E-3</v>
      </c>
      <c r="F343" s="307">
        <v>3.8100000000000002E-2</v>
      </c>
      <c r="G343" s="307">
        <v>-2.1399999999999999E-2</v>
      </c>
      <c r="H343" s="314">
        <v>-7.5899999999999995E-2</v>
      </c>
      <c r="I343" s="308">
        <v>14.970352</v>
      </c>
      <c r="J343" s="331">
        <v>2.8999999999999998E-3</v>
      </c>
      <c r="K343" s="270">
        <v>57</v>
      </c>
    </row>
    <row r="344" spans="1:11" s="270" customFormat="1" x14ac:dyDescent="0.3">
      <c r="A344" s="266">
        <v>122</v>
      </c>
      <c r="B344" s="271" t="s">
        <v>889</v>
      </c>
      <c r="C344" s="327" t="s">
        <v>365</v>
      </c>
      <c r="D344" s="323">
        <v>10325220073.98</v>
      </c>
      <c r="E344" s="330">
        <v>1E-4</v>
      </c>
      <c r="F344" s="307">
        <v>-4.8500000000000001E-2</v>
      </c>
      <c r="G344" s="307">
        <v>-2.1700000000000001E-2</v>
      </c>
      <c r="H344" s="314">
        <v>-7.6700000000000004E-2</v>
      </c>
      <c r="I344" s="308">
        <v>21.923890199999999</v>
      </c>
      <c r="J344" s="331">
        <v>0</v>
      </c>
      <c r="K344" s="270">
        <v>362</v>
      </c>
    </row>
    <row r="345" spans="1:11" s="270" customFormat="1" x14ac:dyDescent="0.3">
      <c r="A345" s="266">
        <v>123</v>
      </c>
      <c r="B345" s="271" t="s">
        <v>890</v>
      </c>
      <c r="C345" s="327" t="s">
        <v>364</v>
      </c>
      <c r="D345" s="323">
        <v>4416739</v>
      </c>
      <c r="E345" s="330">
        <v>2.7199999999999998E-2</v>
      </c>
      <c r="F345" s="307">
        <v>4.0899999999999999E-2</v>
      </c>
      <c r="G345" s="307">
        <v>-2.3400000000000001E-2</v>
      </c>
      <c r="H345" s="314">
        <v>-7.4300000000000005E-2</v>
      </c>
      <c r="I345" s="308">
        <v>1.9126335000000001</v>
      </c>
      <c r="J345" s="331">
        <v>1.6500000000000001E-2</v>
      </c>
      <c r="K345" s="270">
        <v>5</v>
      </c>
    </row>
    <row r="346" spans="1:11" s="270" customFormat="1" x14ac:dyDescent="0.3">
      <c r="A346" s="266">
        <v>124</v>
      </c>
      <c r="B346" s="271" t="s">
        <v>891</v>
      </c>
      <c r="C346" s="327" t="s">
        <v>367</v>
      </c>
      <c r="D346" s="323">
        <v>123380398.70999999</v>
      </c>
      <c r="E346" s="330">
        <v>0.11210000000000001</v>
      </c>
      <c r="F346" s="307">
        <v>5.1799999999999999E-2</v>
      </c>
      <c r="G346" s="307">
        <v>-3.6600000000000001E-2</v>
      </c>
      <c r="H346" s="314">
        <v>-3.0999999999999999E-3</v>
      </c>
      <c r="I346" s="308">
        <v>1.1569818000000001</v>
      </c>
      <c r="J346" s="331">
        <v>6.7900000000000002E-2</v>
      </c>
      <c r="K346" s="270">
        <v>17</v>
      </c>
    </row>
    <row r="347" spans="1:11" s="270" customFormat="1" x14ac:dyDescent="0.3">
      <c r="A347" s="266">
        <v>125</v>
      </c>
      <c r="B347" s="303" t="s">
        <v>1132</v>
      </c>
      <c r="C347" s="326" t="s">
        <v>1133</v>
      </c>
      <c r="D347" s="323" t="s">
        <v>830</v>
      </c>
      <c r="E347" s="330" t="s">
        <v>830</v>
      </c>
      <c r="F347" s="307" t="s">
        <v>830</v>
      </c>
      <c r="G347" s="307" t="s">
        <v>830</v>
      </c>
      <c r="H347" s="314" t="s">
        <v>830</v>
      </c>
      <c r="I347" s="308" t="s">
        <v>830</v>
      </c>
      <c r="J347" s="331" t="s">
        <v>830</v>
      </c>
      <c r="K347" s="270" t="s">
        <v>830</v>
      </c>
    </row>
    <row r="348" spans="1:11" s="270" customFormat="1" x14ac:dyDescent="0.3">
      <c r="A348" s="266">
        <v>126</v>
      </c>
      <c r="B348" s="303" t="s">
        <v>1134</v>
      </c>
      <c r="C348" s="326" t="s">
        <v>1135</v>
      </c>
      <c r="D348" s="323" t="s">
        <v>830</v>
      </c>
      <c r="E348" s="330" t="s">
        <v>830</v>
      </c>
      <c r="F348" s="307" t="s">
        <v>830</v>
      </c>
      <c r="G348" s="307" t="s">
        <v>830</v>
      </c>
      <c r="H348" s="314" t="s">
        <v>830</v>
      </c>
      <c r="I348" s="308" t="s">
        <v>830</v>
      </c>
      <c r="J348" s="331" t="s">
        <v>830</v>
      </c>
      <c r="K348" s="270" t="s">
        <v>830</v>
      </c>
    </row>
    <row r="349" spans="1:11" s="270" customFormat="1" x14ac:dyDescent="0.3">
      <c r="A349" s="266">
        <v>127</v>
      </c>
      <c r="B349" s="303" t="s">
        <v>1055</v>
      </c>
      <c r="C349" s="327" t="s">
        <v>800</v>
      </c>
      <c r="D349" s="323">
        <v>4421746.9400000004</v>
      </c>
      <c r="E349" s="330">
        <v>7.8200000000000006E-2</v>
      </c>
      <c r="F349" s="307">
        <v>9.2299999999999993E-2</v>
      </c>
      <c r="G349" s="307">
        <v>-1.4999999999999999E-2</v>
      </c>
      <c r="H349" s="314">
        <v>4.0000000000000001E-3</v>
      </c>
      <c r="I349" s="308">
        <v>0.90982924499999995</v>
      </c>
      <c r="J349" s="331">
        <v>4.7600000000000003E-2</v>
      </c>
      <c r="K349" s="270">
        <v>16</v>
      </c>
    </row>
    <row r="350" spans="1:11" s="270" customFormat="1" x14ac:dyDescent="0.3">
      <c r="A350" s="266">
        <v>128</v>
      </c>
      <c r="B350" s="303" t="s">
        <v>892</v>
      </c>
      <c r="C350" s="327" t="s">
        <v>370</v>
      </c>
      <c r="D350" s="322">
        <v>5135116.21</v>
      </c>
      <c r="E350" s="330">
        <v>0.15870000000000001</v>
      </c>
      <c r="F350" s="307">
        <v>9.3700000000000006E-2</v>
      </c>
      <c r="G350" s="307">
        <v>-5.3499999999999999E-2</v>
      </c>
      <c r="H350" s="314">
        <v>2.35E-2</v>
      </c>
      <c r="I350" s="308">
        <v>11.285546</v>
      </c>
      <c r="J350" s="331">
        <v>9.5699999999999993E-2</v>
      </c>
      <c r="K350" s="270">
        <v>6</v>
      </c>
    </row>
    <row r="351" spans="1:11" s="270" customFormat="1" x14ac:dyDescent="0.3">
      <c r="A351" s="266">
        <v>129</v>
      </c>
      <c r="B351" s="303" t="s">
        <v>1003</v>
      </c>
      <c r="C351" s="327" t="s">
        <v>373</v>
      </c>
      <c r="D351" s="322">
        <v>195979612.09</v>
      </c>
      <c r="E351" s="330">
        <v>2.7000000000000001E-3</v>
      </c>
      <c r="F351" s="307">
        <v>2.7699999999999999E-2</v>
      </c>
      <c r="G351" s="307">
        <v>-2.1700000000000001E-2</v>
      </c>
      <c r="H351" s="314">
        <v>-7.7399999999999997E-2</v>
      </c>
      <c r="I351" s="308">
        <v>229.77311599999999</v>
      </c>
      <c r="J351" s="331">
        <v>1.6999999999999999E-3</v>
      </c>
      <c r="K351" s="270">
        <v>62</v>
      </c>
    </row>
    <row r="352" spans="1:11" s="321" customFormat="1" x14ac:dyDescent="0.3">
      <c r="A352" s="320">
        <v>130</v>
      </c>
      <c r="B352" s="303" t="s">
        <v>893</v>
      </c>
      <c r="C352" s="328" t="s">
        <v>374</v>
      </c>
      <c r="D352" s="322">
        <v>60796185.100000001</v>
      </c>
      <c r="E352" s="330">
        <v>2.4E-2</v>
      </c>
      <c r="F352" s="307">
        <v>5.5800000000000002E-2</v>
      </c>
      <c r="G352" s="307">
        <v>-2.2499999999999999E-2</v>
      </c>
      <c r="H352" s="314">
        <v>-7.4800000000000005E-2</v>
      </c>
      <c r="I352" s="308">
        <v>18.910505000000001</v>
      </c>
      <c r="J352" s="331">
        <v>1.46E-2</v>
      </c>
      <c r="K352" s="270">
        <v>92</v>
      </c>
    </row>
    <row r="353" spans="1:11" s="270" customFormat="1" x14ac:dyDescent="0.3">
      <c r="A353" s="266">
        <v>131</v>
      </c>
      <c r="B353" s="303" t="s">
        <v>894</v>
      </c>
      <c r="C353" s="327" t="s">
        <v>371</v>
      </c>
      <c r="D353" s="322">
        <v>1961009424.3299999</v>
      </c>
      <c r="E353" s="330">
        <v>1.7899999999999999E-2</v>
      </c>
      <c r="F353" s="307">
        <v>-1.2699999999999999E-2</v>
      </c>
      <c r="G353" s="307">
        <v>-2.3199999999999998E-2</v>
      </c>
      <c r="H353" s="314">
        <v>-8.5599999999999996E-2</v>
      </c>
      <c r="I353" s="308">
        <v>21.493480000000002</v>
      </c>
      <c r="J353" s="331">
        <v>1.09E-2</v>
      </c>
      <c r="K353" s="270">
        <v>65</v>
      </c>
    </row>
    <row r="354" spans="1:11" s="270" customFormat="1" x14ac:dyDescent="0.3">
      <c r="A354" s="266">
        <v>132</v>
      </c>
      <c r="B354" s="303" t="s">
        <v>895</v>
      </c>
      <c r="C354" s="327" t="s">
        <v>372</v>
      </c>
      <c r="D354" s="322">
        <v>531868395.24000001</v>
      </c>
      <c r="E354" s="330">
        <v>6.6799999999999998E-2</v>
      </c>
      <c r="F354" s="307">
        <v>4.2000000000000003E-2</v>
      </c>
      <c r="G354" s="307">
        <v>-2.5399999999999999E-2</v>
      </c>
      <c r="H354" s="314">
        <v>-2.93E-2</v>
      </c>
      <c r="I354" s="308">
        <v>20.753992</v>
      </c>
      <c r="J354" s="331">
        <v>4.0599999999999997E-2</v>
      </c>
      <c r="K354" s="270">
        <v>32</v>
      </c>
    </row>
    <row r="355" spans="1:11" s="270" customFormat="1" x14ac:dyDescent="0.3">
      <c r="A355" s="266">
        <v>133</v>
      </c>
      <c r="B355" s="188" t="s">
        <v>1112</v>
      </c>
      <c r="C355" s="327" t="s">
        <v>369</v>
      </c>
      <c r="D355" s="322">
        <v>1461716556.25</v>
      </c>
      <c r="E355" s="330">
        <v>1E-4</v>
      </c>
      <c r="F355" s="307">
        <v>-1.0999999999999999E-2</v>
      </c>
      <c r="G355" s="307">
        <v>-2.1700000000000001E-2</v>
      </c>
      <c r="H355" s="314">
        <v>-7.6700000000000004E-2</v>
      </c>
      <c r="I355" s="308">
        <v>2280.6486709999999</v>
      </c>
      <c r="J355" s="331">
        <v>0</v>
      </c>
      <c r="K355" s="270">
        <v>122</v>
      </c>
    </row>
    <row r="356" spans="1:11" s="270" customFormat="1" x14ac:dyDescent="0.3">
      <c r="A356" s="266">
        <v>134</v>
      </c>
      <c r="B356" s="188" t="s">
        <v>896</v>
      </c>
      <c r="C356" s="327" t="s">
        <v>376</v>
      </c>
      <c r="D356" s="322">
        <v>199995154.47</v>
      </c>
      <c r="E356" s="330">
        <v>1.6000000000000001E-3</v>
      </c>
      <c r="F356" s="307">
        <v>3.3700000000000001E-2</v>
      </c>
      <c r="G356" s="307">
        <v>-2.1700000000000001E-2</v>
      </c>
      <c r="H356" s="314">
        <v>-7.7100000000000002E-2</v>
      </c>
      <c r="I356" s="308">
        <v>23.526605</v>
      </c>
      <c r="J356" s="331">
        <v>8.9999999999999998E-4</v>
      </c>
      <c r="K356" s="270">
        <v>54</v>
      </c>
    </row>
    <row r="357" spans="1:11" s="270" customFormat="1" x14ac:dyDescent="0.3">
      <c r="A357" s="266">
        <v>135</v>
      </c>
      <c r="B357" s="224" t="s">
        <v>1093</v>
      </c>
      <c r="C357" s="327" t="s">
        <v>375</v>
      </c>
      <c r="D357" s="322">
        <v>8033817567.3500004</v>
      </c>
      <c r="E357" s="330">
        <v>0</v>
      </c>
      <c r="F357" s="307">
        <v>-0.30620000000000003</v>
      </c>
      <c r="G357" s="307">
        <v>-2.1700000000000001E-2</v>
      </c>
      <c r="H357" s="314">
        <v>-7.6799999999999993E-2</v>
      </c>
      <c r="I357" s="308">
        <v>34.962823</v>
      </c>
      <c r="J357" s="331">
        <v>0</v>
      </c>
      <c r="K357" s="270">
        <v>1142</v>
      </c>
    </row>
    <row r="358" spans="1:11" s="270" customFormat="1" x14ac:dyDescent="0.3">
      <c r="A358" s="266">
        <v>136</v>
      </c>
      <c r="B358" s="271" t="s">
        <v>897</v>
      </c>
      <c r="C358" s="327" t="s">
        <v>377</v>
      </c>
      <c r="D358" s="322">
        <v>30506084.859999999</v>
      </c>
      <c r="E358" s="330">
        <v>9.3399999999999997E-2</v>
      </c>
      <c r="F358" s="307">
        <v>9.0399999999999994E-2</v>
      </c>
      <c r="G358" s="307">
        <v>-1.6400000000000001E-2</v>
      </c>
      <c r="H358" s="314">
        <v>8.6E-3</v>
      </c>
      <c r="I358" s="308">
        <v>1.5638262000000001</v>
      </c>
      <c r="J358" s="331">
        <v>5.6899999999999999E-2</v>
      </c>
      <c r="K358" s="270">
        <v>28</v>
      </c>
    </row>
    <row r="359" spans="1:11" s="270" customFormat="1" x14ac:dyDescent="0.3">
      <c r="A359" s="266">
        <v>137</v>
      </c>
      <c r="B359" s="271" t="s">
        <v>898</v>
      </c>
      <c r="C359" s="327" t="s">
        <v>786</v>
      </c>
      <c r="D359" s="322">
        <v>38871516.600000001</v>
      </c>
      <c r="E359" s="330">
        <v>2.5100000000000001E-2</v>
      </c>
      <c r="F359" s="307">
        <v>4.1000000000000003E-3</v>
      </c>
      <c r="G359" s="307">
        <v>-2.1499999999999998E-2</v>
      </c>
      <c r="H359" s="314">
        <v>-5.2499999999999998E-2</v>
      </c>
      <c r="I359" s="308">
        <v>0.66996990000000001</v>
      </c>
      <c r="J359" s="331">
        <v>1.52E-2</v>
      </c>
      <c r="K359" s="270">
        <v>13</v>
      </c>
    </row>
    <row r="360" spans="1:11" s="270" customFormat="1" x14ac:dyDescent="0.3">
      <c r="A360" s="266">
        <v>138</v>
      </c>
      <c r="B360" s="271" t="s">
        <v>899</v>
      </c>
      <c r="C360" s="327" t="s">
        <v>788</v>
      </c>
      <c r="D360" s="322">
        <v>99554309.079999998</v>
      </c>
      <c r="E360" s="330">
        <v>3.32E-2</v>
      </c>
      <c r="F360" s="307">
        <v>3.5799999999999998E-2</v>
      </c>
      <c r="G360" s="307">
        <v>-2.1700000000000001E-2</v>
      </c>
      <c r="H360" s="314">
        <v>-5.3900000000000003E-2</v>
      </c>
      <c r="I360" s="308">
        <v>1.1250271999999999</v>
      </c>
      <c r="J360" s="331">
        <v>2.01E-2</v>
      </c>
      <c r="K360" s="270">
        <v>26</v>
      </c>
    </row>
    <row r="361" spans="1:11" s="270" customFormat="1" x14ac:dyDescent="0.3">
      <c r="A361" s="266">
        <v>139</v>
      </c>
      <c r="B361" s="271" t="s">
        <v>1094</v>
      </c>
      <c r="C361" s="327" t="s">
        <v>378</v>
      </c>
      <c r="D361" s="322" t="s">
        <v>830</v>
      </c>
      <c r="E361" s="330" t="s">
        <v>830</v>
      </c>
      <c r="F361" s="307" t="s">
        <v>830</v>
      </c>
      <c r="G361" s="307" t="s">
        <v>830</v>
      </c>
      <c r="H361" s="314" t="s">
        <v>830</v>
      </c>
      <c r="I361" s="308" t="s">
        <v>830</v>
      </c>
      <c r="J361" s="331" t="s">
        <v>830</v>
      </c>
      <c r="K361" s="270" t="s">
        <v>830</v>
      </c>
    </row>
    <row r="362" spans="1:11" s="270" customFormat="1" x14ac:dyDescent="0.3">
      <c r="A362" s="266">
        <v>140</v>
      </c>
      <c r="B362" s="302" t="s">
        <v>1136</v>
      </c>
      <c r="C362" s="326" t="s">
        <v>1137</v>
      </c>
      <c r="D362" s="322">
        <v>26755413.940000001</v>
      </c>
      <c r="E362" s="330">
        <v>9.7000000000000003E-3</v>
      </c>
      <c r="F362" s="307">
        <v>4.6399999999999997E-2</v>
      </c>
      <c r="G362" s="307">
        <v>-2.1299999999999999E-2</v>
      </c>
      <c r="H362" s="314">
        <v>-7.0699999999999999E-2</v>
      </c>
      <c r="I362" s="308">
        <v>1.6617766</v>
      </c>
      <c r="J362" s="331">
        <v>5.8999999999999999E-3</v>
      </c>
      <c r="K362" s="270">
        <v>42</v>
      </c>
    </row>
    <row r="363" spans="1:11" x14ac:dyDescent="0.3">
      <c r="A363" s="266">
        <v>141</v>
      </c>
      <c r="B363" s="271" t="s">
        <v>1138</v>
      </c>
      <c r="C363" s="326" t="s">
        <v>1139</v>
      </c>
      <c r="D363" s="322">
        <v>45886847.649999999</v>
      </c>
      <c r="E363" s="330">
        <v>9.4999999999999998E-3</v>
      </c>
      <c r="F363" s="307">
        <v>4.7800000000000002E-2</v>
      </c>
      <c r="G363" s="307">
        <v>-2.1299999999999999E-2</v>
      </c>
      <c r="H363" s="314">
        <v>-7.0599999999999996E-2</v>
      </c>
      <c r="I363" s="308">
        <v>2.7904770000000001</v>
      </c>
      <c r="J363" s="331">
        <v>5.7999999999999996E-3</v>
      </c>
      <c r="K363" s="270">
        <v>27</v>
      </c>
    </row>
    <row r="364" spans="1:11" x14ac:dyDescent="0.3">
      <c r="A364" s="266">
        <v>142</v>
      </c>
      <c r="B364" s="271" t="s">
        <v>1140</v>
      </c>
      <c r="C364" s="326" t="s">
        <v>1141</v>
      </c>
      <c r="D364" s="322">
        <v>211681359.83000001</v>
      </c>
      <c r="E364" s="330">
        <v>5.0000000000000001E-4</v>
      </c>
      <c r="F364" s="307">
        <v>-0.96399999999999997</v>
      </c>
      <c r="G364" s="307">
        <v>-2.2100000000000002E-2</v>
      </c>
      <c r="H364" s="314">
        <v>-8.2000000000000003E-2</v>
      </c>
      <c r="I364" s="308">
        <v>1.28500017</v>
      </c>
      <c r="J364" s="331">
        <v>2.9999999999999997E-4</v>
      </c>
      <c r="K364" s="270">
        <v>22</v>
      </c>
    </row>
    <row r="365" spans="1:11" x14ac:dyDescent="0.3">
      <c r="A365" s="266">
        <v>143</v>
      </c>
      <c r="B365" s="271" t="s">
        <v>900</v>
      </c>
      <c r="C365" s="327" t="s">
        <v>382</v>
      </c>
      <c r="D365" s="322">
        <v>39080048.840000004</v>
      </c>
      <c r="E365" s="330">
        <v>1.1999999999999999E-3</v>
      </c>
      <c r="F365" s="307">
        <v>4.65E-2</v>
      </c>
      <c r="G365" s="307">
        <v>-2.1700000000000001E-2</v>
      </c>
      <c r="H365" s="314">
        <v>-7.5899999999999995E-2</v>
      </c>
      <c r="I365" s="308">
        <v>2.3708907099999998</v>
      </c>
      <c r="J365" s="331">
        <v>6.9999999999999999E-4</v>
      </c>
      <c r="K365" s="270">
        <v>20</v>
      </c>
    </row>
    <row r="366" spans="1:11" x14ac:dyDescent="0.3">
      <c r="A366" s="266">
        <v>144</v>
      </c>
      <c r="B366" s="271" t="s">
        <v>901</v>
      </c>
      <c r="C366" s="327" t="s">
        <v>384</v>
      </c>
      <c r="D366" s="322">
        <v>10743914.33</v>
      </c>
      <c r="E366" s="330">
        <v>1.4E-3</v>
      </c>
      <c r="F366" s="307">
        <v>-0.12709999999999999</v>
      </c>
      <c r="G366" s="307">
        <v>-2.18E-2</v>
      </c>
      <c r="H366" s="314">
        <v>-7.8399999999999997E-2</v>
      </c>
      <c r="I366" s="308">
        <v>1.4111492999999999</v>
      </c>
      <c r="J366" s="331">
        <v>8.0000000000000004E-4</v>
      </c>
      <c r="K366" s="270">
        <v>11</v>
      </c>
    </row>
    <row r="367" spans="1:11" x14ac:dyDescent="0.3">
      <c r="A367" s="266">
        <v>145</v>
      </c>
      <c r="B367" s="271" t="s">
        <v>902</v>
      </c>
      <c r="C367" s="327" t="s">
        <v>386</v>
      </c>
      <c r="D367" s="322">
        <v>1394704795.52</v>
      </c>
      <c r="E367" s="330">
        <v>7.9000000000000008E-3</v>
      </c>
      <c r="F367" s="307">
        <v>-3.3E-3</v>
      </c>
      <c r="G367" s="307">
        <v>-2.2100000000000002E-2</v>
      </c>
      <c r="H367" s="314">
        <v>-8.1500000000000003E-2</v>
      </c>
      <c r="I367" s="308">
        <v>265.95903900000002</v>
      </c>
      <c r="J367" s="331">
        <v>4.7999999999999996E-3</v>
      </c>
      <c r="K367" s="270">
        <v>4066</v>
      </c>
    </row>
    <row r="368" spans="1:11" x14ac:dyDescent="0.3">
      <c r="A368" s="266">
        <v>146</v>
      </c>
      <c r="B368" s="271" t="s">
        <v>903</v>
      </c>
      <c r="C368" s="327" t="s">
        <v>387</v>
      </c>
      <c r="D368" s="322">
        <v>180008842.25999999</v>
      </c>
      <c r="E368" s="330">
        <v>5.8400000000000001E-2</v>
      </c>
      <c r="F368" s="307">
        <v>3.8800000000000001E-2</v>
      </c>
      <c r="G368" s="307">
        <v>-2.5100000000000001E-2</v>
      </c>
      <c r="H368" s="314">
        <v>-3.8199999999999998E-2</v>
      </c>
      <c r="I368" s="308">
        <v>197.44665699999999</v>
      </c>
      <c r="J368" s="331">
        <v>3.5499999999999997E-2</v>
      </c>
      <c r="K368" s="270">
        <v>18</v>
      </c>
    </row>
    <row r="369" spans="1:11" x14ac:dyDescent="0.3">
      <c r="A369" s="266">
        <v>147</v>
      </c>
      <c r="B369" s="271" t="s">
        <v>904</v>
      </c>
      <c r="C369" s="327" t="s">
        <v>389</v>
      </c>
      <c r="D369" s="325">
        <v>1334639183.53</v>
      </c>
      <c r="E369" s="330">
        <v>1.7899999999999999E-2</v>
      </c>
      <c r="F369" s="307">
        <v>-1.2E-2</v>
      </c>
      <c r="G369" s="307">
        <v>-2.3199999999999998E-2</v>
      </c>
      <c r="H369" s="314">
        <v>-8.5400000000000004E-2</v>
      </c>
      <c r="I369" s="308">
        <v>16.673587900000001</v>
      </c>
      <c r="J369" s="331">
        <v>1.09E-2</v>
      </c>
      <c r="K369" s="270">
        <v>307</v>
      </c>
    </row>
    <row r="370" spans="1:11" x14ac:dyDescent="0.3">
      <c r="A370" s="266">
        <v>148</v>
      </c>
      <c r="B370" s="271" t="s">
        <v>905</v>
      </c>
      <c r="C370" s="327" t="s">
        <v>390</v>
      </c>
      <c r="D370" s="325">
        <v>353644217.16000003</v>
      </c>
      <c r="E370" s="330">
        <v>6.7000000000000004E-2</v>
      </c>
      <c r="F370" s="307">
        <v>4.2599999999999999E-2</v>
      </c>
      <c r="G370" s="307">
        <v>-2.5399999999999999E-2</v>
      </c>
      <c r="H370" s="314">
        <v>-2.8799999999999999E-2</v>
      </c>
      <c r="I370" s="308">
        <v>15.292260799999999</v>
      </c>
      <c r="J370" s="331">
        <v>4.0800000000000003E-2</v>
      </c>
      <c r="K370" s="270">
        <v>92</v>
      </c>
    </row>
    <row r="371" spans="1:11" x14ac:dyDescent="0.3">
      <c r="A371" s="266">
        <v>149</v>
      </c>
      <c r="B371" s="271" t="s">
        <v>1095</v>
      </c>
      <c r="C371" s="327" t="s">
        <v>388</v>
      </c>
      <c r="D371" s="325">
        <v>5337061404.96</v>
      </c>
      <c r="E371" s="330">
        <v>1E-4</v>
      </c>
      <c r="F371" s="307">
        <v>-0.1106</v>
      </c>
      <c r="G371" s="307">
        <v>-2.1700000000000001E-2</v>
      </c>
      <c r="H371" s="314">
        <v>-7.6799999999999993E-2</v>
      </c>
      <c r="I371" s="308">
        <v>9.0035574</v>
      </c>
      <c r="J371" s="331">
        <v>1E-4</v>
      </c>
      <c r="K371" s="270">
        <v>1420</v>
      </c>
    </row>
    <row r="372" spans="1:11" x14ac:dyDescent="0.3">
      <c r="A372" s="266">
        <v>150</v>
      </c>
      <c r="B372" s="271" t="s">
        <v>1096</v>
      </c>
      <c r="C372" s="327" t="s">
        <v>391</v>
      </c>
      <c r="D372" s="325">
        <v>64349868.789999999</v>
      </c>
      <c r="E372" s="330">
        <v>6.7100000000000007E-2</v>
      </c>
      <c r="F372" s="307">
        <v>4.2299999999999997E-2</v>
      </c>
      <c r="G372" s="307">
        <v>-2.5399999999999999E-2</v>
      </c>
      <c r="H372" s="314">
        <v>-2.8899999999999999E-2</v>
      </c>
      <c r="I372" s="308">
        <v>204.0639602</v>
      </c>
      <c r="J372" s="331">
        <v>4.0800000000000003E-2</v>
      </c>
      <c r="K372" s="270">
        <v>20</v>
      </c>
    </row>
    <row r="373" spans="1:11" x14ac:dyDescent="0.3">
      <c r="A373" s="266">
        <v>151</v>
      </c>
      <c r="B373" s="271" t="s">
        <v>906</v>
      </c>
      <c r="C373" s="327" t="s">
        <v>397</v>
      </c>
      <c r="D373" s="325">
        <v>31009774.379999999</v>
      </c>
      <c r="E373" s="330">
        <v>9.9000000000000005E-2</v>
      </c>
      <c r="F373" s="307">
        <v>2.0400000000000001E-2</v>
      </c>
      <c r="G373" s="307">
        <v>-2.9899999999999999E-2</v>
      </c>
      <c r="H373" s="314">
        <v>-1.9599999999999999E-2</v>
      </c>
      <c r="I373" s="308">
        <v>117.8373428</v>
      </c>
      <c r="J373" s="331">
        <v>6.0600000000000001E-2</v>
      </c>
      <c r="K373" s="270">
        <v>1382</v>
      </c>
    </row>
    <row r="374" spans="1:11" x14ac:dyDescent="0.3">
      <c r="A374" s="266">
        <v>152</v>
      </c>
      <c r="B374" s="271" t="s">
        <v>907</v>
      </c>
      <c r="C374" s="327" t="s">
        <v>393</v>
      </c>
      <c r="D374" s="325">
        <v>70706280.359999999</v>
      </c>
      <c r="E374" s="330">
        <v>1.6000000000000001E-3</v>
      </c>
      <c r="F374" s="307">
        <v>3.3999999999999998E-3</v>
      </c>
      <c r="G374" s="307">
        <v>-2.1700000000000001E-2</v>
      </c>
      <c r="H374" s="314">
        <v>-7.6700000000000004E-2</v>
      </c>
      <c r="I374" s="308">
        <v>18.1332953</v>
      </c>
      <c r="J374" s="331">
        <v>1E-3</v>
      </c>
      <c r="K374" s="270">
        <v>36</v>
      </c>
    </row>
    <row r="375" spans="1:11" x14ac:dyDescent="0.3">
      <c r="A375" s="266">
        <v>153</v>
      </c>
      <c r="B375" s="224" t="s">
        <v>989</v>
      </c>
      <c r="C375" s="327" t="s">
        <v>990</v>
      </c>
      <c r="D375" s="325">
        <v>7101944835.6199999</v>
      </c>
      <c r="E375" s="330">
        <v>1E-4</v>
      </c>
      <c r="F375" s="307">
        <v>-0.47070000000000001</v>
      </c>
      <c r="G375" s="307">
        <v>-2.1700000000000001E-2</v>
      </c>
      <c r="H375" s="314">
        <v>-7.7299999999999994E-2</v>
      </c>
      <c r="I375" s="308">
        <v>104.12979319999999</v>
      </c>
      <c r="J375" s="331">
        <v>1E-4</v>
      </c>
      <c r="K375" s="270">
        <v>69096</v>
      </c>
    </row>
    <row r="376" spans="1:11" x14ac:dyDescent="0.3">
      <c r="A376" s="266">
        <v>154</v>
      </c>
      <c r="B376" s="271" t="s">
        <v>908</v>
      </c>
      <c r="C376" s="327" t="s">
        <v>394</v>
      </c>
      <c r="D376" s="325">
        <v>26910637.530000001</v>
      </c>
      <c r="E376" s="330">
        <v>0.37309999999999999</v>
      </c>
      <c r="F376" s="307">
        <v>1.0047999999999999</v>
      </c>
      <c r="G376" s="307">
        <v>0.27460000000000001</v>
      </c>
      <c r="H376" s="314">
        <v>0.43359999999999999</v>
      </c>
      <c r="I376" s="308">
        <v>2.9881183999999998</v>
      </c>
      <c r="J376" s="331">
        <v>0.22209999999999999</v>
      </c>
      <c r="K376" s="270">
        <v>1990</v>
      </c>
    </row>
    <row r="377" spans="1:11" x14ac:dyDescent="0.3">
      <c r="A377" s="266">
        <v>155</v>
      </c>
      <c r="B377" s="224" t="s">
        <v>909</v>
      </c>
      <c r="C377" s="327" t="s">
        <v>395</v>
      </c>
      <c r="D377" s="325">
        <v>7305061097.8699999</v>
      </c>
      <c r="E377" s="330">
        <v>0.01</v>
      </c>
      <c r="F377" s="307">
        <v>-0.27479999999999999</v>
      </c>
      <c r="G377" s="307">
        <v>-2.1700000000000001E-2</v>
      </c>
      <c r="H377" s="314">
        <v>-7.6999999999999999E-2</v>
      </c>
      <c r="I377" s="308">
        <v>2348.9360594</v>
      </c>
      <c r="J377" s="331">
        <v>0.01</v>
      </c>
      <c r="K377" s="270">
        <v>37223</v>
      </c>
    </row>
    <row r="378" spans="1:11" x14ac:dyDescent="0.3">
      <c r="A378" s="266">
        <v>156</v>
      </c>
      <c r="B378" s="309" t="s">
        <v>910</v>
      </c>
      <c r="C378" s="327" t="s">
        <v>396</v>
      </c>
      <c r="D378" s="325">
        <v>507627353.04000002</v>
      </c>
      <c r="E378" s="330">
        <v>0.01</v>
      </c>
      <c r="F378" s="307">
        <v>-2.3978999999999999</v>
      </c>
      <c r="G378" s="307">
        <v>-2.18E-2</v>
      </c>
      <c r="H378" s="314">
        <v>-7.8100000000000003E-2</v>
      </c>
      <c r="I378" s="308">
        <v>8.5250229999999991</v>
      </c>
      <c r="J378" s="331">
        <v>0</v>
      </c>
      <c r="K378" s="270">
        <v>12705</v>
      </c>
    </row>
    <row r="379" spans="1:11" x14ac:dyDescent="0.3">
      <c r="A379" s="266">
        <v>157</v>
      </c>
      <c r="B379" s="309" t="s">
        <v>911</v>
      </c>
      <c r="C379" s="327" t="s">
        <v>399</v>
      </c>
      <c r="D379" s="325">
        <v>5185617.59</v>
      </c>
      <c r="E379" s="330">
        <v>0.14849999999999999</v>
      </c>
      <c r="F379" s="307">
        <v>6.4299999999999996E-2</v>
      </c>
      <c r="G379" s="307">
        <v>-4.0099999999999997E-2</v>
      </c>
      <c r="H379" s="314">
        <v>8.9999999999999993E-3</v>
      </c>
      <c r="I379" s="308">
        <v>1.1059885</v>
      </c>
      <c r="J379" s="331">
        <v>8.9399999999999993E-2</v>
      </c>
      <c r="K379" s="270">
        <v>7</v>
      </c>
    </row>
    <row r="380" spans="1:11" x14ac:dyDescent="0.3">
      <c r="A380" s="266">
        <v>158</v>
      </c>
      <c r="B380" s="309" t="s">
        <v>912</v>
      </c>
      <c r="C380" s="327" t="s">
        <v>401</v>
      </c>
      <c r="D380" s="325">
        <v>113407083.64</v>
      </c>
      <c r="E380" s="330">
        <v>6.4399999999999999E-2</v>
      </c>
      <c r="F380" s="307">
        <v>3.9300000000000002E-2</v>
      </c>
      <c r="G380" s="307">
        <v>-2.5399999999999999E-2</v>
      </c>
      <c r="H380" s="314">
        <v>-3.2399999999999998E-2</v>
      </c>
      <c r="I380" s="308">
        <v>2.0917962000000001</v>
      </c>
      <c r="J380" s="331">
        <v>3.9199999999999999E-2</v>
      </c>
      <c r="K380" s="270">
        <v>55</v>
      </c>
    </row>
    <row r="381" spans="1:11" x14ac:dyDescent="0.3">
      <c r="A381" s="266">
        <v>159</v>
      </c>
      <c r="B381" s="309" t="s">
        <v>913</v>
      </c>
      <c r="C381" s="327" t="s">
        <v>403</v>
      </c>
      <c r="D381" s="325">
        <v>444362095.39999998</v>
      </c>
      <c r="E381" s="330">
        <v>1E-4</v>
      </c>
      <c r="F381" s="307">
        <v>-0.44529999999999997</v>
      </c>
      <c r="G381" s="307">
        <v>-2.1700000000000001E-2</v>
      </c>
      <c r="H381" s="314">
        <v>-7.6999999999999999E-2</v>
      </c>
      <c r="I381" s="308">
        <v>2.8868100999999999</v>
      </c>
      <c r="J381" s="331">
        <v>0</v>
      </c>
      <c r="K381" s="270">
        <v>774</v>
      </c>
    </row>
    <row r="382" spans="1:11" x14ac:dyDescent="0.3">
      <c r="A382" s="266">
        <v>160</v>
      </c>
      <c r="B382" s="309" t="s">
        <v>977</v>
      </c>
      <c r="C382" s="327" t="s">
        <v>978</v>
      </c>
      <c r="D382" s="325">
        <v>59578377.240000002</v>
      </c>
      <c r="E382" s="330">
        <v>3.0999999999999999E-3</v>
      </c>
      <c r="F382" s="307">
        <v>3.0300000000000001E-2</v>
      </c>
      <c r="G382" s="307">
        <v>-2.18E-2</v>
      </c>
      <c r="H382" s="314">
        <v>-7.6899999999999996E-2</v>
      </c>
      <c r="I382" s="308">
        <v>1.2733782</v>
      </c>
      <c r="J382" s="331">
        <v>1.9E-3</v>
      </c>
      <c r="K382" s="270">
        <v>35</v>
      </c>
    </row>
    <row r="383" spans="1:11" x14ac:dyDescent="0.3">
      <c r="A383" s="266">
        <v>161</v>
      </c>
      <c r="B383" s="309" t="s">
        <v>914</v>
      </c>
      <c r="C383" s="327" t="s">
        <v>402</v>
      </c>
      <c r="D383" s="325">
        <v>41905858.149999999</v>
      </c>
      <c r="E383" s="330">
        <v>2.1899999999999999E-2</v>
      </c>
      <c r="F383" s="307">
        <v>5.4100000000000002E-2</v>
      </c>
      <c r="G383" s="307">
        <v>-2.24E-2</v>
      </c>
      <c r="H383" s="314">
        <v>-7.6300000000000007E-2</v>
      </c>
      <c r="I383" s="308">
        <v>1.7218971000000001</v>
      </c>
      <c r="J383" s="331">
        <v>1.3299999999999999E-2</v>
      </c>
      <c r="K383" s="270">
        <v>35</v>
      </c>
    </row>
    <row r="384" spans="1:11" x14ac:dyDescent="0.3">
      <c r="A384" s="266">
        <v>162</v>
      </c>
      <c r="B384" s="310" t="s">
        <v>1142</v>
      </c>
      <c r="C384" s="326" t="s">
        <v>1143</v>
      </c>
      <c r="D384" s="325">
        <v>8489891.8800000008</v>
      </c>
      <c r="E384" s="330">
        <v>0.1104</v>
      </c>
      <c r="F384" s="307">
        <v>5.2999999999999999E-2</v>
      </c>
      <c r="G384" s="307">
        <v>-3.6299999999999999E-2</v>
      </c>
      <c r="H384" s="314">
        <v>-3.0000000000000001E-3</v>
      </c>
      <c r="I384" s="308">
        <v>0.84641893999999995</v>
      </c>
      <c r="J384" s="331">
        <v>6.7000000000000004E-2</v>
      </c>
      <c r="K384" s="270">
        <v>66</v>
      </c>
    </row>
    <row r="385" spans="1:11" x14ac:dyDescent="0.3">
      <c r="A385" s="266">
        <v>163</v>
      </c>
      <c r="B385" s="309" t="s">
        <v>915</v>
      </c>
      <c r="C385" s="327" t="s">
        <v>404</v>
      </c>
      <c r="D385" s="325">
        <v>19668071</v>
      </c>
      <c r="E385" s="330">
        <v>5.7999999999999996E-3</v>
      </c>
      <c r="F385" s="307">
        <v>-1.3100000000000001E-2</v>
      </c>
      <c r="G385" s="307">
        <v>-2.18E-2</v>
      </c>
      <c r="H385" s="314">
        <v>-7.8100000000000003E-2</v>
      </c>
      <c r="I385" s="308">
        <v>1.1601256200000001</v>
      </c>
      <c r="J385" s="331">
        <v>3.5000000000000001E-3</v>
      </c>
      <c r="K385" s="270">
        <v>5</v>
      </c>
    </row>
    <row r="386" spans="1:11" x14ac:dyDescent="0.3">
      <c r="A386" s="266">
        <v>164</v>
      </c>
      <c r="B386" s="309" t="s">
        <v>1144</v>
      </c>
      <c r="C386" s="326" t="s">
        <v>1145</v>
      </c>
      <c r="D386" s="325">
        <v>75778335.060000002</v>
      </c>
      <c r="E386" s="332">
        <v>0</v>
      </c>
      <c r="F386" s="307">
        <v>-13.798400000000001</v>
      </c>
      <c r="G386" s="307">
        <v>-2.23E-2</v>
      </c>
      <c r="H386" s="314">
        <v>-8.4500000000000006E-2</v>
      </c>
      <c r="I386" s="308">
        <v>0.98043239999999998</v>
      </c>
      <c r="J386" s="331">
        <v>0</v>
      </c>
      <c r="K386" s="270">
        <v>18</v>
      </c>
    </row>
    <row r="387" spans="1:11" x14ac:dyDescent="0.3">
      <c r="A387" s="266">
        <v>165</v>
      </c>
      <c r="B387" s="224" t="s">
        <v>1053</v>
      </c>
      <c r="C387" s="223" t="s">
        <v>1043</v>
      </c>
      <c r="D387" s="325">
        <v>13762096.68</v>
      </c>
      <c r="E387" s="330"/>
      <c r="F387" s="307"/>
      <c r="G387" s="307"/>
      <c r="H387" s="314"/>
      <c r="I387" s="308">
        <v>114.91560953</v>
      </c>
      <c r="J387" s="331"/>
      <c r="K387" s="270">
        <v>6</v>
      </c>
    </row>
    <row r="388" spans="1:11" x14ac:dyDescent="0.3">
      <c r="B388" s="298"/>
    </row>
    <row r="389" spans="1:11" x14ac:dyDescent="0.3">
      <c r="B389" s="298"/>
    </row>
    <row r="390" spans="1:11" x14ac:dyDescent="0.3">
      <c r="B390" s="298"/>
    </row>
    <row r="391" spans="1:11" x14ac:dyDescent="0.3">
      <c r="B391" s="298"/>
    </row>
    <row r="392" spans="1:11" x14ac:dyDescent="0.3">
      <c r="B392" s="298"/>
    </row>
    <row r="393" spans="1:11" x14ac:dyDescent="0.3">
      <c r="B393" s="298"/>
    </row>
    <row r="394" spans="1:11" x14ac:dyDescent="0.3">
      <c r="B394" s="298"/>
    </row>
    <row r="395" spans="1:11" x14ac:dyDescent="0.3">
      <c r="B395" s="298"/>
    </row>
    <row r="396" spans="1:11" x14ac:dyDescent="0.3">
      <c r="B396" s="298"/>
    </row>
    <row r="397" spans="1:11" x14ac:dyDescent="0.3">
      <c r="B397" s="298"/>
    </row>
    <row r="398" spans="1:11" x14ac:dyDescent="0.3">
      <c r="B398" s="298"/>
    </row>
    <row r="399" spans="1:11" x14ac:dyDescent="0.3">
      <c r="B399" s="298"/>
    </row>
    <row r="400" spans="1:11" x14ac:dyDescent="0.3">
      <c r="B400" s="299"/>
    </row>
    <row r="401" spans="2:2" x14ac:dyDescent="0.3">
      <c r="B401" s="300"/>
    </row>
    <row r="402" spans="2:2" x14ac:dyDescent="0.3">
      <c r="B402" s="224"/>
    </row>
    <row r="403" spans="2:2" x14ac:dyDescent="0.3">
      <c r="B403" s="224"/>
    </row>
    <row r="404" spans="2:2" x14ac:dyDescent="0.3">
      <c r="B404" s="224"/>
    </row>
    <row r="405" spans="2:2" x14ac:dyDescent="0.3">
      <c r="B405" s="224"/>
    </row>
  </sheetData>
  <sheetProtection formatCells="0" formatColumns="0" formatRows="0" insertColumns="0" insertRows="0" insertHyperlinks="0" deleteColumns="0" deleteRows="0" selectLockedCells="1" sort="0" autoFilter="0" pivotTables="0"/>
  <sortState ref="A224:K388">
    <sortCondition ref="B224"/>
  </sortState>
  <mergeCells count="192">
    <mergeCell ref="C191:E191"/>
    <mergeCell ref="A194:B194"/>
    <mergeCell ref="A1:C1"/>
    <mergeCell ref="C138:E138"/>
    <mergeCell ref="C137:E137"/>
    <mergeCell ref="C136:E136"/>
    <mergeCell ref="C135:E135"/>
    <mergeCell ref="C134:E134"/>
    <mergeCell ref="C133:E133"/>
    <mergeCell ref="C122:E122"/>
    <mergeCell ref="C121:E121"/>
    <mergeCell ref="C129:E129"/>
    <mergeCell ref="C130:E130"/>
    <mergeCell ref="C131:E131"/>
    <mergeCell ref="C132:E132"/>
    <mergeCell ref="C128:E128"/>
    <mergeCell ref="C127:E127"/>
    <mergeCell ref="C125:E125"/>
    <mergeCell ref="C126:E126"/>
    <mergeCell ref="C124:E124"/>
    <mergeCell ref="C2:E2"/>
    <mergeCell ref="C116:E116"/>
    <mergeCell ref="C117:E117"/>
    <mergeCell ref="C118:E118"/>
    <mergeCell ref="C98:E98"/>
    <mergeCell ref="C140:E140"/>
    <mergeCell ref="C101:E101"/>
    <mergeCell ref="C103:E103"/>
    <mergeCell ref="C102:E102"/>
    <mergeCell ref="C139:E139"/>
    <mergeCell ref="C99:E99"/>
    <mergeCell ref="C100:E100"/>
    <mergeCell ref="C123:E123"/>
    <mergeCell ref="C119:E119"/>
    <mergeCell ref="C120:E120"/>
    <mergeCell ref="C110:E110"/>
    <mergeCell ref="C112:E112"/>
    <mergeCell ref="C111:E111"/>
    <mergeCell ref="C113:E113"/>
    <mergeCell ref="C114:E114"/>
    <mergeCell ref="C115:E115"/>
    <mergeCell ref="C149:E149"/>
    <mergeCell ref="C144:E144"/>
    <mergeCell ref="C146:E146"/>
    <mergeCell ref="C145:E145"/>
    <mergeCell ref="C143:E143"/>
    <mergeCell ref="C148:E148"/>
    <mergeCell ref="C147:E147"/>
    <mergeCell ref="C104:E104"/>
    <mergeCell ref="C105:E105"/>
    <mergeCell ref="C106:E106"/>
    <mergeCell ref="C107:E107"/>
    <mergeCell ref="C108:E108"/>
    <mergeCell ref="C109:E109"/>
    <mergeCell ref="C141:E141"/>
    <mergeCell ref="C95:E95"/>
    <mergeCell ref="C96:E96"/>
    <mergeCell ref="C97:E97"/>
    <mergeCell ref="C90:E90"/>
    <mergeCell ref="C91:E91"/>
    <mergeCell ref="C167:E167"/>
    <mergeCell ref="C166:E166"/>
    <mergeCell ref="C165:E165"/>
    <mergeCell ref="C164:E164"/>
    <mergeCell ref="C163:E163"/>
    <mergeCell ref="C156:E156"/>
    <mergeCell ref="C155:E155"/>
    <mergeCell ref="C154:E154"/>
    <mergeCell ref="C153:E153"/>
    <mergeCell ref="C152:E152"/>
    <mergeCell ref="C151:E151"/>
    <mergeCell ref="C162:E162"/>
    <mergeCell ref="C161:E161"/>
    <mergeCell ref="C160:E160"/>
    <mergeCell ref="C159:E159"/>
    <mergeCell ref="C158:E158"/>
    <mergeCell ref="C157:E157"/>
    <mergeCell ref="C142:E142"/>
    <mergeCell ref="C150:E150"/>
    <mergeCell ref="C74:E74"/>
    <mergeCell ref="C75:E75"/>
    <mergeCell ref="C76:E76"/>
    <mergeCell ref="C77:E77"/>
    <mergeCell ref="C78:E78"/>
    <mergeCell ref="C79:E79"/>
    <mergeCell ref="C92:E92"/>
    <mergeCell ref="C93:E93"/>
    <mergeCell ref="C94:E94"/>
    <mergeCell ref="C86:E86"/>
    <mergeCell ref="C87:E87"/>
    <mergeCell ref="C88:E88"/>
    <mergeCell ref="C89:E89"/>
    <mergeCell ref="C80:E80"/>
    <mergeCell ref="C81:E81"/>
    <mergeCell ref="C82:E82"/>
    <mergeCell ref="C83:E83"/>
    <mergeCell ref="C84:E84"/>
    <mergeCell ref="C85:E85"/>
    <mergeCell ref="C68:E68"/>
    <mergeCell ref="C69:E69"/>
    <mergeCell ref="C70:E70"/>
    <mergeCell ref="C71:E71"/>
    <mergeCell ref="C72:E72"/>
    <mergeCell ref="C73:E73"/>
    <mergeCell ref="C62:E62"/>
    <mergeCell ref="C63:E63"/>
    <mergeCell ref="C64:E64"/>
    <mergeCell ref="C65:E65"/>
    <mergeCell ref="C66:E66"/>
    <mergeCell ref="C67:E67"/>
    <mergeCell ref="C56:E56"/>
    <mergeCell ref="C57:E57"/>
    <mergeCell ref="C58:E58"/>
    <mergeCell ref="C59:E59"/>
    <mergeCell ref="C60:E60"/>
    <mergeCell ref="C61:E61"/>
    <mergeCell ref="C50:E50"/>
    <mergeCell ref="C51:E51"/>
    <mergeCell ref="C52:E52"/>
    <mergeCell ref="C53:E53"/>
    <mergeCell ref="C54:E54"/>
    <mergeCell ref="C55:E55"/>
    <mergeCell ref="C44:E44"/>
    <mergeCell ref="C45:E45"/>
    <mergeCell ref="C46:E46"/>
    <mergeCell ref="C47:E47"/>
    <mergeCell ref="C48:E48"/>
    <mergeCell ref="C49:E49"/>
    <mergeCell ref="C38:E38"/>
    <mergeCell ref="C39:E39"/>
    <mergeCell ref="C40:E40"/>
    <mergeCell ref="C41:E41"/>
    <mergeCell ref="C42:E42"/>
    <mergeCell ref="C43:E43"/>
    <mergeCell ref="C32:E32"/>
    <mergeCell ref="C33:E33"/>
    <mergeCell ref="C34:E34"/>
    <mergeCell ref="C35:E35"/>
    <mergeCell ref="C36:E36"/>
    <mergeCell ref="C37:E37"/>
    <mergeCell ref="C27:E27"/>
    <mergeCell ref="C28:E28"/>
    <mergeCell ref="C29:E29"/>
    <mergeCell ref="C30:E30"/>
    <mergeCell ref="C31:E31"/>
    <mergeCell ref="C26:E26"/>
    <mergeCell ref="C3:E3"/>
    <mergeCell ref="C4:E4"/>
    <mergeCell ref="C5:E5"/>
    <mergeCell ref="C6:E6"/>
    <mergeCell ref="C7:E7"/>
    <mergeCell ref="C14:E14"/>
    <mergeCell ref="C15:E15"/>
    <mergeCell ref="C16:E16"/>
    <mergeCell ref="C17:E17"/>
    <mergeCell ref="C20:E20"/>
    <mergeCell ref="C21:E21"/>
    <mergeCell ref="C22:E22"/>
    <mergeCell ref="C23:E23"/>
    <mergeCell ref="C24:E24"/>
    <mergeCell ref="C25:E25"/>
    <mergeCell ref="C18:E18"/>
    <mergeCell ref="C19:E19"/>
    <mergeCell ref="C8:E8"/>
    <mergeCell ref="C9:E9"/>
    <mergeCell ref="C10:E10"/>
    <mergeCell ref="C11:E11"/>
    <mergeCell ref="C12:E12"/>
    <mergeCell ref="C13:E13"/>
    <mergeCell ref="C168:E168"/>
    <mergeCell ref="C169:E169"/>
    <mergeCell ref="C170:E170"/>
    <mergeCell ref="C171:E171"/>
    <mergeCell ref="C172:E172"/>
    <mergeCell ref="C173:E173"/>
    <mergeCell ref="C174:E174"/>
    <mergeCell ref="C175:E175"/>
    <mergeCell ref="C176:E176"/>
    <mergeCell ref="C186:E186"/>
    <mergeCell ref="C187:E187"/>
    <mergeCell ref="C188:E188"/>
    <mergeCell ref="C189:E189"/>
    <mergeCell ref="C190:E190"/>
    <mergeCell ref="C177:E177"/>
    <mergeCell ref="C178:E178"/>
    <mergeCell ref="C179:E179"/>
    <mergeCell ref="C180:E180"/>
    <mergeCell ref="C181:E181"/>
    <mergeCell ref="C182:E182"/>
    <mergeCell ref="C183:E183"/>
    <mergeCell ref="C184:E184"/>
    <mergeCell ref="C185:E185"/>
  </mergeCells>
  <conditionalFormatting sqref="D368:H368 R383:XFD387 L383:Q385 J224:K369 D224:I367 L224:XFD382 K388 D389:K1048576 C398:C1048576 B224:B384 H208:L219 C194:G194 D1:XFD193 B2:C189 B193:C193 A1:A222 B195:G219 B220:L223 A388:A1048576 B387:B1048576 A168:N192 B387:C387 L388:XFD1048576 M194:XFD223 E225:K387 G224:G387">
    <cfRule type="notContainsBlanks" dxfId="179" priority="20">
      <formula>LEN(TRIM(A1))&gt;0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BP192"/>
  <sheetViews>
    <sheetView topLeftCell="N1" workbookViewId="0">
      <selection activeCell="S9" sqref="S9"/>
    </sheetView>
  </sheetViews>
  <sheetFormatPr defaultRowHeight="15" x14ac:dyDescent="0.3"/>
  <cols>
    <col min="1" max="1" width="17.28515625" style="182" customWidth="1"/>
    <col min="2" max="2" width="22.7109375" customWidth="1"/>
    <col min="3" max="3" width="17.28515625" style="166" customWidth="1"/>
    <col min="4" max="4" width="23.140625" customWidth="1"/>
    <col min="5" max="5" width="23.140625" style="182" customWidth="1"/>
    <col min="6" max="6" width="18.42578125" bestFit="1" customWidth="1"/>
    <col min="7" max="7" width="18.42578125" style="182" customWidth="1"/>
    <col min="8" max="8" width="17.85546875" customWidth="1"/>
    <col min="9" max="9" width="17.85546875" style="182" customWidth="1"/>
    <col min="10" max="10" width="18.42578125" bestFit="1" customWidth="1"/>
    <col min="11" max="11" width="18.42578125" style="182" customWidth="1"/>
    <col min="12" max="12" width="18.42578125" bestFit="1" customWidth="1"/>
    <col min="13" max="13" width="18.42578125" style="182" customWidth="1"/>
    <col min="14" max="14" width="18.42578125" bestFit="1" customWidth="1"/>
    <col min="15" max="15" width="18.42578125" style="182" customWidth="1"/>
    <col min="16" max="16" width="18.42578125" bestFit="1" customWidth="1"/>
    <col min="17" max="17" width="18.42578125" style="182" customWidth="1"/>
    <col min="18" max="18" width="19.42578125" bestFit="1" customWidth="1"/>
    <col min="19" max="19" width="19.42578125" style="182" customWidth="1"/>
    <col min="20" max="20" width="19.5703125" bestFit="1" customWidth="1"/>
    <col min="21" max="21" width="17.42578125" style="182" customWidth="1"/>
    <col min="22" max="22" width="18.42578125" bestFit="1" customWidth="1"/>
    <col min="23" max="23" width="18.42578125" style="182" customWidth="1"/>
    <col min="24" max="24" width="21.140625" bestFit="1" customWidth="1"/>
    <col min="25" max="25" width="21.140625" style="182" customWidth="1"/>
    <col min="26" max="26" width="20.5703125" bestFit="1" customWidth="1"/>
    <col min="27" max="27" width="20.5703125" style="182" customWidth="1"/>
    <col min="28" max="28" width="18.42578125" bestFit="1" customWidth="1"/>
    <col min="29" max="29" width="18.42578125" style="182" customWidth="1"/>
    <col min="30" max="30" width="18.42578125" bestFit="1" customWidth="1"/>
    <col min="31" max="31" width="18.42578125" style="182" customWidth="1"/>
    <col min="32" max="32" width="18.42578125" bestFit="1" customWidth="1"/>
    <col min="33" max="33" width="18.42578125" style="182" customWidth="1"/>
    <col min="34" max="34" width="18.42578125" bestFit="1" customWidth="1"/>
    <col min="35" max="35" width="18.42578125" style="182" customWidth="1"/>
    <col min="36" max="36" width="18.7109375" bestFit="1" customWidth="1"/>
    <col min="37" max="37" width="18.7109375" style="182" customWidth="1"/>
    <col min="38" max="38" width="18.42578125" bestFit="1" customWidth="1"/>
    <col min="39" max="39" width="18.42578125" style="182" customWidth="1"/>
    <col min="40" max="40" width="18.42578125" bestFit="1" customWidth="1"/>
    <col min="41" max="41" width="18.42578125" style="182" customWidth="1"/>
    <col min="42" max="42" width="20.5703125" bestFit="1" customWidth="1"/>
    <col min="43" max="43" width="20.5703125" style="182" customWidth="1"/>
    <col min="44" max="44" width="18.42578125" bestFit="1" customWidth="1"/>
    <col min="45" max="45" width="18.42578125" style="182" customWidth="1"/>
    <col min="46" max="46" width="18.42578125" bestFit="1" customWidth="1"/>
    <col min="47" max="47" width="18.42578125" style="182" customWidth="1"/>
    <col min="48" max="48" width="21.42578125" bestFit="1" customWidth="1"/>
    <col min="49" max="49" width="21.42578125" style="182" customWidth="1"/>
    <col min="50" max="50" width="19.5703125" bestFit="1" customWidth="1"/>
    <col min="51" max="51" width="19.5703125" style="182" customWidth="1"/>
    <col min="52" max="52" width="18.42578125" bestFit="1" customWidth="1"/>
    <col min="53" max="53" width="18.42578125" style="182" customWidth="1"/>
    <col min="54" max="54" width="16.42578125" customWidth="1"/>
    <col min="55" max="55" width="12.28515625" style="182" customWidth="1"/>
    <col min="56" max="56" width="13.5703125" customWidth="1"/>
    <col min="57" max="57" width="14.7109375" style="182" customWidth="1"/>
    <col min="58" max="58" width="18.42578125" bestFit="1" customWidth="1"/>
    <col min="59" max="59" width="12" customWidth="1"/>
    <col min="60" max="60" width="17" bestFit="1" customWidth="1"/>
    <col min="61" max="61" width="21" customWidth="1"/>
    <col min="62" max="62" width="18.85546875" customWidth="1"/>
    <col min="63" max="63" width="13.28515625" customWidth="1"/>
    <col min="64" max="64" width="16.42578125" customWidth="1"/>
    <col min="66" max="66" width="17" customWidth="1"/>
    <col min="67" max="67" width="12.7109375" customWidth="1"/>
  </cols>
  <sheetData>
    <row r="1" spans="1:68" s="182" customFormat="1" ht="16.5" x14ac:dyDescent="0.3">
      <c r="D1" s="169" t="s">
        <v>944</v>
      </c>
      <c r="F1" s="169" t="s">
        <v>945</v>
      </c>
      <c r="H1" s="169" t="s">
        <v>946</v>
      </c>
      <c r="J1" s="169" t="s">
        <v>947</v>
      </c>
      <c r="L1" s="169" t="s">
        <v>948</v>
      </c>
      <c r="N1" s="169" t="s">
        <v>949</v>
      </c>
      <c r="P1" s="169" t="s">
        <v>950</v>
      </c>
      <c r="R1" s="169" t="s">
        <v>951</v>
      </c>
      <c r="T1" s="169" t="s">
        <v>952</v>
      </c>
      <c r="V1" s="169" t="s">
        <v>953</v>
      </c>
      <c r="X1" s="169" t="s">
        <v>954</v>
      </c>
      <c r="Z1" s="169" t="s">
        <v>955</v>
      </c>
      <c r="AB1" s="169" t="s">
        <v>956</v>
      </c>
      <c r="AD1" s="169" t="s">
        <v>957</v>
      </c>
      <c r="AF1" s="169" t="s">
        <v>958</v>
      </c>
      <c r="AH1" s="169" t="s">
        <v>959</v>
      </c>
      <c r="AJ1" s="169" t="s">
        <v>960</v>
      </c>
      <c r="AL1" s="169" t="s">
        <v>961</v>
      </c>
      <c r="AN1" s="169" t="s">
        <v>962</v>
      </c>
      <c r="AP1" s="169" t="s">
        <v>963</v>
      </c>
      <c r="AR1" s="169" t="s">
        <v>964</v>
      </c>
      <c r="AT1" s="169" t="s">
        <v>965</v>
      </c>
      <c r="AV1" s="169" t="s">
        <v>966</v>
      </c>
      <c r="AX1" s="169" t="s">
        <v>967</v>
      </c>
      <c r="AZ1" s="169" t="s">
        <v>968</v>
      </c>
      <c r="BB1" s="169" t="s">
        <v>969</v>
      </c>
      <c r="BD1" s="169" t="s">
        <v>970</v>
      </c>
      <c r="BF1" s="169" t="s">
        <v>971</v>
      </c>
      <c r="BH1" s="169" t="s">
        <v>1059</v>
      </c>
      <c r="BI1" s="223"/>
      <c r="BJ1" s="169" t="s">
        <v>1060</v>
      </c>
      <c r="BK1" s="223"/>
      <c r="BL1" s="169" t="s">
        <v>1061</v>
      </c>
      <c r="BM1" s="223"/>
      <c r="BN1" s="169" t="s">
        <v>1062</v>
      </c>
      <c r="BO1" s="223"/>
    </row>
    <row r="2" spans="1:68" s="166" customFormat="1" x14ac:dyDescent="0.3">
      <c r="A2" s="182"/>
      <c r="D2" s="166" t="str">
        <f>Carteira!C3</f>
        <v>BB IRF-M</v>
      </c>
      <c r="E2" s="182"/>
      <c r="F2" s="166" t="str">
        <f>Carteira!C4</f>
        <v>BB Perfil</v>
      </c>
      <c r="G2" s="182"/>
      <c r="H2" s="166" t="str">
        <f>Carteira!C5</f>
        <v>BB IX TP</v>
      </c>
      <c r="I2" s="182"/>
      <c r="J2" s="166" t="str">
        <f>Carteira!C6</f>
        <v>BB IRF-M1</v>
      </c>
      <c r="K2" s="182"/>
      <c r="L2" s="166" t="str">
        <f>Carteira!C7</f>
        <v>Caixa 2016 I TP RF</v>
      </c>
      <c r="M2" s="182"/>
      <c r="N2" s="166" t="str">
        <f>Carteira!C8</f>
        <v>Caixa Ref. DI LP</v>
      </c>
      <c r="O2" s="182"/>
      <c r="P2" s="166" t="str">
        <f>Carteira!C9</f>
        <v>Caixa IRF-M1</v>
      </c>
      <c r="Q2" s="182"/>
      <c r="R2" s="166" t="str">
        <f>Carteira!C10</f>
        <v>Caixa IRF-M1+</v>
      </c>
      <c r="S2" s="182"/>
      <c r="T2" s="166" t="str">
        <f>Carteira!C11</f>
        <v/>
      </c>
      <c r="U2" s="182"/>
      <c r="V2" s="166" t="str">
        <f>Carteira!C12</f>
        <v/>
      </c>
      <c r="W2" s="182"/>
      <c r="X2" s="166" t="str">
        <f>Carteira!C13</f>
        <v/>
      </c>
      <c r="Y2" s="182"/>
      <c r="Z2" s="166" t="str">
        <f>Carteira!C14</f>
        <v/>
      </c>
      <c r="AA2" s="182"/>
      <c r="AB2" s="166" t="str">
        <f>Carteira!C15</f>
        <v/>
      </c>
      <c r="AC2" s="182"/>
      <c r="AD2" s="166" t="str">
        <f>Carteira!C16</f>
        <v/>
      </c>
      <c r="AE2" s="182"/>
      <c r="AF2" s="166" t="str">
        <f>Carteira!C17</f>
        <v/>
      </c>
      <c r="AG2" s="182"/>
      <c r="AH2" s="166" t="str">
        <f>Carteira!C18</f>
        <v/>
      </c>
      <c r="AI2" s="182"/>
      <c r="AJ2" s="166" t="str">
        <f>Carteira!C19</f>
        <v/>
      </c>
      <c r="AK2" s="182"/>
      <c r="AL2" s="166" t="str">
        <f>Carteira!C20</f>
        <v/>
      </c>
      <c r="AM2" s="182"/>
      <c r="AN2" s="166" t="str">
        <f>Carteira!C21</f>
        <v/>
      </c>
      <c r="AO2" s="182"/>
      <c r="AP2" s="166" t="str">
        <f>Carteira!C22</f>
        <v/>
      </c>
      <c r="AQ2" s="182"/>
      <c r="AR2" s="166" t="str">
        <f>Carteira!C23</f>
        <v/>
      </c>
      <c r="AS2" s="182"/>
      <c r="AT2" s="166" t="str">
        <f>Carteira!C24</f>
        <v/>
      </c>
      <c r="AU2" s="182"/>
      <c r="AV2" s="166" t="str">
        <f>Carteira!C25</f>
        <v/>
      </c>
      <c r="AW2" s="182"/>
      <c r="AX2" s="166" t="str">
        <f>Carteira!C26</f>
        <v/>
      </c>
      <c r="AY2" s="182"/>
      <c r="AZ2" s="166" t="str">
        <f>Carteira!C27</f>
        <v/>
      </c>
      <c r="BA2" s="182"/>
      <c r="BB2" s="166" t="str">
        <f>Carteira!C28</f>
        <v/>
      </c>
      <c r="BC2" s="182"/>
      <c r="BD2" s="166" t="str">
        <f>Carteira!C29</f>
        <v/>
      </c>
      <c r="BE2" s="182"/>
      <c r="BF2" s="168" t="str">
        <f>Carteira!C30</f>
        <v/>
      </c>
      <c r="BH2" s="168" t="str">
        <f>Carteira!C31</f>
        <v/>
      </c>
      <c r="BI2" s="223"/>
      <c r="BJ2" s="168" t="str">
        <f>Carteira!C32</f>
        <v/>
      </c>
      <c r="BK2" s="223"/>
      <c r="BL2" s="168" t="str">
        <f>Carteira!C33</f>
        <v/>
      </c>
      <c r="BM2" s="223"/>
      <c r="BN2" s="168" t="str">
        <f>Carteira!C34</f>
        <v/>
      </c>
      <c r="BO2" s="223"/>
    </row>
    <row r="3" spans="1:68" s="166" customFormat="1" x14ac:dyDescent="0.3">
      <c r="A3" s="182"/>
      <c r="D3" s="166" t="str">
        <f>Entrada!E10</f>
        <v>07.111.384/0001-69</v>
      </c>
      <c r="E3" s="182"/>
      <c r="F3" s="166" t="str">
        <f>Entrada!E11</f>
        <v>13.077.418/0001-49</v>
      </c>
      <c r="G3" s="182"/>
      <c r="H3" s="166" t="str">
        <f>Entrada!E12</f>
        <v>20.734.937/0001-06</v>
      </c>
      <c r="I3" s="182"/>
      <c r="J3" s="166" t="str">
        <f>Entrada!E13</f>
        <v>11.328.882/0001-35</v>
      </c>
      <c r="K3" s="182"/>
      <c r="L3" s="166" t="str">
        <f>Entrada!E14</f>
        <v>20.139.299/0001-77</v>
      </c>
      <c r="M3" s="182"/>
      <c r="N3" s="31" t="str">
        <f>Entrada!E15</f>
        <v>03.737.206/0001-97</v>
      </c>
      <c r="O3" s="31"/>
      <c r="P3" s="31" t="str">
        <f>Entrada!E16</f>
        <v>10.740.670/0001-06</v>
      </c>
      <c r="Q3" s="31"/>
      <c r="R3" s="31" t="str">
        <f>Entrada!E17</f>
        <v>10.577.519/0001-90</v>
      </c>
      <c r="S3" s="31"/>
      <c r="T3" s="31" t="str">
        <f>Entrada!E18</f>
        <v/>
      </c>
      <c r="U3" s="31"/>
      <c r="V3" s="31" t="str">
        <f>Entrada!E19</f>
        <v/>
      </c>
      <c r="W3" s="31"/>
      <c r="X3" s="31" t="str">
        <f>Entrada!E20</f>
        <v/>
      </c>
      <c r="Y3" s="31"/>
      <c r="Z3" s="31" t="str">
        <f>Entrada!E21</f>
        <v/>
      </c>
      <c r="AA3" s="31"/>
      <c r="AB3" s="31" t="str">
        <f>Entrada!E22</f>
        <v/>
      </c>
      <c r="AC3" s="31"/>
      <c r="AD3" s="31" t="str">
        <f>Entrada!E23</f>
        <v/>
      </c>
      <c r="AE3" s="31"/>
      <c r="AF3" s="31" t="str">
        <f>Entrada!E24</f>
        <v/>
      </c>
      <c r="AG3" s="31"/>
      <c r="AH3" s="31" t="str">
        <f>Entrada!E25</f>
        <v/>
      </c>
      <c r="AI3" s="31"/>
      <c r="AJ3" s="31" t="str">
        <f>Entrada!E26</f>
        <v/>
      </c>
      <c r="AK3" s="31"/>
      <c r="AL3" s="31" t="str">
        <f>Entrada!E27</f>
        <v/>
      </c>
      <c r="AM3" s="31"/>
      <c r="AN3" s="31" t="str">
        <f>Entrada!E28</f>
        <v/>
      </c>
      <c r="AO3" s="31"/>
      <c r="AP3" s="31" t="str">
        <f>Entrada!E29</f>
        <v/>
      </c>
      <c r="AQ3" s="31"/>
      <c r="AR3" s="31" t="str">
        <f>Entrada!E30</f>
        <v/>
      </c>
      <c r="AS3" s="31"/>
      <c r="AT3" s="31" t="str">
        <f>Entrada!E31</f>
        <v/>
      </c>
      <c r="AU3" s="31"/>
      <c r="AV3" s="31" t="str">
        <f>Entrada!E32</f>
        <v/>
      </c>
      <c r="AW3" s="31"/>
      <c r="AX3" s="31" t="str">
        <f>Entrada!E33</f>
        <v/>
      </c>
      <c r="AY3" s="31"/>
      <c r="AZ3" s="31" t="str">
        <f>Entrada!E34</f>
        <v/>
      </c>
      <c r="BA3" s="31"/>
      <c r="BB3" s="31" t="str">
        <f>Entrada!E35</f>
        <v/>
      </c>
      <c r="BC3" s="31"/>
      <c r="BD3" s="31" t="str">
        <f>Entrada!E36</f>
        <v/>
      </c>
      <c r="BE3" s="31"/>
      <c r="BF3" s="31" t="str">
        <f>Entrada!E37</f>
        <v/>
      </c>
      <c r="BH3" s="31" t="str">
        <f>Entrada!E38</f>
        <v/>
      </c>
      <c r="BI3" s="223"/>
      <c r="BJ3" s="31" t="str">
        <f>Entrada!E39</f>
        <v/>
      </c>
      <c r="BK3" s="223"/>
      <c r="BL3" s="31" t="str">
        <f>Entrada!E40</f>
        <v/>
      </c>
      <c r="BM3" s="223"/>
      <c r="BN3" s="31" t="str">
        <f>Entrada!E41</f>
        <v/>
      </c>
      <c r="BO3" s="223"/>
    </row>
    <row r="4" spans="1:68" s="166" customFormat="1" x14ac:dyDescent="0.3">
      <c r="A4" s="182"/>
      <c r="D4" s="31">
        <f>Entrada!J10</f>
        <v>0</v>
      </c>
      <c r="E4" s="31"/>
      <c r="F4" s="31">
        <f>Entrada!J11</f>
        <v>368033.64</v>
      </c>
      <c r="G4" s="31"/>
      <c r="H4" s="31">
        <f>Entrada!J12</f>
        <v>535928.17000000004</v>
      </c>
      <c r="I4" s="31"/>
      <c r="J4" s="31">
        <f>Entrada!J13</f>
        <v>3391984.3</v>
      </c>
      <c r="K4" s="31"/>
      <c r="L4" s="31">
        <f>Entrada!J14</f>
        <v>1086173</v>
      </c>
      <c r="M4" s="31"/>
      <c r="N4" s="31">
        <f>Entrada!J15</f>
        <v>635599.06999999995</v>
      </c>
      <c r="O4" s="31"/>
      <c r="P4" s="31">
        <f>Entrada!J16</f>
        <v>2150018.08</v>
      </c>
      <c r="Q4" s="31"/>
      <c r="R4" s="31">
        <f>Entrada!L16</f>
        <v>0</v>
      </c>
      <c r="S4" s="31">
        <f>Entrada!J17</f>
        <v>0</v>
      </c>
      <c r="T4" s="31"/>
      <c r="U4" s="31">
        <f>Entrada!J18</f>
        <v>0</v>
      </c>
      <c r="V4" s="31"/>
      <c r="W4" s="31">
        <f>Entrada!J19</f>
        <v>0</v>
      </c>
      <c r="X4" s="31"/>
      <c r="Y4" s="31">
        <f>Entrada!J20</f>
        <v>0</v>
      </c>
      <c r="Z4" s="31"/>
      <c r="AA4" s="31">
        <f>Entrada!J21</f>
        <v>0</v>
      </c>
      <c r="AB4" s="31"/>
      <c r="AC4" s="31">
        <f>Entrada!J22</f>
        <v>0</v>
      </c>
      <c r="AD4" s="31"/>
      <c r="AE4" s="31">
        <f>Entrada!J23</f>
        <v>0</v>
      </c>
      <c r="AF4" s="31"/>
      <c r="AG4" s="31">
        <f>Entrada!J24</f>
        <v>0</v>
      </c>
      <c r="AH4" s="31"/>
      <c r="AI4" s="31">
        <f>Entrada!J25</f>
        <v>0</v>
      </c>
      <c r="AJ4" s="31"/>
      <c r="AK4" s="31">
        <f>Entrada!J26</f>
        <v>0</v>
      </c>
      <c r="AL4" s="31"/>
      <c r="AM4" s="31">
        <f>Entrada!J27</f>
        <v>0</v>
      </c>
      <c r="AN4" s="31"/>
      <c r="AO4" s="31">
        <f>Entrada!J28</f>
        <v>0</v>
      </c>
      <c r="AP4" s="31"/>
      <c r="AQ4" s="31">
        <f>Entrada!J29</f>
        <v>0</v>
      </c>
      <c r="AR4" s="31"/>
      <c r="AS4" s="31">
        <f>Entrada!J30</f>
        <v>0</v>
      </c>
      <c r="AT4" s="31"/>
      <c r="AU4" s="31">
        <f>Entrada!J31</f>
        <v>0</v>
      </c>
      <c r="AV4" s="31"/>
      <c r="AW4" s="31">
        <f>Entrada!J32</f>
        <v>0</v>
      </c>
      <c r="AX4" s="31"/>
      <c r="AY4" s="31">
        <f>Entrada!J33</f>
        <v>0</v>
      </c>
      <c r="AZ4" s="31"/>
      <c r="BA4" s="31">
        <f>Entrada!J34</f>
        <v>0</v>
      </c>
      <c r="BB4" s="31"/>
      <c r="BC4" s="31">
        <f>Entrada!J35</f>
        <v>0</v>
      </c>
      <c r="BD4" s="31"/>
      <c r="BE4" s="31">
        <f>Entrada!J36</f>
        <v>0</v>
      </c>
      <c r="BF4" s="31"/>
      <c r="BG4" s="31">
        <f>Entrada!J37</f>
        <v>0</v>
      </c>
      <c r="BH4" s="31"/>
      <c r="BI4" s="31">
        <f>Entrada!J38</f>
        <v>0</v>
      </c>
      <c r="BJ4" s="31"/>
      <c r="BK4" s="31">
        <f>Entrada!J39</f>
        <v>0</v>
      </c>
      <c r="BL4" s="31"/>
      <c r="BM4" s="31">
        <f>Entrada!J40</f>
        <v>0</v>
      </c>
      <c r="BN4" s="31"/>
      <c r="BO4" s="31">
        <f>Entrada!J41</f>
        <v>0</v>
      </c>
      <c r="BP4" s="31"/>
    </row>
    <row r="5" spans="1:68" s="181" customFormat="1" x14ac:dyDescent="0.3">
      <c r="B5" s="181">
        <v>1</v>
      </c>
      <c r="C5" s="178" t="e">
        <f>VaR_Calculo_Historico!#REF!</f>
        <v>#REF!</v>
      </c>
      <c r="D5" s="181">
        <f>HLOOKUP($D$3,VaR_Calculo_Historico!$C$2:$ET$103,B5+1,0)</f>
        <v>3.2757113119999999</v>
      </c>
      <c r="F5" s="181">
        <f>HLOOKUP($F$3,VaR_Calculo_Historico!$C$2:$ET$103,B5+1,0)</f>
        <v>1.5619749999999999</v>
      </c>
      <c r="H5" s="181">
        <f>HLOOKUP($H$3,VaR_Calculo_Historico!$C$2:$ET$103,B5+1,0)</f>
        <v>1.081568984</v>
      </c>
      <c r="J5" s="181">
        <f>HLOOKUP($J$3,VaR_Calculo_Historico!$C$2:$ET$103,B5+1,0)</f>
        <v>1.789037</v>
      </c>
      <c r="L5" s="181">
        <f>HLOOKUP($L$3,VaR_Calculo_Historico!$C$2:$ET$103,B5+1,0)</f>
        <v>1.0532950000000001</v>
      </c>
      <c r="N5" s="181">
        <f>HLOOKUP($N$3,VaR_Calculo_Historico!$C$2:$ET$103,B5+1,0)</f>
        <v>2.5418609999999999</v>
      </c>
      <c r="P5" s="181">
        <f>HLOOKUP($P$3,VaR_Calculo_Historico!$C$2:$ET$103,B5+1,0)</f>
        <v>1.7082649999999999</v>
      </c>
      <c r="Q5" s="180"/>
      <c r="R5" s="181">
        <f>HLOOKUP($R$3,VaR_Calculo_Historico!$C$2:$ET$103,B5+1,0)</f>
        <v>1.241876</v>
      </c>
      <c r="T5" s="181" t="e">
        <f>HLOOKUP($T$3,VaR_Calculo_Historico!$C$2:$ET$103,B5+1,0)</f>
        <v>#N/A</v>
      </c>
      <c r="V5" s="181" t="e">
        <f>HLOOKUP($V$3,VaR_Calculo_Historico!$C$2:$ET$103,B5+1,0)</f>
        <v>#N/A</v>
      </c>
      <c r="X5" s="181" t="e">
        <f>HLOOKUP($X$3,VaR_Calculo_Historico!$C$2:$ET$103,B5+1,0)</f>
        <v>#N/A</v>
      </c>
      <c r="Z5" s="181" t="e">
        <f>HLOOKUP($Z$3,VaR_Calculo_Historico!$C$2:$ET$103,B5+1,0)</f>
        <v>#N/A</v>
      </c>
      <c r="AB5" s="181" t="e">
        <f>HLOOKUP($AB$3,VaR_Calculo_Historico!$C$2:$ET$103,B5+1,0)</f>
        <v>#N/A</v>
      </c>
      <c r="AD5" s="181" t="e">
        <f>HLOOKUP($AD$3,VaR_Calculo_Historico!$C$2:$ET$103,B5+1,0)</f>
        <v>#N/A</v>
      </c>
      <c r="AF5" s="181" t="e">
        <f>HLOOKUP($AF$3,VaR_Calculo_Historico!$C$2:$FZS$104,B5+1,0)</f>
        <v>#N/A</v>
      </c>
      <c r="AH5" s="181" t="e">
        <f>HLOOKUP($AH$3,VaR_Calculo_Historico!$C$2:$FS$104,B5+1,0)</f>
        <v>#N/A</v>
      </c>
      <c r="AJ5" s="181" t="e">
        <f>HLOOKUP($AJ$3,VaR_Calculo_Historico!$C$2:$ET$103,B5+1,0)</f>
        <v>#N/A</v>
      </c>
      <c r="AL5" s="181" t="e">
        <f>HLOOKUP($AL$3,VaR_Calculo_Historico!$C$2:$ET$103,B5+1,0)</f>
        <v>#N/A</v>
      </c>
      <c r="AN5" s="181" t="e">
        <f>HLOOKUP($AN$3,VaR_Calculo_Historico!$C$2:$ET$103,B5+1,0)</f>
        <v>#N/A</v>
      </c>
      <c r="AP5" s="181" t="e">
        <f>HLOOKUP($AP$3,VaR_Calculo_Historico!$C$2:$ET$103,B5+1,0)</f>
        <v>#N/A</v>
      </c>
      <c r="AR5" s="181" t="e">
        <f>HLOOKUP($AR$3,VaR_Calculo_Historico!$C$2:$ET$103,B5+1,0)</f>
        <v>#N/A</v>
      </c>
      <c r="AT5" s="181" t="e">
        <f>HLOOKUP($AT$3,VaR_Calculo_Historico!$C$2:$ET$103,B5+1,0)</f>
        <v>#N/A</v>
      </c>
      <c r="AV5" s="181" t="e">
        <f>HLOOKUP($AV$3,VaR_Calculo_Historico!$C$2:$ET$103,B5+1,0)</f>
        <v>#N/A</v>
      </c>
      <c r="AX5" s="181" t="e">
        <f>HLOOKUP($AX$3,VaR_Calculo_Historico!$C$2:$ET$103,B5+1,0)</f>
        <v>#N/A</v>
      </c>
      <c r="AZ5" s="181" t="e">
        <f>HLOOKUP($AZ$3,VaR_Calculo_Historico!$C$2:$ET$103,B5+1,0)</f>
        <v>#N/A</v>
      </c>
      <c r="BB5" s="181" t="e">
        <f>HLOOKUP($BB$3,VaR_Calculo_Historico!$C$2:$ET$103,B5+1,0)</f>
        <v>#N/A</v>
      </c>
      <c r="BD5" s="181" t="e">
        <f>HLOOKUP($BD$3,VaR_Calculo_Historico!$C$2:$ET$103,B5+1,0)</f>
        <v>#N/A</v>
      </c>
      <c r="BF5" s="181" t="e">
        <f>HLOOKUP($BF$3,VaR_Calculo_Historico!$C$2:$ET$103,B5+1,0)</f>
        <v>#N/A</v>
      </c>
      <c r="BH5" s="181" t="e">
        <f>HLOOKUP($BH$3,VaR_Calculo_Historico!$C$2:$ET$103,B5+1,0)</f>
        <v>#N/A</v>
      </c>
      <c r="BJ5" s="181" t="e">
        <f>HLOOKUP($BJ$3,VaR_Calculo_Historico!$C$2:$ET$103,B5+1,0)</f>
        <v>#N/A</v>
      </c>
      <c r="BL5" s="181" t="e">
        <f>HLOOKUP($BL$3,VaR_Calculo_Historico!$C$2:$ET$103,B5+1,0)</f>
        <v>#N/A</v>
      </c>
      <c r="BN5" s="181" t="e">
        <f>HLOOKUP($BN$3,VaR_Calculo_Historico!$C$2:$EY$103,B5+1,0)</f>
        <v>#N/A</v>
      </c>
    </row>
    <row r="6" spans="1:68" x14ac:dyDescent="0.3">
      <c r="B6">
        <v>2</v>
      </c>
      <c r="C6" s="208">
        <f>VaR_Calculo_Historico!B3</f>
        <v>42313</v>
      </c>
      <c r="D6" s="181">
        <f>HLOOKUP($D$3,VaR_Calculo_Historico!$C$2:$ET$103,B6+1,0)</f>
        <v>3.2762850220000002</v>
      </c>
      <c r="E6" s="182">
        <f>LN(D6/D5)</f>
        <v>1.751252510594945E-4</v>
      </c>
      <c r="F6" s="181">
        <f>HLOOKUP($F$3,VaR_Calculo_Historico!$C$2:$ET$103,B6+1,0)</f>
        <v>1.5627960000000001</v>
      </c>
      <c r="G6" s="182">
        <f>LN(F6/F5)</f>
        <v>5.254785191566722E-4</v>
      </c>
      <c r="H6" s="181">
        <f>HLOOKUP($H$3,VaR_Calculo_Historico!$C$2:$ET$103,B6+1,0)</f>
        <v>1.0824939499999999</v>
      </c>
      <c r="I6" s="182">
        <f>LN(H6/H5)</f>
        <v>8.5484210444587293E-4</v>
      </c>
      <c r="J6" s="181">
        <f>HLOOKUP($J$3,VaR_Calculo_Historico!$C$2:$ET$103,B6+1,0)</f>
        <v>1.790249</v>
      </c>
      <c r="K6" s="182">
        <f>LN(J6/J5)</f>
        <v>6.7723006561787042E-4</v>
      </c>
      <c r="L6" s="181">
        <f>HLOOKUP($L$3,VaR_Calculo_Historico!$C$2:$ET$103,B6+1,0)</f>
        <v>1.054233</v>
      </c>
      <c r="M6" s="182">
        <f>LN(L6/L5)</f>
        <v>8.9014244359793184E-4</v>
      </c>
      <c r="N6" s="181">
        <f>HLOOKUP($N$3,VaR_Calculo_Historico!$C$2:$ET$103,B6+1,0)</f>
        <v>2.5432160000000001</v>
      </c>
      <c r="O6" s="182">
        <f>LN(N6/N5)</f>
        <v>5.3293196231667106E-4</v>
      </c>
      <c r="P6" s="181">
        <f>HLOOKUP($P$3,VaR_Calculo_Historico!$C$2:$ET$103,B6+1,0)</f>
        <v>1.709454</v>
      </c>
      <c r="Q6" s="182">
        <f>LN(P6/P5)</f>
        <v>6.9578572607522174E-4</v>
      </c>
      <c r="R6" s="181">
        <f>HLOOKUP($R$3,VaR_Calculo_Historico!$C$2:$ET$103,B6+1,0)</f>
        <v>1.2413700000000001</v>
      </c>
      <c r="S6" s="182">
        <f>LN(R6/R5)</f>
        <v>-4.0753111613030848E-4</v>
      </c>
      <c r="T6" s="181" t="e">
        <f>HLOOKUP($T$3,VaR_Calculo_Historico!$C$2:$ET$103,B6+1,0)</f>
        <v>#N/A</v>
      </c>
      <c r="U6" s="182" t="e">
        <f>LN(T6/T5)</f>
        <v>#N/A</v>
      </c>
      <c r="V6" s="181" t="e">
        <f>HLOOKUP($V$3,VaR_Calculo_Historico!$C$2:$ET$103,B6+1,0)</f>
        <v>#N/A</v>
      </c>
      <c r="W6" s="182" t="e">
        <f>LN(V6/V5)</f>
        <v>#N/A</v>
      </c>
      <c r="X6" s="181" t="e">
        <f>HLOOKUP($X$3,VaR_Calculo_Historico!$C$2:$ET$103,B6+1,0)</f>
        <v>#N/A</v>
      </c>
      <c r="Y6" s="182" t="e">
        <f>LN(X6/X5)</f>
        <v>#N/A</v>
      </c>
      <c r="Z6" s="181" t="e">
        <f>HLOOKUP($Z$3,VaR_Calculo_Historico!$C$2:$ET$103,B6+1,0)</f>
        <v>#N/A</v>
      </c>
      <c r="AA6" s="182" t="e">
        <f>LN(Z6/Z5)</f>
        <v>#N/A</v>
      </c>
      <c r="AB6" s="181" t="e">
        <f>HLOOKUP($AB$3,VaR_Calculo_Historico!$C$2:$ET$103,B6+1,0)</f>
        <v>#N/A</v>
      </c>
      <c r="AC6" s="182" t="e">
        <f>LN(AB6/AB5)</f>
        <v>#N/A</v>
      </c>
      <c r="AD6" s="181" t="e">
        <f>HLOOKUP($AD$3,VaR_Calculo_Historico!$C$2:$ET$103,B6+1,0)</f>
        <v>#N/A</v>
      </c>
      <c r="AE6" s="182" t="e">
        <f>LN(AD6/AD5)</f>
        <v>#N/A</v>
      </c>
      <c r="AF6" s="181" t="e">
        <f>HLOOKUP($AF$3,VaR_Calculo_Historico!$C$2:$FZS$104,B6+1,0)</f>
        <v>#N/A</v>
      </c>
      <c r="AG6" s="182" t="e">
        <f>LN(AF6/AF5)</f>
        <v>#N/A</v>
      </c>
      <c r="AH6" s="181" t="e">
        <f>HLOOKUP($AH$3,VaR_Calculo_Historico!$C$2:$FS$104,B6+1,0)</f>
        <v>#N/A</v>
      </c>
      <c r="AI6" s="182" t="e">
        <f>LN(AH6/AH5)</f>
        <v>#N/A</v>
      </c>
      <c r="AJ6" s="181" t="e">
        <f>HLOOKUP($AJ$3,VaR_Calculo_Historico!$C$2:$ET$103,B6+1,0)</f>
        <v>#N/A</v>
      </c>
      <c r="AK6" s="182" t="e">
        <f>LN(AJ6/AJ5)</f>
        <v>#N/A</v>
      </c>
      <c r="AL6" s="181" t="e">
        <f>HLOOKUP($AL$3,VaR_Calculo_Historico!$C$2:$ET$103,B6+1,0)</f>
        <v>#N/A</v>
      </c>
      <c r="AM6" s="182" t="e">
        <f>LN(AL6/AL5)</f>
        <v>#N/A</v>
      </c>
      <c r="AN6" s="181" t="e">
        <f>HLOOKUP($AN$3,VaR_Calculo_Historico!$C$2:$ET$103,B6+1,0)</f>
        <v>#N/A</v>
      </c>
      <c r="AO6" s="182" t="e">
        <f>LN(AN6/AN5)</f>
        <v>#N/A</v>
      </c>
      <c r="AP6" s="181" t="e">
        <f>HLOOKUP($AP$3,VaR_Calculo_Historico!$C$2:$ET$103,B6+1,0)</f>
        <v>#N/A</v>
      </c>
      <c r="AQ6" s="182" t="e">
        <f>LN(AP6/AP5)</f>
        <v>#N/A</v>
      </c>
      <c r="AR6" s="181" t="e">
        <f>HLOOKUP($AR$3,VaR_Calculo_Historico!$C$2:$ET$103,B6+1,0)</f>
        <v>#N/A</v>
      </c>
      <c r="AS6" s="182" t="e">
        <f>LN(AR6/AR5)</f>
        <v>#N/A</v>
      </c>
      <c r="AT6" s="181" t="e">
        <f>HLOOKUP($AT$3,VaR_Calculo_Historico!$C$2:$ET$103,B6+1,0)</f>
        <v>#N/A</v>
      </c>
      <c r="AU6" s="182" t="e">
        <f>LN(AT6/AT5)</f>
        <v>#N/A</v>
      </c>
      <c r="AV6" s="181" t="e">
        <f>HLOOKUP($AV$3,VaR_Calculo_Historico!$C$2:$ET$103,B6+1,0)</f>
        <v>#N/A</v>
      </c>
      <c r="AW6" s="223" t="e">
        <f>LN(AV6/AV5)</f>
        <v>#N/A</v>
      </c>
      <c r="AX6" s="181" t="e">
        <f>HLOOKUP($AX$3,VaR_Calculo_Historico!$C$2:$ET$103,B6+1,0)</f>
        <v>#N/A</v>
      </c>
      <c r="AY6" s="182" t="e">
        <f>LN(AX6/AX5)</f>
        <v>#N/A</v>
      </c>
      <c r="AZ6" s="181" t="e">
        <f>HLOOKUP($AZ$3,VaR_Calculo_Historico!$C$2:$ET$103,B6+1,0)</f>
        <v>#N/A</v>
      </c>
      <c r="BA6" s="182" t="e">
        <f>LN(AZ6/AZ5)</f>
        <v>#N/A</v>
      </c>
      <c r="BB6" s="181" t="e">
        <f>HLOOKUP($BB$3,VaR_Calculo_Historico!$C$2:$ET$103,B6+1,0)</f>
        <v>#N/A</v>
      </c>
      <c r="BC6" s="182" t="e">
        <f>LN(BB6/BB5)</f>
        <v>#N/A</v>
      </c>
      <c r="BD6" s="181" t="e">
        <f>HLOOKUP($BD$3,VaR_Calculo_Historico!$C$2:$ET$103,B6+1,0)</f>
        <v>#N/A</v>
      </c>
      <c r="BE6" s="182" t="e">
        <f>LN(BD6/BD5)</f>
        <v>#N/A</v>
      </c>
      <c r="BF6" s="181" t="e">
        <f>HLOOKUP($BF$3,VaR_Calculo_Historico!$C$2:$ET$103,B6+1,0)</f>
        <v>#N/A</v>
      </c>
      <c r="BG6" t="e">
        <f>LN(BF6/BF5)</f>
        <v>#N/A</v>
      </c>
      <c r="BH6" s="181" t="e">
        <f>HLOOKUP($BH$3,VaR_Calculo_Historico!$C$2:$ET$103,B6+1,0)</f>
        <v>#N/A</v>
      </c>
      <c r="BI6" s="223" t="e">
        <f>LN(BH6/BH5)</f>
        <v>#N/A</v>
      </c>
      <c r="BJ6" s="181" t="e">
        <f>HLOOKUP($BJ$3,VaR_Calculo_Historico!$C$2:$ET$103,B6+1,0)</f>
        <v>#N/A</v>
      </c>
      <c r="BK6" s="223" t="e">
        <f>LN(BJ6/BJ5)</f>
        <v>#N/A</v>
      </c>
      <c r="BL6" s="181" t="e">
        <f>HLOOKUP($BL$3,VaR_Calculo_Historico!$C$2:$ET$103,B6+1,0)</f>
        <v>#N/A</v>
      </c>
      <c r="BM6" s="223" t="e">
        <f>LN(BL6/BL5)</f>
        <v>#N/A</v>
      </c>
      <c r="BN6" s="181" t="e">
        <f>HLOOKUP($BN$3,VaR_Calculo_Historico!$C$2:$EY$103,B6+1,0)</f>
        <v>#N/A</v>
      </c>
      <c r="BO6" s="223" t="e">
        <f>LN(BN6/BN5)</f>
        <v>#N/A</v>
      </c>
    </row>
    <row r="7" spans="1:68" x14ac:dyDescent="0.3">
      <c r="B7">
        <v>3</v>
      </c>
      <c r="C7" s="208">
        <f>VaR_Calculo_Historico!B4</f>
        <v>42314</v>
      </c>
      <c r="D7" s="181">
        <f>HLOOKUP($D$3,VaR_Calculo_Historico!$C$2:$ET$103,B7+1,0)</f>
        <v>3.2734838489999998</v>
      </c>
      <c r="E7" s="182">
        <f t="shared" ref="E7:E70" si="0">LN(D7/D6)</f>
        <v>-8.5535023478059357E-4</v>
      </c>
      <c r="F7" s="181">
        <f>HLOOKUP($F$3,VaR_Calculo_Historico!$C$2:$ET$103,B7+1,0)</f>
        <v>1.563795</v>
      </c>
      <c r="G7" s="182">
        <f t="shared" ref="G7:G70" si="1">LN(F7/F6)</f>
        <v>6.390346764231662E-4</v>
      </c>
      <c r="H7" s="181">
        <f>HLOOKUP($H$3,VaR_Calculo_Historico!$C$2:$ET$103,B7+1,0)</f>
        <v>1.083596515</v>
      </c>
      <c r="I7" s="182">
        <f t="shared" ref="I7:I70" si="2">LN(H7/H6)</f>
        <v>1.0180231278774131E-3</v>
      </c>
      <c r="J7" s="181">
        <f>HLOOKUP($J$3,VaR_Calculo_Historico!$C$2:$ET$103,B7+1,0)</f>
        <v>1.7907679999999999</v>
      </c>
      <c r="K7" s="182">
        <f>LN(J7/J6)</f>
        <v>2.8986179268828988E-4</v>
      </c>
      <c r="L7" s="181">
        <f>HLOOKUP($L$3,VaR_Calculo_Historico!$C$2:$ET$103,B7+1,0)</f>
        <v>1.0551269999999999</v>
      </c>
      <c r="M7" s="182">
        <f t="shared" ref="M7:M70" si="3">LN(L7/L6)</f>
        <v>8.4765052293507277E-4</v>
      </c>
      <c r="N7" s="181">
        <f>HLOOKUP($N$3,VaR_Calculo_Historico!$C$2:$ET$103,B7+1,0)</f>
        <v>2.5445630000000001</v>
      </c>
      <c r="O7" s="182">
        <f t="shared" ref="O7:O70" si="4">LN(N7/N6)</f>
        <v>5.2950414374217211E-4</v>
      </c>
      <c r="P7" s="181">
        <f>HLOOKUP($P$3,VaR_Calculo_Historico!$C$2:$ET$103,B7+1,0)</f>
        <v>1.7098990000000001</v>
      </c>
      <c r="Q7" s="182">
        <f t="shared" ref="Q7:Q70" si="5">LN(P7/P6)</f>
        <v>2.6028316030089538E-4</v>
      </c>
      <c r="R7" s="181">
        <f>HLOOKUP($R$3,VaR_Calculo_Historico!$C$2:$ET$103,B7+1,0)</f>
        <v>1.2394339999999999</v>
      </c>
      <c r="S7" s="182">
        <f t="shared" ref="S7:S70" si="6">LN(R7/R6)</f>
        <v>-1.5607846432173053E-3</v>
      </c>
      <c r="T7" s="181" t="e">
        <f>HLOOKUP($T$3,VaR_Calculo_Historico!$C$2:$ET$103,B7+1,0)</f>
        <v>#N/A</v>
      </c>
      <c r="U7" s="182" t="e">
        <f t="shared" ref="U7:U70" si="7">LN(T7/T6)</f>
        <v>#N/A</v>
      </c>
      <c r="V7" s="181" t="e">
        <f>HLOOKUP($V$3,VaR_Calculo_Historico!$C$2:$ET$103,B7+1,0)</f>
        <v>#N/A</v>
      </c>
      <c r="W7" s="182" t="e">
        <f t="shared" ref="W7:W70" si="8">LN(V7/V6)</f>
        <v>#N/A</v>
      </c>
      <c r="X7" s="181" t="e">
        <f>HLOOKUP($X$3,VaR_Calculo_Historico!$C$2:$ET$103,B7+1,0)</f>
        <v>#N/A</v>
      </c>
      <c r="Y7" s="182" t="e">
        <f t="shared" ref="Y7:Y70" si="9">LN(X7/X6)</f>
        <v>#N/A</v>
      </c>
      <c r="Z7" s="181" t="e">
        <f>HLOOKUP($Z$3,VaR_Calculo_Historico!$C$2:$ET$103,B7+1,0)</f>
        <v>#N/A</v>
      </c>
      <c r="AA7" s="182" t="e">
        <f t="shared" ref="AA7:AA70" si="10">LN(Z7/Z6)</f>
        <v>#N/A</v>
      </c>
      <c r="AB7" s="181" t="e">
        <f>HLOOKUP($AB$3,VaR_Calculo_Historico!$C$2:$ET$103,B7+1,0)</f>
        <v>#N/A</v>
      </c>
      <c r="AC7" s="182" t="e">
        <f t="shared" ref="AC7:AC70" si="11">LN(AB7/AB6)</f>
        <v>#N/A</v>
      </c>
      <c r="AD7" s="181" t="e">
        <f>HLOOKUP($AD$3,VaR_Calculo_Historico!$C$2:$ET$103,B7+1,0)</f>
        <v>#N/A</v>
      </c>
      <c r="AE7" s="182" t="e">
        <f t="shared" ref="AE7:AE70" si="12">LN(AD7/AD6)</f>
        <v>#N/A</v>
      </c>
      <c r="AF7" s="181" t="e">
        <f>HLOOKUP($AF$3,VaR_Calculo_Historico!$C$2:$FZS$104,B7+1,0)</f>
        <v>#N/A</v>
      </c>
      <c r="AG7" s="182" t="e">
        <f t="shared" ref="AG7:AG70" si="13">LN(AF7/AF6)</f>
        <v>#N/A</v>
      </c>
      <c r="AH7" s="181" t="e">
        <f>HLOOKUP($AH$3,VaR_Calculo_Historico!$C$2:$FS$104,B7+1,0)</f>
        <v>#N/A</v>
      </c>
      <c r="AI7" s="182" t="e">
        <f t="shared" ref="AI7:AI70" si="14">LN(AH7/AH6)</f>
        <v>#N/A</v>
      </c>
      <c r="AJ7" s="181" t="e">
        <f>HLOOKUP($AJ$3,VaR_Calculo_Historico!$C$2:$ET$103,B7+1,0)</f>
        <v>#N/A</v>
      </c>
      <c r="AK7" s="182" t="e">
        <f t="shared" ref="AK7:AK70" si="15">LN(AJ7/AJ6)</f>
        <v>#N/A</v>
      </c>
      <c r="AL7" s="181" t="e">
        <f>HLOOKUP($AL$3,VaR_Calculo_Historico!$C$2:$ET$103,B7+1,0)</f>
        <v>#N/A</v>
      </c>
      <c r="AM7" s="182" t="e">
        <f t="shared" ref="AM7:AM70" si="16">LN(AL7/AL6)</f>
        <v>#N/A</v>
      </c>
      <c r="AN7" s="181" t="e">
        <f>HLOOKUP($AN$3,VaR_Calculo_Historico!$C$2:$ET$103,B7+1,0)</f>
        <v>#N/A</v>
      </c>
      <c r="AO7" s="182" t="e">
        <f t="shared" ref="AO7:AO70" si="17">LN(AN7/AN6)</f>
        <v>#N/A</v>
      </c>
      <c r="AP7" s="181" t="e">
        <f>HLOOKUP($AP$3,VaR_Calculo_Historico!$C$2:$ET$103,B7+1,0)</f>
        <v>#N/A</v>
      </c>
      <c r="AQ7" s="182" t="e">
        <f t="shared" ref="AQ7:AQ70" si="18">LN(AP7/AP6)</f>
        <v>#N/A</v>
      </c>
      <c r="AR7" s="181" t="e">
        <f>HLOOKUP($AR$3,VaR_Calculo_Historico!$C$2:$ET$103,B7+1,0)</f>
        <v>#N/A</v>
      </c>
      <c r="AS7" s="182" t="e">
        <f t="shared" ref="AS7:AS70" si="19">LN(AR7/AR6)</f>
        <v>#N/A</v>
      </c>
      <c r="AT7" s="181" t="e">
        <f>HLOOKUP($AT$3,VaR_Calculo_Historico!$C$2:$ET$103,B7+1,0)</f>
        <v>#N/A</v>
      </c>
      <c r="AU7" s="182" t="e">
        <f t="shared" ref="AU7:AU70" si="20">LN(AT7/AT6)</f>
        <v>#N/A</v>
      </c>
      <c r="AV7" s="181" t="e">
        <f>HLOOKUP($AV$3,VaR_Calculo_Historico!$C$2:$ET$103,B7+1,0)</f>
        <v>#N/A</v>
      </c>
      <c r="AW7" s="223" t="e">
        <f t="shared" ref="AW7:AW70" si="21">LN(AV7/AV6)</f>
        <v>#N/A</v>
      </c>
      <c r="AX7" s="181" t="e">
        <f>HLOOKUP($AX$3,VaR_Calculo_Historico!$C$2:$ET$103,B7+1,0)</f>
        <v>#N/A</v>
      </c>
      <c r="AY7" s="182" t="e">
        <f t="shared" ref="AY7:AY70" si="22">LN(AX7/AX6)</f>
        <v>#N/A</v>
      </c>
      <c r="AZ7" s="181" t="e">
        <f>HLOOKUP($AZ$3,VaR_Calculo_Historico!$C$2:$ET$103,B7+1,0)</f>
        <v>#N/A</v>
      </c>
      <c r="BA7" s="182" t="e">
        <f t="shared" ref="BA7:BA70" si="23">LN(AZ7/AZ6)</f>
        <v>#N/A</v>
      </c>
      <c r="BB7" s="181" t="e">
        <f>HLOOKUP($BB$3,VaR_Calculo_Historico!$C$2:$ET$103,B7+1,0)</f>
        <v>#N/A</v>
      </c>
      <c r="BC7" s="182" t="e">
        <f t="shared" ref="BC7:BC70" si="24">LN(BB7/BB6)</f>
        <v>#N/A</v>
      </c>
      <c r="BD7" s="181" t="e">
        <f>HLOOKUP($BD$3,VaR_Calculo_Historico!$C$2:$ET$103,B7+1,0)</f>
        <v>#N/A</v>
      </c>
      <c r="BE7" s="182" t="e">
        <f t="shared" ref="BE7:BE70" si="25">LN(BD7/BD6)</f>
        <v>#N/A</v>
      </c>
      <c r="BF7" s="181" t="e">
        <f>HLOOKUP($BF$3,VaR_Calculo_Historico!$C$2:$ET$103,B7+1,0)</f>
        <v>#N/A</v>
      </c>
      <c r="BG7" s="182" t="e">
        <f t="shared" ref="BG7:BG70" si="26">LN(BF7/BF6)</f>
        <v>#N/A</v>
      </c>
      <c r="BH7" s="181" t="e">
        <f>HLOOKUP($BH$3,VaR_Calculo_Historico!$C$2:$ET$103,B7+1,0)</f>
        <v>#N/A</v>
      </c>
      <c r="BI7" s="223" t="e">
        <f t="shared" ref="BI7:BI70" si="27">LN(BH7/BH6)</f>
        <v>#N/A</v>
      </c>
      <c r="BJ7" s="181" t="e">
        <f>HLOOKUP($BJ$3,VaR_Calculo_Historico!$C$2:$ET$103,B7+1,0)</f>
        <v>#N/A</v>
      </c>
      <c r="BK7" s="223" t="e">
        <f t="shared" ref="BK7:BK70" si="28">LN(BJ7/BJ6)</f>
        <v>#N/A</v>
      </c>
      <c r="BL7" s="181" t="e">
        <f>HLOOKUP($BL$3,VaR_Calculo_Historico!$C$2:$ET$103,B7+1,0)</f>
        <v>#N/A</v>
      </c>
      <c r="BM7" s="223" t="e">
        <f t="shared" ref="BM7:BM70" si="29">LN(BL7/BL6)</f>
        <v>#N/A</v>
      </c>
      <c r="BN7" s="181" t="e">
        <f>HLOOKUP($BN$3,VaR_Calculo_Historico!$C$2:$EY$103,B7+1,0)</f>
        <v>#N/A</v>
      </c>
      <c r="BO7" s="223" t="e">
        <f t="shared" ref="BO7:BO70" si="30">LN(BN7/BN6)</f>
        <v>#N/A</v>
      </c>
    </row>
    <row r="8" spans="1:68" x14ac:dyDescent="0.3">
      <c r="B8" s="166">
        <v>4</v>
      </c>
      <c r="C8" s="208">
        <f>VaR_Calculo_Historico!B5</f>
        <v>42317</v>
      </c>
      <c r="D8" s="181">
        <f>HLOOKUP($D$3,VaR_Calculo_Historico!$C$2:$ET$103,B8+1,0)</f>
        <v>3.2747500390000002</v>
      </c>
      <c r="E8" s="182">
        <f t="shared" si="0"/>
        <v>3.8672718092771271E-4</v>
      </c>
      <c r="F8" s="181">
        <f>HLOOKUP($F$3,VaR_Calculo_Historico!$C$2:$ET$103,B8+1,0)</f>
        <v>1.564613</v>
      </c>
      <c r="G8" s="182">
        <f t="shared" si="1"/>
        <v>5.2294970390187297E-4</v>
      </c>
      <c r="H8" s="181">
        <f>HLOOKUP($H$3,VaR_Calculo_Historico!$C$2:$ET$103,B8+1,0)</f>
        <v>1.0846482829999999</v>
      </c>
      <c r="I8" s="182">
        <f t="shared" si="2"/>
        <v>9.7015621433887555E-4</v>
      </c>
      <c r="J8" s="181">
        <f>HLOOKUP($J$3,VaR_Calculo_Historico!$C$2:$ET$103,B8+1,0)</f>
        <v>1.7915540000000001</v>
      </c>
      <c r="K8" s="182">
        <f>LN(J8/J7)</f>
        <v>4.3882153118188113E-4</v>
      </c>
      <c r="L8" s="181">
        <f>HLOOKUP($L$3,VaR_Calculo_Historico!$C$2:$ET$103,B8+1,0)</f>
        <v>1.056128</v>
      </c>
      <c r="M8" s="182">
        <f t="shared" si="3"/>
        <v>9.4825122972515654E-4</v>
      </c>
      <c r="N8" s="181">
        <f>HLOOKUP($N$3,VaR_Calculo_Historico!$C$2:$ET$103,B8+1,0)</f>
        <v>2.5459010000000002</v>
      </c>
      <c r="O8" s="182">
        <f t="shared" si="4"/>
        <v>5.2568882947133869E-4</v>
      </c>
      <c r="P8" s="181">
        <f>HLOOKUP($P$3,VaR_Calculo_Historico!$C$2:$ET$103,B8+1,0)</f>
        <v>1.710637</v>
      </c>
      <c r="Q8" s="182">
        <f t="shared" si="5"/>
        <v>4.3151132538949159E-4</v>
      </c>
      <c r="R8" s="181">
        <f>HLOOKUP($R$3,VaR_Calculo_Historico!$C$2:$ET$103,B8+1,0)</f>
        <v>1.2397450000000001</v>
      </c>
      <c r="S8" s="182">
        <f t="shared" si="6"/>
        <v>2.5088950949609941E-4</v>
      </c>
      <c r="T8" s="181" t="e">
        <f>HLOOKUP($T$3,VaR_Calculo_Historico!$C$2:$ET$103,B8+1,0)</f>
        <v>#N/A</v>
      </c>
      <c r="U8" s="182" t="e">
        <f t="shared" si="7"/>
        <v>#N/A</v>
      </c>
      <c r="V8" s="181" t="e">
        <f>HLOOKUP($V$3,VaR_Calculo_Historico!$C$2:$ET$103,B8+1,0)</f>
        <v>#N/A</v>
      </c>
      <c r="W8" s="182" t="e">
        <f t="shared" si="8"/>
        <v>#N/A</v>
      </c>
      <c r="X8" s="181" t="e">
        <f>HLOOKUP($X$3,VaR_Calculo_Historico!$C$2:$ET$103,B8+1,0)</f>
        <v>#N/A</v>
      </c>
      <c r="Y8" s="182" t="e">
        <f t="shared" si="9"/>
        <v>#N/A</v>
      </c>
      <c r="Z8" s="181" t="e">
        <f>HLOOKUP($Z$3,VaR_Calculo_Historico!$C$2:$ET$103,B8+1,0)</f>
        <v>#N/A</v>
      </c>
      <c r="AA8" s="182" t="e">
        <f t="shared" si="10"/>
        <v>#N/A</v>
      </c>
      <c r="AB8" s="181" t="e">
        <f>HLOOKUP($AB$3,VaR_Calculo_Historico!$C$2:$ET$103,B8+1,0)</f>
        <v>#N/A</v>
      </c>
      <c r="AC8" s="182" t="e">
        <f t="shared" si="11"/>
        <v>#N/A</v>
      </c>
      <c r="AD8" s="181" t="e">
        <f>HLOOKUP($AD$3,VaR_Calculo_Historico!$C$2:$ET$103,B8+1,0)</f>
        <v>#N/A</v>
      </c>
      <c r="AE8" s="182" t="e">
        <f t="shared" si="12"/>
        <v>#N/A</v>
      </c>
      <c r="AF8" s="181" t="e">
        <f>HLOOKUP($AF$3,VaR_Calculo_Historico!$C$2:$FZS$104,B8+1,0)</f>
        <v>#N/A</v>
      </c>
      <c r="AG8" s="182" t="e">
        <f t="shared" si="13"/>
        <v>#N/A</v>
      </c>
      <c r="AH8" s="181" t="e">
        <f>HLOOKUP($AH$3,VaR_Calculo_Historico!$C$2:$FS$104,B8+1,0)</f>
        <v>#N/A</v>
      </c>
      <c r="AI8" s="182" t="e">
        <f t="shared" si="14"/>
        <v>#N/A</v>
      </c>
      <c r="AJ8" s="181" t="e">
        <f>HLOOKUP($AJ$3,VaR_Calculo_Historico!$C$2:$ET$103,B8+1,0)</f>
        <v>#N/A</v>
      </c>
      <c r="AK8" s="182" t="e">
        <f t="shared" si="15"/>
        <v>#N/A</v>
      </c>
      <c r="AL8" s="181" t="e">
        <f>HLOOKUP($AL$3,VaR_Calculo_Historico!$C$2:$ET$103,B8+1,0)</f>
        <v>#N/A</v>
      </c>
      <c r="AM8" s="182" t="e">
        <f t="shared" si="16"/>
        <v>#N/A</v>
      </c>
      <c r="AN8" s="181" t="e">
        <f>HLOOKUP($AN$3,VaR_Calculo_Historico!$C$2:$ET$103,B8+1,0)</f>
        <v>#N/A</v>
      </c>
      <c r="AO8" s="182" t="e">
        <f t="shared" si="17"/>
        <v>#N/A</v>
      </c>
      <c r="AP8" s="181" t="e">
        <f>HLOOKUP($AP$3,VaR_Calculo_Historico!$C$2:$ET$103,B8+1,0)</f>
        <v>#N/A</v>
      </c>
      <c r="AQ8" s="182" t="e">
        <f t="shared" si="18"/>
        <v>#N/A</v>
      </c>
      <c r="AR8" s="181" t="e">
        <f>HLOOKUP($AR$3,VaR_Calculo_Historico!$C$2:$ET$103,B8+1,0)</f>
        <v>#N/A</v>
      </c>
      <c r="AS8" s="182" t="e">
        <f t="shared" si="19"/>
        <v>#N/A</v>
      </c>
      <c r="AT8" s="181" t="e">
        <f>HLOOKUP($AT$3,VaR_Calculo_Historico!$C$2:$ET$103,B8+1,0)</f>
        <v>#N/A</v>
      </c>
      <c r="AU8" s="182" t="e">
        <f t="shared" si="20"/>
        <v>#N/A</v>
      </c>
      <c r="AV8" s="181" t="e">
        <f>HLOOKUP($AV$3,VaR_Calculo_Historico!$C$2:$ET$103,B8+1,0)</f>
        <v>#N/A</v>
      </c>
      <c r="AW8" s="223" t="e">
        <f t="shared" si="21"/>
        <v>#N/A</v>
      </c>
      <c r="AX8" s="181" t="e">
        <f>HLOOKUP($AX$3,VaR_Calculo_Historico!$C$2:$ET$103,B8+1,0)</f>
        <v>#N/A</v>
      </c>
      <c r="AY8" s="182" t="e">
        <f t="shared" si="22"/>
        <v>#N/A</v>
      </c>
      <c r="AZ8" s="181" t="e">
        <f>HLOOKUP($AZ$3,VaR_Calculo_Historico!$C$2:$ET$103,B8+1,0)</f>
        <v>#N/A</v>
      </c>
      <c r="BA8" s="182" t="e">
        <f t="shared" si="23"/>
        <v>#N/A</v>
      </c>
      <c r="BB8" s="181" t="e">
        <f>HLOOKUP($BB$3,VaR_Calculo_Historico!$C$2:$ET$103,B8+1,0)</f>
        <v>#N/A</v>
      </c>
      <c r="BC8" s="182" t="e">
        <f t="shared" si="24"/>
        <v>#N/A</v>
      </c>
      <c r="BD8" s="181" t="e">
        <f>HLOOKUP($BD$3,VaR_Calculo_Historico!$C$2:$ET$103,B8+1,0)</f>
        <v>#N/A</v>
      </c>
      <c r="BE8" s="182" t="e">
        <f t="shared" si="25"/>
        <v>#N/A</v>
      </c>
      <c r="BF8" s="181" t="e">
        <f>HLOOKUP($BF$3,VaR_Calculo_Historico!$C$2:$ET$103,B8+1,0)</f>
        <v>#N/A</v>
      </c>
      <c r="BG8" s="182" t="e">
        <f t="shared" si="26"/>
        <v>#N/A</v>
      </c>
      <c r="BH8" s="181" t="e">
        <f>HLOOKUP($BH$3,VaR_Calculo_Historico!$C$2:$ET$103,B8+1,0)</f>
        <v>#N/A</v>
      </c>
      <c r="BI8" s="223" t="e">
        <f t="shared" si="27"/>
        <v>#N/A</v>
      </c>
      <c r="BJ8" s="181" t="e">
        <f>HLOOKUP($BJ$3,VaR_Calculo_Historico!$C$2:$ET$103,B8+1,0)</f>
        <v>#N/A</v>
      </c>
      <c r="BK8" s="223" t="e">
        <f t="shared" si="28"/>
        <v>#N/A</v>
      </c>
      <c r="BL8" s="181" t="e">
        <f>HLOOKUP($BL$3,VaR_Calculo_Historico!$C$2:$ET$103,B8+1,0)</f>
        <v>#N/A</v>
      </c>
      <c r="BM8" s="223" t="e">
        <f t="shared" si="29"/>
        <v>#N/A</v>
      </c>
      <c r="BN8" s="181" t="e">
        <f>HLOOKUP($BN$3,VaR_Calculo_Historico!$C$2:$EY$103,B8+1,0)</f>
        <v>#N/A</v>
      </c>
      <c r="BO8" s="223" t="e">
        <f t="shared" si="30"/>
        <v>#N/A</v>
      </c>
    </row>
    <row r="9" spans="1:68" x14ac:dyDescent="0.3">
      <c r="B9" s="166">
        <v>5</v>
      </c>
      <c r="C9" s="208">
        <f>VaR_Calculo_Historico!B6</f>
        <v>42318</v>
      </c>
      <c r="D9" s="181">
        <f>HLOOKUP($D$3,VaR_Calculo_Historico!$C$2:$ET$103,B9+1,0)</f>
        <v>3.281491489</v>
      </c>
      <c r="E9" s="182">
        <f t="shared" si="0"/>
        <v>2.0564990923881612E-3</v>
      </c>
      <c r="F9" s="181">
        <f>HLOOKUP($F$3,VaR_Calculo_Historico!$C$2:$ET$103,B9+1,0)</f>
        <v>1.565485</v>
      </c>
      <c r="G9" s="182">
        <f t="shared" si="1"/>
        <v>5.57171067844328E-4</v>
      </c>
      <c r="H9" s="181">
        <f>HLOOKUP($H$3,VaR_Calculo_Historico!$C$2:$ET$103,B9+1,0)</f>
        <v>1.0857669720000001</v>
      </c>
      <c r="I9" s="182">
        <f t="shared" si="2"/>
        <v>1.0308525951319171E-3</v>
      </c>
      <c r="J9" s="181">
        <f>HLOOKUP($J$3,VaR_Calculo_Historico!$C$2:$ET$103,B9+1,0)</f>
        <v>1.7926340000000001</v>
      </c>
      <c r="K9" s="182">
        <f t="shared" ref="K9:K70" si="31">LN(J9/J8)</f>
        <v>6.026469776063369E-4</v>
      </c>
      <c r="L9" s="181">
        <f>HLOOKUP($L$3,VaR_Calculo_Historico!$C$2:$ET$103,B9+1,0)</f>
        <v>1.0568740000000001</v>
      </c>
      <c r="M9" s="182">
        <f t="shared" si="3"/>
        <v>7.0610442488492796E-4</v>
      </c>
      <c r="N9" s="181">
        <f>HLOOKUP($N$3,VaR_Calculo_Historico!$C$2:$ET$103,B9+1,0)</f>
        <v>2.5472329999999999</v>
      </c>
      <c r="O9" s="182">
        <f t="shared" si="4"/>
        <v>5.2305713156883683E-4</v>
      </c>
      <c r="P9" s="181">
        <f>HLOOKUP($P$3,VaR_Calculo_Historico!$C$2:$ET$103,B9+1,0)</f>
        <v>1.711684</v>
      </c>
      <c r="Q9" s="182">
        <f t="shared" si="5"/>
        <v>6.1186547531024631E-4</v>
      </c>
      <c r="R9" s="181">
        <f>HLOOKUP($R$3,VaR_Calculo_Historico!$C$2:$ET$103,B9+1,0)</f>
        <v>1.2436229999999999</v>
      </c>
      <c r="S9" s="182">
        <f t="shared" si="6"/>
        <v>3.1231804164743851E-3</v>
      </c>
      <c r="T9" s="181" t="e">
        <f>HLOOKUP($T$3,VaR_Calculo_Historico!$C$2:$ET$103,B9+1,0)</f>
        <v>#N/A</v>
      </c>
      <c r="U9" s="182" t="e">
        <f t="shared" si="7"/>
        <v>#N/A</v>
      </c>
      <c r="V9" s="181" t="e">
        <f>HLOOKUP($V$3,VaR_Calculo_Historico!$C$2:$ET$103,B9+1,0)</f>
        <v>#N/A</v>
      </c>
      <c r="W9" s="182" t="e">
        <f t="shared" si="8"/>
        <v>#N/A</v>
      </c>
      <c r="X9" s="181" t="e">
        <f>HLOOKUP($X$3,VaR_Calculo_Historico!$C$2:$ET$103,B9+1,0)</f>
        <v>#N/A</v>
      </c>
      <c r="Y9" s="182" t="e">
        <f t="shared" si="9"/>
        <v>#N/A</v>
      </c>
      <c r="Z9" s="181" t="e">
        <f>HLOOKUP($Z$3,VaR_Calculo_Historico!$C$2:$ET$103,B9+1,0)</f>
        <v>#N/A</v>
      </c>
      <c r="AA9" s="182" t="e">
        <f t="shared" si="10"/>
        <v>#N/A</v>
      </c>
      <c r="AB9" s="181" t="e">
        <f>HLOOKUP($AB$3,VaR_Calculo_Historico!$C$2:$ET$103,B9+1,0)</f>
        <v>#N/A</v>
      </c>
      <c r="AC9" s="182" t="e">
        <f t="shared" si="11"/>
        <v>#N/A</v>
      </c>
      <c r="AD9" s="181" t="e">
        <f>HLOOKUP($AD$3,VaR_Calculo_Historico!$C$2:$ET$103,B9+1,0)</f>
        <v>#N/A</v>
      </c>
      <c r="AE9" s="182" t="e">
        <f t="shared" si="12"/>
        <v>#N/A</v>
      </c>
      <c r="AF9" s="181" t="e">
        <f>HLOOKUP($AF$3,VaR_Calculo_Historico!$C$2:$FZS$104,B9+1,0)</f>
        <v>#N/A</v>
      </c>
      <c r="AG9" s="182" t="e">
        <f t="shared" si="13"/>
        <v>#N/A</v>
      </c>
      <c r="AH9" s="181" t="e">
        <f>HLOOKUP($AH$3,VaR_Calculo_Historico!$C$2:$FS$104,B9+1,0)</f>
        <v>#N/A</v>
      </c>
      <c r="AI9" s="182" t="e">
        <f t="shared" si="14"/>
        <v>#N/A</v>
      </c>
      <c r="AJ9" s="181" t="e">
        <f>HLOOKUP($AJ$3,VaR_Calculo_Historico!$C$2:$ET$103,B9+1,0)</f>
        <v>#N/A</v>
      </c>
      <c r="AK9" s="182" t="e">
        <f t="shared" si="15"/>
        <v>#N/A</v>
      </c>
      <c r="AL9" s="181" t="e">
        <f>HLOOKUP($AL$3,VaR_Calculo_Historico!$C$2:$ET$103,B9+1,0)</f>
        <v>#N/A</v>
      </c>
      <c r="AM9" s="182" t="e">
        <f t="shared" si="16"/>
        <v>#N/A</v>
      </c>
      <c r="AN9" s="181" t="e">
        <f>HLOOKUP($AN$3,VaR_Calculo_Historico!$C$2:$ET$103,B9+1,0)</f>
        <v>#N/A</v>
      </c>
      <c r="AO9" s="182" t="e">
        <f t="shared" si="17"/>
        <v>#N/A</v>
      </c>
      <c r="AP9" s="181" t="e">
        <f>HLOOKUP($AP$3,VaR_Calculo_Historico!$C$2:$ET$103,B9+1,0)</f>
        <v>#N/A</v>
      </c>
      <c r="AQ9" s="182" t="e">
        <f t="shared" si="18"/>
        <v>#N/A</v>
      </c>
      <c r="AR9" s="181" t="e">
        <f>HLOOKUP($AR$3,VaR_Calculo_Historico!$C$2:$ET$103,B9+1,0)</f>
        <v>#N/A</v>
      </c>
      <c r="AS9" s="182" t="e">
        <f t="shared" si="19"/>
        <v>#N/A</v>
      </c>
      <c r="AT9" s="181" t="e">
        <f>HLOOKUP($AT$3,VaR_Calculo_Historico!$C$2:$ET$103,B9+1,0)</f>
        <v>#N/A</v>
      </c>
      <c r="AU9" s="182" t="e">
        <f t="shared" si="20"/>
        <v>#N/A</v>
      </c>
      <c r="AV9" s="181" t="e">
        <f>HLOOKUP($AV$3,VaR_Calculo_Historico!$C$2:$ET$103,B9+1,0)</f>
        <v>#N/A</v>
      </c>
      <c r="AW9" s="223" t="e">
        <f t="shared" si="21"/>
        <v>#N/A</v>
      </c>
      <c r="AX9" s="181" t="e">
        <f>HLOOKUP($AX$3,VaR_Calculo_Historico!$C$2:$ET$103,B9+1,0)</f>
        <v>#N/A</v>
      </c>
      <c r="AY9" s="182" t="e">
        <f t="shared" si="22"/>
        <v>#N/A</v>
      </c>
      <c r="AZ9" s="181" t="e">
        <f>HLOOKUP($AZ$3,VaR_Calculo_Historico!$C$2:$ET$103,B9+1,0)</f>
        <v>#N/A</v>
      </c>
      <c r="BA9" s="182" t="e">
        <f t="shared" si="23"/>
        <v>#N/A</v>
      </c>
      <c r="BB9" s="181" t="e">
        <f>HLOOKUP($BB$3,VaR_Calculo_Historico!$C$2:$ET$103,B9+1,0)</f>
        <v>#N/A</v>
      </c>
      <c r="BC9" s="182" t="e">
        <f t="shared" si="24"/>
        <v>#N/A</v>
      </c>
      <c r="BD9" s="181" t="e">
        <f>HLOOKUP($BD$3,VaR_Calculo_Historico!$C$2:$ET$103,B9+1,0)</f>
        <v>#N/A</v>
      </c>
      <c r="BE9" s="182" t="e">
        <f t="shared" si="25"/>
        <v>#N/A</v>
      </c>
      <c r="BF9" s="181" t="e">
        <f>HLOOKUP($BF$3,VaR_Calculo_Historico!$C$2:$ET$103,B9+1,0)</f>
        <v>#N/A</v>
      </c>
      <c r="BG9" s="182" t="e">
        <f t="shared" si="26"/>
        <v>#N/A</v>
      </c>
      <c r="BH9" s="181" t="e">
        <f>HLOOKUP($BH$3,VaR_Calculo_Historico!$C$2:$ET$103,B9+1,0)</f>
        <v>#N/A</v>
      </c>
      <c r="BI9" s="223" t="e">
        <f t="shared" si="27"/>
        <v>#N/A</v>
      </c>
      <c r="BJ9" s="181" t="e">
        <f>HLOOKUP($BJ$3,VaR_Calculo_Historico!$C$2:$ET$103,B9+1,0)</f>
        <v>#N/A</v>
      </c>
      <c r="BK9" s="223" t="e">
        <f t="shared" si="28"/>
        <v>#N/A</v>
      </c>
      <c r="BL9" s="181" t="e">
        <f>HLOOKUP($BL$3,VaR_Calculo_Historico!$C$2:$ET$103,B9+1,0)</f>
        <v>#N/A</v>
      </c>
      <c r="BM9" s="223" t="e">
        <f t="shared" si="29"/>
        <v>#N/A</v>
      </c>
      <c r="BN9" s="181" t="e">
        <f>HLOOKUP($BN$3,VaR_Calculo_Historico!$C$2:$EY$103,B9+1,0)</f>
        <v>#N/A</v>
      </c>
      <c r="BO9" s="223" t="e">
        <f t="shared" si="30"/>
        <v>#N/A</v>
      </c>
    </row>
    <row r="10" spans="1:68" x14ac:dyDescent="0.3">
      <c r="B10" s="166">
        <v>6</v>
      </c>
      <c r="C10" s="208">
        <f>VaR_Calculo_Historico!B7</f>
        <v>42319</v>
      </c>
      <c r="D10" s="181">
        <f>HLOOKUP($D$3,VaR_Calculo_Historico!$C$2:$ET$103,B10+1,0)</f>
        <v>3.284634982</v>
      </c>
      <c r="E10" s="182">
        <f t="shared" si="0"/>
        <v>9.5748787478959084E-4</v>
      </c>
      <c r="F10" s="181">
        <f>HLOOKUP($F$3,VaR_Calculo_Historico!$C$2:$ET$103,B10+1,0)</f>
        <v>1.5663130000000001</v>
      </c>
      <c r="G10" s="182">
        <f t="shared" si="1"/>
        <v>5.2876974778857608E-4</v>
      </c>
      <c r="H10" s="181">
        <f>HLOOKUP($H$3,VaR_Calculo_Historico!$C$2:$ET$103,B10+1,0)</f>
        <v>1.0861718469999999</v>
      </c>
      <c r="I10" s="182">
        <f t="shared" si="2"/>
        <v>3.7282358153723931E-4</v>
      </c>
      <c r="J10" s="181">
        <f>HLOOKUP($J$3,VaR_Calculo_Historico!$C$2:$ET$103,B10+1,0)</f>
        <v>1.793442</v>
      </c>
      <c r="K10" s="182">
        <f>LN(J10/J9)</f>
        <v>4.5063184030302758E-4</v>
      </c>
      <c r="L10" s="181">
        <f>HLOOKUP($L$3,VaR_Calculo_Historico!$C$2:$ET$103,B10+1,0)</f>
        <v>1.057388</v>
      </c>
      <c r="M10" s="182">
        <f t="shared" si="3"/>
        <v>4.8622167936245692E-4</v>
      </c>
      <c r="N10" s="181">
        <f>HLOOKUP($N$3,VaR_Calculo_Historico!$C$2:$ET$103,B10+1,0)</f>
        <v>2.548184</v>
      </c>
      <c r="O10" s="182">
        <f t="shared" si="4"/>
        <v>3.7327661741622787E-4</v>
      </c>
      <c r="P10" s="181">
        <f>HLOOKUP($P$3,VaR_Calculo_Historico!$C$2:$ET$103,B10+1,0)</f>
        <v>1.712445</v>
      </c>
      <c r="Q10" s="182">
        <f t="shared" si="5"/>
        <v>4.4449260675014096E-4</v>
      </c>
      <c r="R10" s="181">
        <f>HLOOKUP($R$3,VaR_Calculo_Historico!$C$2:$ET$103,B10+1,0)</f>
        <v>1.245309</v>
      </c>
      <c r="S10" s="182">
        <f t="shared" si="6"/>
        <v>1.3547981687604476E-3</v>
      </c>
      <c r="T10" s="181" t="e">
        <f>HLOOKUP($T$3,VaR_Calculo_Historico!$C$2:$ET$103,B10+1,0)</f>
        <v>#N/A</v>
      </c>
      <c r="U10" s="182" t="e">
        <f t="shared" si="7"/>
        <v>#N/A</v>
      </c>
      <c r="V10" s="181" t="e">
        <f>HLOOKUP($V$3,VaR_Calculo_Historico!$C$2:$ET$103,B10+1,0)</f>
        <v>#N/A</v>
      </c>
      <c r="W10" s="182" t="e">
        <f t="shared" si="8"/>
        <v>#N/A</v>
      </c>
      <c r="X10" s="181" t="e">
        <f>HLOOKUP($X$3,VaR_Calculo_Historico!$C$2:$ET$103,B10+1,0)</f>
        <v>#N/A</v>
      </c>
      <c r="Y10" s="182" t="e">
        <f t="shared" si="9"/>
        <v>#N/A</v>
      </c>
      <c r="Z10" s="181" t="e">
        <f>HLOOKUP($Z$3,VaR_Calculo_Historico!$C$2:$ET$103,B10+1,0)</f>
        <v>#N/A</v>
      </c>
      <c r="AA10" s="182" t="e">
        <f t="shared" si="10"/>
        <v>#N/A</v>
      </c>
      <c r="AB10" s="181" t="e">
        <f>HLOOKUP($AB$3,VaR_Calculo_Historico!$C$2:$ET$103,B10+1,0)</f>
        <v>#N/A</v>
      </c>
      <c r="AC10" s="182" t="e">
        <f t="shared" si="11"/>
        <v>#N/A</v>
      </c>
      <c r="AD10" s="181" t="e">
        <f>HLOOKUP($AD$3,VaR_Calculo_Historico!$C$2:$ET$103,B10+1,0)</f>
        <v>#N/A</v>
      </c>
      <c r="AE10" s="182" t="e">
        <f t="shared" si="12"/>
        <v>#N/A</v>
      </c>
      <c r="AF10" s="181" t="e">
        <f>HLOOKUP($AF$3,VaR_Calculo_Historico!$C$2:$FZS$104,B10+1,0)</f>
        <v>#N/A</v>
      </c>
      <c r="AG10" s="182" t="e">
        <f t="shared" si="13"/>
        <v>#N/A</v>
      </c>
      <c r="AH10" s="181" t="e">
        <f>HLOOKUP($AH$3,VaR_Calculo_Historico!$C$2:$FS$104,B10+1,0)</f>
        <v>#N/A</v>
      </c>
      <c r="AI10" s="182" t="e">
        <f t="shared" si="14"/>
        <v>#N/A</v>
      </c>
      <c r="AJ10" s="181" t="e">
        <f>HLOOKUP($AJ$3,VaR_Calculo_Historico!$C$2:$ET$103,B10+1,0)</f>
        <v>#N/A</v>
      </c>
      <c r="AK10" s="182" t="e">
        <f t="shared" si="15"/>
        <v>#N/A</v>
      </c>
      <c r="AL10" s="181" t="e">
        <f>HLOOKUP($AL$3,VaR_Calculo_Historico!$C$2:$ET$103,B10+1,0)</f>
        <v>#N/A</v>
      </c>
      <c r="AM10" s="182" t="e">
        <f t="shared" si="16"/>
        <v>#N/A</v>
      </c>
      <c r="AN10" s="181" t="e">
        <f>HLOOKUP($AN$3,VaR_Calculo_Historico!$C$2:$ET$103,B10+1,0)</f>
        <v>#N/A</v>
      </c>
      <c r="AO10" s="182" t="e">
        <f t="shared" si="17"/>
        <v>#N/A</v>
      </c>
      <c r="AP10" s="181" t="e">
        <f>HLOOKUP($AP$3,VaR_Calculo_Historico!$C$2:$ET$103,B10+1,0)</f>
        <v>#N/A</v>
      </c>
      <c r="AQ10" s="182" t="e">
        <f t="shared" si="18"/>
        <v>#N/A</v>
      </c>
      <c r="AR10" s="181" t="e">
        <f>HLOOKUP($AR$3,VaR_Calculo_Historico!$C$2:$ET$103,B10+1,0)</f>
        <v>#N/A</v>
      </c>
      <c r="AS10" s="182" t="e">
        <f t="shared" si="19"/>
        <v>#N/A</v>
      </c>
      <c r="AT10" s="181" t="e">
        <f>HLOOKUP($AT$3,VaR_Calculo_Historico!$C$2:$ET$103,B10+1,0)</f>
        <v>#N/A</v>
      </c>
      <c r="AU10" s="182" t="e">
        <f t="shared" si="20"/>
        <v>#N/A</v>
      </c>
      <c r="AV10" s="181" t="e">
        <f>HLOOKUP($AV$3,VaR_Calculo_Historico!$C$2:$ET$103,B10+1,0)</f>
        <v>#N/A</v>
      </c>
      <c r="AW10" s="223" t="e">
        <f t="shared" si="21"/>
        <v>#N/A</v>
      </c>
      <c r="AX10" s="181" t="e">
        <f>HLOOKUP($AX$3,VaR_Calculo_Historico!$C$2:$ET$103,B10+1,0)</f>
        <v>#N/A</v>
      </c>
      <c r="AY10" s="182" t="e">
        <f t="shared" si="22"/>
        <v>#N/A</v>
      </c>
      <c r="AZ10" s="181" t="e">
        <f>HLOOKUP($AZ$3,VaR_Calculo_Historico!$C$2:$ET$103,B10+1,0)</f>
        <v>#N/A</v>
      </c>
      <c r="BA10" s="182" t="e">
        <f t="shared" si="23"/>
        <v>#N/A</v>
      </c>
      <c r="BB10" s="181" t="e">
        <f>HLOOKUP($BB$3,VaR_Calculo_Historico!$C$2:$ET$103,B10+1,0)</f>
        <v>#N/A</v>
      </c>
      <c r="BC10" s="182" t="e">
        <f t="shared" si="24"/>
        <v>#N/A</v>
      </c>
      <c r="BD10" s="181" t="e">
        <f>HLOOKUP($BD$3,VaR_Calculo_Historico!$C$2:$ET$103,B10+1,0)</f>
        <v>#N/A</v>
      </c>
      <c r="BE10" s="182" t="e">
        <f t="shared" si="25"/>
        <v>#N/A</v>
      </c>
      <c r="BF10" s="181" t="e">
        <f>HLOOKUP($BF$3,VaR_Calculo_Historico!$C$2:$ET$103,B10+1,0)</f>
        <v>#N/A</v>
      </c>
      <c r="BG10" s="182" t="e">
        <f t="shared" si="26"/>
        <v>#N/A</v>
      </c>
      <c r="BH10" s="181" t="e">
        <f>HLOOKUP($BH$3,VaR_Calculo_Historico!$C$2:$ET$103,B10+1,0)</f>
        <v>#N/A</v>
      </c>
      <c r="BI10" s="223" t="e">
        <f t="shared" si="27"/>
        <v>#N/A</v>
      </c>
      <c r="BJ10" s="181" t="e">
        <f>HLOOKUP($BJ$3,VaR_Calculo_Historico!$C$2:$ET$103,B10+1,0)</f>
        <v>#N/A</v>
      </c>
      <c r="BK10" s="223" t="e">
        <f t="shared" si="28"/>
        <v>#N/A</v>
      </c>
      <c r="BL10" s="181" t="e">
        <f>HLOOKUP($BL$3,VaR_Calculo_Historico!$C$2:$ET$103,B10+1,0)</f>
        <v>#N/A</v>
      </c>
      <c r="BM10" s="223" t="e">
        <f t="shared" si="29"/>
        <v>#N/A</v>
      </c>
      <c r="BN10" s="181" t="e">
        <f>HLOOKUP($BN$3,VaR_Calculo_Historico!$C$2:$EY$103,B10+1,0)</f>
        <v>#N/A</v>
      </c>
      <c r="BO10" s="223" t="e">
        <f t="shared" si="30"/>
        <v>#N/A</v>
      </c>
    </row>
    <row r="11" spans="1:68" x14ac:dyDescent="0.3">
      <c r="B11" s="166">
        <v>7</v>
      </c>
      <c r="C11" s="208">
        <f>VaR_Calculo_Historico!B8</f>
        <v>42320</v>
      </c>
      <c r="D11" s="181">
        <f>HLOOKUP($D$3,VaR_Calculo_Historico!$C$2:$ET$103,B11+1,0)</f>
        <v>3.283109262</v>
      </c>
      <c r="E11" s="182">
        <f t="shared" si="0"/>
        <v>-4.6461006116050815E-4</v>
      </c>
      <c r="F11" s="181">
        <f>HLOOKUP($F$3,VaR_Calculo_Historico!$C$2:$ET$103,B11+1,0)</f>
        <v>1.5671360000000001</v>
      </c>
      <c r="G11" s="182">
        <f t="shared" si="1"/>
        <v>5.252997696308133E-4</v>
      </c>
      <c r="H11" s="181">
        <f>HLOOKUP($H$3,VaR_Calculo_Historico!$C$2:$ET$103,B11+1,0)</f>
        <v>1.0861488530000001</v>
      </c>
      <c r="I11" s="182">
        <f t="shared" si="2"/>
        <v>-2.116998655004959E-5</v>
      </c>
      <c r="J11" s="181">
        <f>HLOOKUP($J$3,VaR_Calculo_Historico!$C$2:$ET$103,B11+1,0)</f>
        <v>1.794349</v>
      </c>
      <c r="K11" s="182">
        <f>LN(J11/J10)</f>
        <v>5.0560359804775181E-4</v>
      </c>
      <c r="L11" s="181">
        <f>HLOOKUP($L$3,VaR_Calculo_Historico!$C$2:$ET$103,B11+1,0)</f>
        <v>1.057501</v>
      </c>
      <c r="M11" s="182">
        <f t="shared" si="3"/>
        <v>1.068614003926876E-4</v>
      </c>
      <c r="N11" s="181">
        <f>HLOOKUP($N$3,VaR_Calculo_Historico!$C$2:$ET$103,B11+1,0)</f>
        <v>2.549525</v>
      </c>
      <c r="O11" s="182">
        <f t="shared" si="4"/>
        <v>5.2611870584699555E-4</v>
      </c>
      <c r="P11" s="181">
        <f>HLOOKUP($P$3,VaR_Calculo_Historico!$C$2:$ET$103,B11+1,0)</f>
        <v>1.713317</v>
      </c>
      <c r="Q11" s="182">
        <f t="shared" si="5"/>
        <v>5.0908382942703597E-4</v>
      </c>
      <c r="R11" s="181">
        <f>HLOOKUP($R$3,VaR_Calculo_Historico!$C$2:$ET$103,B11+1,0)</f>
        <v>1.244113</v>
      </c>
      <c r="S11" s="182">
        <f t="shared" si="6"/>
        <v>-9.6086568851610327E-4</v>
      </c>
      <c r="T11" s="181" t="e">
        <f>HLOOKUP($T$3,VaR_Calculo_Historico!$C$2:$ET$103,B11+1,0)</f>
        <v>#N/A</v>
      </c>
      <c r="U11" s="182" t="e">
        <f t="shared" si="7"/>
        <v>#N/A</v>
      </c>
      <c r="V11" s="181" t="e">
        <f>HLOOKUP($V$3,VaR_Calculo_Historico!$C$2:$ET$103,B11+1,0)</f>
        <v>#N/A</v>
      </c>
      <c r="W11" s="182" t="e">
        <f t="shared" si="8"/>
        <v>#N/A</v>
      </c>
      <c r="X11" s="181" t="e">
        <f>HLOOKUP($X$3,VaR_Calculo_Historico!$C$2:$ET$103,B11+1,0)</f>
        <v>#N/A</v>
      </c>
      <c r="Y11" s="182" t="e">
        <f t="shared" si="9"/>
        <v>#N/A</v>
      </c>
      <c r="Z11" s="181" t="e">
        <f>HLOOKUP($Z$3,VaR_Calculo_Historico!$C$2:$ET$103,B11+1,0)</f>
        <v>#N/A</v>
      </c>
      <c r="AA11" s="182" t="e">
        <f t="shared" si="10"/>
        <v>#N/A</v>
      </c>
      <c r="AB11" s="181" t="e">
        <f>HLOOKUP($AB$3,VaR_Calculo_Historico!$C$2:$ET$103,B11+1,0)</f>
        <v>#N/A</v>
      </c>
      <c r="AC11" s="182" t="e">
        <f t="shared" si="11"/>
        <v>#N/A</v>
      </c>
      <c r="AD11" s="181" t="e">
        <f>HLOOKUP($AD$3,VaR_Calculo_Historico!$C$2:$ET$103,B11+1,0)</f>
        <v>#N/A</v>
      </c>
      <c r="AE11" s="182" t="e">
        <f t="shared" si="12"/>
        <v>#N/A</v>
      </c>
      <c r="AF11" s="181" t="e">
        <f>HLOOKUP($AF$3,VaR_Calculo_Historico!$C$2:$FZS$104,B11+1,0)</f>
        <v>#N/A</v>
      </c>
      <c r="AG11" s="182" t="e">
        <f t="shared" si="13"/>
        <v>#N/A</v>
      </c>
      <c r="AH11" s="181" t="e">
        <f>HLOOKUP($AH$3,VaR_Calculo_Historico!$C$2:$FS$104,B11+1,0)</f>
        <v>#N/A</v>
      </c>
      <c r="AI11" s="182" t="e">
        <f t="shared" si="14"/>
        <v>#N/A</v>
      </c>
      <c r="AJ11" s="181" t="e">
        <f>HLOOKUP($AJ$3,VaR_Calculo_Historico!$C$2:$ET$103,B11+1,0)</f>
        <v>#N/A</v>
      </c>
      <c r="AK11" s="182" t="e">
        <f t="shared" si="15"/>
        <v>#N/A</v>
      </c>
      <c r="AL11" s="181" t="e">
        <f>HLOOKUP($AL$3,VaR_Calculo_Historico!$C$2:$ET$103,B11+1,0)</f>
        <v>#N/A</v>
      </c>
      <c r="AM11" s="182" t="e">
        <f t="shared" si="16"/>
        <v>#N/A</v>
      </c>
      <c r="AN11" s="181" t="e">
        <f>HLOOKUP($AN$3,VaR_Calculo_Historico!$C$2:$ET$103,B11+1,0)</f>
        <v>#N/A</v>
      </c>
      <c r="AO11" s="182" t="e">
        <f t="shared" si="17"/>
        <v>#N/A</v>
      </c>
      <c r="AP11" s="181" t="e">
        <f>HLOOKUP($AP$3,VaR_Calculo_Historico!$C$2:$ET$103,B11+1,0)</f>
        <v>#N/A</v>
      </c>
      <c r="AQ11" s="182" t="e">
        <f t="shared" si="18"/>
        <v>#N/A</v>
      </c>
      <c r="AR11" s="181" t="e">
        <f>HLOOKUP($AR$3,VaR_Calculo_Historico!$C$2:$ET$103,B11+1,0)</f>
        <v>#N/A</v>
      </c>
      <c r="AS11" s="182" t="e">
        <f t="shared" si="19"/>
        <v>#N/A</v>
      </c>
      <c r="AT11" s="181" t="e">
        <f>HLOOKUP($AT$3,VaR_Calculo_Historico!$C$2:$ET$103,B11+1,0)</f>
        <v>#N/A</v>
      </c>
      <c r="AU11" s="182" t="e">
        <f t="shared" si="20"/>
        <v>#N/A</v>
      </c>
      <c r="AV11" s="181" t="e">
        <f>HLOOKUP($AV$3,VaR_Calculo_Historico!$C$2:$ET$103,B11+1,0)</f>
        <v>#N/A</v>
      </c>
      <c r="AW11" s="223" t="e">
        <f t="shared" si="21"/>
        <v>#N/A</v>
      </c>
      <c r="AX11" s="181" t="e">
        <f>HLOOKUP($AX$3,VaR_Calculo_Historico!$C$2:$ET$103,B11+1,0)</f>
        <v>#N/A</v>
      </c>
      <c r="AY11" s="182" t="e">
        <f t="shared" si="22"/>
        <v>#N/A</v>
      </c>
      <c r="AZ11" s="181" t="e">
        <f>HLOOKUP($AZ$3,VaR_Calculo_Historico!$C$2:$ET$103,B11+1,0)</f>
        <v>#N/A</v>
      </c>
      <c r="BA11" s="182" t="e">
        <f t="shared" si="23"/>
        <v>#N/A</v>
      </c>
      <c r="BB11" s="181" t="e">
        <f>HLOOKUP($BB$3,VaR_Calculo_Historico!$C$2:$ET$103,B11+1,0)</f>
        <v>#N/A</v>
      </c>
      <c r="BC11" s="182" t="e">
        <f t="shared" si="24"/>
        <v>#N/A</v>
      </c>
      <c r="BD11" s="181" t="e">
        <f>HLOOKUP($BD$3,VaR_Calculo_Historico!$C$2:$ET$103,B11+1,0)</f>
        <v>#N/A</v>
      </c>
      <c r="BE11" s="182" t="e">
        <f t="shared" si="25"/>
        <v>#N/A</v>
      </c>
      <c r="BF11" s="181" t="e">
        <f>HLOOKUP($BF$3,VaR_Calculo_Historico!$C$2:$ET$103,B11+1,0)</f>
        <v>#N/A</v>
      </c>
      <c r="BG11" s="182" t="e">
        <f t="shared" si="26"/>
        <v>#N/A</v>
      </c>
      <c r="BH11" s="181" t="e">
        <f>HLOOKUP($BH$3,VaR_Calculo_Historico!$C$2:$ET$103,B11+1,0)</f>
        <v>#N/A</v>
      </c>
      <c r="BI11" s="223" t="e">
        <f t="shared" si="27"/>
        <v>#N/A</v>
      </c>
      <c r="BJ11" s="181" t="e">
        <f>HLOOKUP($BJ$3,VaR_Calculo_Historico!$C$2:$ET$103,B11+1,0)</f>
        <v>#N/A</v>
      </c>
      <c r="BK11" s="223" t="e">
        <f t="shared" si="28"/>
        <v>#N/A</v>
      </c>
      <c r="BL11" s="181" t="e">
        <f>HLOOKUP($BL$3,VaR_Calculo_Historico!$C$2:$ET$103,B11+1,0)</f>
        <v>#N/A</v>
      </c>
      <c r="BM11" s="223" t="e">
        <f t="shared" si="29"/>
        <v>#N/A</v>
      </c>
      <c r="BN11" s="181" t="e">
        <f>HLOOKUP($BN$3,VaR_Calculo_Historico!$C$2:$EY$103,B11+1,0)</f>
        <v>#N/A</v>
      </c>
      <c r="BO11" s="223" t="e">
        <f t="shared" si="30"/>
        <v>#N/A</v>
      </c>
    </row>
    <row r="12" spans="1:68" x14ac:dyDescent="0.3">
      <c r="B12" s="166">
        <v>8</v>
      </c>
      <c r="C12" s="208">
        <f>VaR_Calculo_Historico!B9</f>
        <v>42321</v>
      </c>
      <c r="D12" s="181">
        <f>HLOOKUP($D$3,VaR_Calculo_Historico!$C$2:$ET$103,B12+1,0)</f>
        <v>3.2867940230000001</v>
      </c>
      <c r="E12" s="182">
        <f t="shared" si="0"/>
        <v>1.1217094762323752E-3</v>
      </c>
      <c r="F12" s="181">
        <f>HLOOKUP($F$3,VaR_Calculo_Historico!$C$2:$ET$103,B12+1,0)</f>
        <v>1.567928</v>
      </c>
      <c r="G12" s="182">
        <f t="shared" si="1"/>
        <v>5.0525285407155521E-4</v>
      </c>
      <c r="H12" s="181">
        <f>HLOOKUP($H$3,VaR_Calculo_Historico!$C$2:$ET$103,B12+1,0)</f>
        <v>1.0863249859999999</v>
      </c>
      <c r="I12" s="182">
        <f t="shared" si="2"/>
        <v>1.6214970898517918E-4</v>
      </c>
      <c r="J12" s="181">
        <f>HLOOKUP($J$3,VaR_Calculo_Historico!$C$2:$ET$103,B12+1,0)</f>
        <v>1.795469</v>
      </c>
      <c r="K12" s="182">
        <f t="shared" si="31"/>
        <v>6.2398708588581246E-4</v>
      </c>
      <c r="L12" s="181">
        <f>HLOOKUP($L$3,VaR_Calculo_Historico!$C$2:$ET$103,B12+1,0)</f>
        <v>1.0576950000000001</v>
      </c>
      <c r="M12" s="182">
        <f t="shared" si="3"/>
        <v>1.8343453802303959E-4</v>
      </c>
      <c r="N12" s="181">
        <f>HLOOKUP($N$3,VaR_Calculo_Historico!$C$2:$ET$103,B12+1,0)</f>
        <v>2.5508609999999998</v>
      </c>
      <c r="O12" s="182">
        <f t="shared" si="4"/>
        <v>5.2388192993847206E-4</v>
      </c>
      <c r="P12" s="181">
        <f>HLOOKUP($P$3,VaR_Calculo_Historico!$C$2:$ET$103,B12+1,0)</f>
        <v>1.7144060000000001</v>
      </c>
      <c r="Q12" s="182">
        <f t="shared" si="5"/>
        <v>6.3540725819429314E-4</v>
      </c>
      <c r="R12" s="181">
        <f>HLOOKUP($R$3,VaR_Calculo_Historico!$C$2:$ET$103,B12+1,0)</f>
        <v>1.245916</v>
      </c>
      <c r="S12" s="182">
        <f t="shared" si="6"/>
        <v>1.4481761578731443E-3</v>
      </c>
      <c r="T12" s="181" t="e">
        <f>HLOOKUP($T$3,VaR_Calculo_Historico!$C$2:$ET$103,B12+1,0)</f>
        <v>#N/A</v>
      </c>
      <c r="U12" s="182" t="e">
        <f t="shared" si="7"/>
        <v>#N/A</v>
      </c>
      <c r="V12" s="181" t="e">
        <f>HLOOKUP($V$3,VaR_Calculo_Historico!$C$2:$ET$103,B12+1,0)</f>
        <v>#N/A</v>
      </c>
      <c r="W12" s="182" t="e">
        <f t="shared" si="8"/>
        <v>#N/A</v>
      </c>
      <c r="X12" s="181" t="e">
        <f>HLOOKUP($X$3,VaR_Calculo_Historico!$C$2:$ET$103,B12+1,0)</f>
        <v>#N/A</v>
      </c>
      <c r="Y12" s="182" t="e">
        <f t="shared" si="9"/>
        <v>#N/A</v>
      </c>
      <c r="Z12" s="181" t="e">
        <f>HLOOKUP($Z$3,VaR_Calculo_Historico!$C$2:$ET$103,B12+1,0)</f>
        <v>#N/A</v>
      </c>
      <c r="AA12" s="182" t="e">
        <f t="shared" si="10"/>
        <v>#N/A</v>
      </c>
      <c r="AB12" s="181" t="e">
        <f>HLOOKUP($AB$3,VaR_Calculo_Historico!$C$2:$ET$103,B12+1,0)</f>
        <v>#N/A</v>
      </c>
      <c r="AC12" s="182" t="e">
        <f t="shared" si="11"/>
        <v>#N/A</v>
      </c>
      <c r="AD12" s="181" t="e">
        <f>HLOOKUP($AD$3,VaR_Calculo_Historico!$C$2:$ET$103,B12+1,0)</f>
        <v>#N/A</v>
      </c>
      <c r="AE12" s="182" t="e">
        <f t="shared" si="12"/>
        <v>#N/A</v>
      </c>
      <c r="AF12" s="181" t="e">
        <f>HLOOKUP($AF$3,VaR_Calculo_Historico!$C$2:$FZS$104,B12+1,0)</f>
        <v>#N/A</v>
      </c>
      <c r="AG12" s="182" t="e">
        <f t="shared" si="13"/>
        <v>#N/A</v>
      </c>
      <c r="AH12" s="181" t="e">
        <f>HLOOKUP($AH$3,VaR_Calculo_Historico!$C$2:$FS$104,B12+1,0)</f>
        <v>#N/A</v>
      </c>
      <c r="AI12" s="182" t="e">
        <f t="shared" si="14"/>
        <v>#N/A</v>
      </c>
      <c r="AJ12" s="181" t="e">
        <f>HLOOKUP($AJ$3,VaR_Calculo_Historico!$C$2:$ET$103,B12+1,0)</f>
        <v>#N/A</v>
      </c>
      <c r="AK12" s="182" t="e">
        <f t="shared" si="15"/>
        <v>#N/A</v>
      </c>
      <c r="AL12" s="181" t="e">
        <f>HLOOKUP($AL$3,VaR_Calculo_Historico!$C$2:$ET$103,B12+1,0)</f>
        <v>#N/A</v>
      </c>
      <c r="AM12" s="182" t="e">
        <f t="shared" si="16"/>
        <v>#N/A</v>
      </c>
      <c r="AN12" s="181" t="e">
        <f>HLOOKUP($AN$3,VaR_Calculo_Historico!$C$2:$ET$103,B12+1,0)</f>
        <v>#N/A</v>
      </c>
      <c r="AO12" s="182" t="e">
        <f t="shared" si="17"/>
        <v>#N/A</v>
      </c>
      <c r="AP12" s="181" t="e">
        <f>HLOOKUP($AP$3,VaR_Calculo_Historico!$C$2:$ET$103,B12+1,0)</f>
        <v>#N/A</v>
      </c>
      <c r="AQ12" s="182" t="e">
        <f t="shared" si="18"/>
        <v>#N/A</v>
      </c>
      <c r="AR12" s="181" t="e">
        <f>HLOOKUP($AR$3,VaR_Calculo_Historico!$C$2:$ET$103,B12+1,0)</f>
        <v>#N/A</v>
      </c>
      <c r="AS12" s="182" t="e">
        <f t="shared" si="19"/>
        <v>#N/A</v>
      </c>
      <c r="AT12" s="181" t="e">
        <f>HLOOKUP($AT$3,VaR_Calculo_Historico!$C$2:$ET$103,B12+1,0)</f>
        <v>#N/A</v>
      </c>
      <c r="AU12" s="182" t="e">
        <f t="shared" si="20"/>
        <v>#N/A</v>
      </c>
      <c r="AV12" s="181" t="e">
        <f>HLOOKUP($AV$3,VaR_Calculo_Historico!$C$2:$ET$103,B12+1,0)</f>
        <v>#N/A</v>
      </c>
      <c r="AW12" s="223" t="e">
        <f t="shared" si="21"/>
        <v>#N/A</v>
      </c>
      <c r="AX12" s="181" t="e">
        <f>HLOOKUP($AX$3,VaR_Calculo_Historico!$C$2:$ET$103,B12+1,0)</f>
        <v>#N/A</v>
      </c>
      <c r="AY12" s="182" t="e">
        <f t="shared" si="22"/>
        <v>#N/A</v>
      </c>
      <c r="AZ12" s="181" t="e">
        <f>HLOOKUP($AZ$3,VaR_Calculo_Historico!$C$2:$ET$103,B12+1,0)</f>
        <v>#N/A</v>
      </c>
      <c r="BA12" s="182" t="e">
        <f t="shared" si="23"/>
        <v>#N/A</v>
      </c>
      <c r="BB12" s="181" t="e">
        <f>HLOOKUP($BB$3,VaR_Calculo_Historico!$C$2:$ET$103,B12+1,0)</f>
        <v>#N/A</v>
      </c>
      <c r="BC12" s="182" t="e">
        <f t="shared" si="24"/>
        <v>#N/A</v>
      </c>
      <c r="BD12" s="181" t="e">
        <f>HLOOKUP($BD$3,VaR_Calculo_Historico!$C$2:$ET$103,B12+1,0)</f>
        <v>#N/A</v>
      </c>
      <c r="BE12" s="182" t="e">
        <f t="shared" si="25"/>
        <v>#N/A</v>
      </c>
      <c r="BF12" s="181" t="e">
        <f>HLOOKUP($BF$3,VaR_Calculo_Historico!$C$2:$ET$103,B12+1,0)</f>
        <v>#N/A</v>
      </c>
      <c r="BG12" s="182" t="e">
        <f t="shared" si="26"/>
        <v>#N/A</v>
      </c>
      <c r="BH12" s="181" t="e">
        <f>HLOOKUP($BH$3,VaR_Calculo_Historico!$C$2:$ET$103,B12+1,0)</f>
        <v>#N/A</v>
      </c>
      <c r="BI12" s="223" t="e">
        <f t="shared" si="27"/>
        <v>#N/A</v>
      </c>
      <c r="BJ12" s="181" t="e">
        <f>HLOOKUP($BJ$3,VaR_Calculo_Historico!$C$2:$ET$103,B12+1,0)</f>
        <v>#N/A</v>
      </c>
      <c r="BK12" s="223" t="e">
        <f t="shared" si="28"/>
        <v>#N/A</v>
      </c>
      <c r="BL12" s="181" t="e">
        <f>HLOOKUP($BL$3,VaR_Calculo_Historico!$C$2:$ET$103,B12+1,0)</f>
        <v>#N/A</v>
      </c>
      <c r="BM12" s="223" t="e">
        <f t="shared" si="29"/>
        <v>#N/A</v>
      </c>
      <c r="BN12" s="181" t="e">
        <f>HLOOKUP($BN$3,VaR_Calculo_Historico!$C$2:$EY$103,B12+1,0)</f>
        <v>#N/A</v>
      </c>
      <c r="BO12" s="223" t="e">
        <f t="shared" si="30"/>
        <v>#N/A</v>
      </c>
    </row>
    <row r="13" spans="1:68" x14ac:dyDescent="0.3">
      <c r="B13" s="166">
        <v>9</v>
      </c>
      <c r="C13" s="208">
        <f>VaR_Calculo_Historico!B10</f>
        <v>42324</v>
      </c>
      <c r="D13" s="181">
        <f>HLOOKUP($D$3,VaR_Calculo_Historico!$C$2:$ET$103,B13+1,0)</f>
        <v>3.2883280570000002</v>
      </c>
      <c r="E13" s="182">
        <f t="shared" si="0"/>
        <v>4.6661765642362835E-4</v>
      </c>
      <c r="F13" s="181">
        <f>HLOOKUP($F$3,VaR_Calculo_Historico!$C$2:$ET$103,B13+1,0)</f>
        <v>1.568756</v>
      </c>
      <c r="G13" s="182">
        <f t="shared" si="1"/>
        <v>5.2794608524933185E-4</v>
      </c>
      <c r="H13" s="181">
        <f>HLOOKUP($H$3,VaR_Calculo_Historico!$C$2:$ET$103,B13+1,0)</f>
        <v>1.0873938190000001</v>
      </c>
      <c r="I13" s="182">
        <f t="shared" si="2"/>
        <v>9.8341430702161771E-4</v>
      </c>
      <c r="J13" s="181">
        <f>HLOOKUP($J$3,VaR_Calculo_Historico!$C$2:$ET$103,B13+1,0)</f>
        <v>1.796521</v>
      </c>
      <c r="K13" s="182">
        <f>LN(J13/J12)</f>
        <v>5.8574774989830617E-4</v>
      </c>
      <c r="L13" s="181">
        <f>HLOOKUP($L$3,VaR_Calculo_Historico!$C$2:$ET$103,B13+1,0)</f>
        <v>1.0587089999999999</v>
      </c>
      <c r="M13" s="182">
        <f t="shared" si="3"/>
        <v>9.5822922049670705E-4</v>
      </c>
      <c r="N13" s="181">
        <f>HLOOKUP($N$3,VaR_Calculo_Historico!$C$2:$ET$103,B13+1,0)</f>
        <v>2.5522</v>
      </c>
      <c r="O13" s="182">
        <f t="shared" si="4"/>
        <v>5.2478307852099951E-4</v>
      </c>
      <c r="P13" s="181">
        <f>HLOOKUP($P$3,VaR_Calculo_Historico!$C$2:$ET$103,B13+1,0)</f>
        <v>1.7154199999999999</v>
      </c>
      <c r="Q13" s="182">
        <f t="shared" si="5"/>
        <v>5.9128365668834493E-4</v>
      </c>
      <c r="R13" s="181">
        <f>HLOOKUP($R$3,VaR_Calculo_Historico!$C$2:$ET$103,B13+1,0)</f>
        <v>1.2464010000000001</v>
      </c>
      <c r="S13" s="182">
        <f t="shared" si="6"/>
        <v>3.8919608229788635E-4</v>
      </c>
      <c r="T13" s="181" t="e">
        <f>HLOOKUP($T$3,VaR_Calculo_Historico!$C$2:$ET$103,B13+1,0)</f>
        <v>#N/A</v>
      </c>
      <c r="U13" s="182" t="e">
        <f t="shared" si="7"/>
        <v>#N/A</v>
      </c>
      <c r="V13" s="181" t="e">
        <f>HLOOKUP($V$3,VaR_Calculo_Historico!$C$2:$ET$103,B13+1,0)</f>
        <v>#N/A</v>
      </c>
      <c r="W13" s="182" t="e">
        <f t="shared" si="8"/>
        <v>#N/A</v>
      </c>
      <c r="X13" s="181" t="e">
        <f>HLOOKUP($X$3,VaR_Calculo_Historico!$C$2:$ET$103,B13+1,0)</f>
        <v>#N/A</v>
      </c>
      <c r="Y13" s="182" t="e">
        <f t="shared" si="9"/>
        <v>#N/A</v>
      </c>
      <c r="Z13" s="181" t="e">
        <f>HLOOKUP($Z$3,VaR_Calculo_Historico!$C$2:$ET$103,B13+1,0)</f>
        <v>#N/A</v>
      </c>
      <c r="AA13" s="182" t="e">
        <f t="shared" si="10"/>
        <v>#N/A</v>
      </c>
      <c r="AB13" s="181" t="e">
        <f>HLOOKUP($AB$3,VaR_Calculo_Historico!$C$2:$ET$103,B13+1,0)</f>
        <v>#N/A</v>
      </c>
      <c r="AC13" s="182" t="e">
        <f t="shared" si="11"/>
        <v>#N/A</v>
      </c>
      <c r="AD13" s="181" t="e">
        <f>HLOOKUP($AD$3,VaR_Calculo_Historico!$C$2:$ET$103,B13+1,0)</f>
        <v>#N/A</v>
      </c>
      <c r="AE13" s="182" t="e">
        <f t="shared" si="12"/>
        <v>#N/A</v>
      </c>
      <c r="AF13" s="181" t="e">
        <f>HLOOKUP($AF$3,VaR_Calculo_Historico!$C$2:$FZS$104,B13+1,0)</f>
        <v>#N/A</v>
      </c>
      <c r="AG13" s="182" t="e">
        <f t="shared" si="13"/>
        <v>#N/A</v>
      </c>
      <c r="AH13" s="181" t="e">
        <f>HLOOKUP($AH$3,VaR_Calculo_Historico!$C$2:$FS$104,B13+1,0)</f>
        <v>#N/A</v>
      </c>
      <c r="AI13" s="182" t="e">
        <f t="shared" si="14"/>
        <v>#N/A</v>
      </c>
      <c r="AJ13" s="181" t="e">
        <f>HLOOKUP($AJ$3,VaR_Calculo_Historico!$C$2:$ET$103,B13+1,0)</f>
        <v>#N/A</v>
      </c>
      <c r="AK13" s="182" t="e">
        <f t="shared" si="15"/>
        <v>#N/A</v>
      </c>
      <c r="AL13" s="181" t="e">
        <f>HLOOKUP($AL$3,VaR_Calculo_Historico!$C$2:$ET$103,B13+1,0)</f>
        <v>#N/A</v>
      </c>
      <c r="AM13" s="182" t="e">
        <f t="shared" si="16"/>
        <v>#N/A</v>
      </c>
      <c r="AN13" s="181" t="e">
        <f>HLOOKUP($AN$3,VaR_Calculo_Historico!$C$2:$ET$103,B13+1,0)</f>
        <v>#N/A</v>
      </c>
      <c r="AO13" s="182" t="e">
        <f t="shared" si="17"/>
        <v>#N/A</v>
      </c>
      <c r="AP13" s="181" t="e">
        <f>HLOOKUP($AP$3,VaR_Calculo_Historico!$C$2:$ET$103,B13+1,0)</f>
        <v>#N/A</v>
      </c>
      <c r="AQ13" s="182" t="e">
        <f t="shared" si="18"/>
        <v>#N/A</v>
      </c>
      <c r="AR13" s="181" t="e">
        <f>HLOOKUP($AR$3,VaR_Calculo_Historico!$C$2:$ET$103,B13+1,0)</f>
        <v>#N/A</v>
      </c>
      <c r="AS13" s="182" t="e">
        <f t="shared" si="19"/>
        <v>#N/A</v>
      </c>
      <c r="AT13" s="181" t="e">
        <f>HLOOKUP($AT$3,VaR_Calculo_Historico!$C$2:$ET$103,B13+1,0)</f>
        <v>#N/A</v>
      </c>
      <c r="AU13" s="182" t="e">
        <f t="shared" si="20"/>
        <v>#N/A</v>
      </c>
      <c r="AV13" s="181" t="e">
        <f>HLOOKUP($AV$3,VaR_Calculo_Historico!$C$2:$ET$103,B13+1,0)</f>
        <v>#N/A</v>
      </c>
      <c r="AW13" s="223" t="e">
        <f t="shared" si="21"/>
        <v>#N/A</v>
      </c>
      <c r="AX13" s="181" t="e">
        <f>HLOOKUP($AX$3,VaR_Calculo_Historico!$C$2:$ET$103,B13+1,0)</f>
        <v>#N/A</v>
      </c>
      <c r="AY13" s="182" t="e">
        <f t="shared" si="22"/>
        <v>#N/A</v>
      </c>
      <c r="AZ13" s="181" t="e">
        <f>HLOOKUP($AZ$3,VaR_Calculo_Historico!$C$2:$ET$103,B13+1,0)</f>
        <v>#N/A</v>
      </c>
      <c r="BA13" s="182" t="e">
        <f t="shared" si="23"/>
        <v>#N/A</v>
      </c>
      <c r="BB13" s="181" t="e">
        <f>HLOOKUP($BB$3,VaR_Calculo_Historico!$C$2:$ET$103,B13+1,0)</f>
        <v>#N/A</v>
      </c>
      <c r="BC13" s="182" t="e">
        <f t="shared" si="24"/>
        <v>#N/A</v>
      </c>
      <c r="BD13" s="181" t="e">
        <f>HLOOKUP($BD$3,VaR_Calculo_Historico!$C$2:$ET$103,B13+1,0)</f>
        <v>#N/A</v>
      </c>
      <c r="BE13" s="182" t="e">
        <f t="shared" si="25"/>
        <v>#N/A</v>
      </c>
      <c r="BF13" s="181" t="e">
        <f>HLOOKUP($BF$3,VaR_Calculo_Historico!$C$2:$ET$103,B13+1,0)</f>
        <v>#N/A</v>
      </c>
      <c r="BG13" s="182" t="e">
        <f t="shared" si="26"/>
        <v>#N/A</v>
      </c>
      <c r="BH13" s="181" t="e">
        <f>HLOOKUP($BH$3,VaR_Calculo_Historico!$C$2:$ET$103,B13+1,0)</f>
        <v>#N/A</v>
      </c>
      <c r="BI13" s="223" t="e">
        <f t="shared" si="27"/>
        <v>#N/A</v>
      </c>
      <c r="BJ13" s="181" t="e">
        <f>HLOOKUP($BJ$3,VaR_Calculo_Historico!$C$2:$ET$103,B13+1,0)</f>
        <v>#N/A</v>
      </c>
      <c r="BK13" s="223" t="e">
        <f t="shared" si="28"/>
        <v>#N/A</v>
      </c>
      <c r="BL13" s="181" t="e">
        <f>HLOOKUP($BL$3,VaR_Calculo_Historico!$C$2:$ET$103,B13+1,0)</f>
        <v>#N/A</v>
      </c>
      <c r="BM13" s="223" t="e">
        <f t="shared" si="29"/>
        <v>#N/A</v>
      </c>
      <c r="BN13" s="181" t="e">
        <f>HLOOKUP($BN$3,VaR_Calculo_Historico!$C$2:$EY$103,B13+1,0)</f>
        <v>#N/A</v>
      </c>
      <c r="BO13" s="223" t="e">
        <f t="shared" si="30"/>
        <v>#N/A</v>
      </c>
    </row>
    <row r="14" spans="1:68" x14ac:dyDescent="0.3">
      <c r="B14" s="166">
        <v>10</v>
      </c>
      <c r="C14" s="208">
        <f>VaR_Calculo_Historico!B11</f>
        <v>42325</v>
      </c>
      <c r="D14" s="181">
        <f>HLOOKUP($D$3,VaR_Calculo_Historico!$C$2:$ET$103,B14+1,0)</f>
        <v>3.293486717</v>
      </c>
      <c r="E14" s="182">
        <f t="shared" si="0"/>
        <v>1.5675497513860414E-3</v>
      </c>
      <c r="F14" s="181">
        <f>HLOOKUP($F$3,VaR_Calculo_Historico!$C$2:$ET$103,B14+1,0)</f>
        <v>1.569531</v>
      </c>
      <c r="G14" s="182">
        <f t="shared" si="1"/>
        <v>4.9390002619538193E-4</v>
      </c>
      <c r="H14" s="181">
        <f>HLOOKUP($H$3,VaR_Calculo_Historico!$C$2:$ET$103,B14+1,0)</f>
        <v>1.0889577370000001</v>
      </c>
      <c r="I14" s="182">
        <f t="shared" si="2"/>
        <v>1.4371926859708495E-3</v>
      </c>
      <c r="J14" s="181">
        <f>HLOOKUP($J$3,VaR_Calculo_Historico!$C$2:$ET$103,B14+1,0)</f>
        <v>1.7977209999999999</v>
      </c>
      <c r="K14" s="182">
        <f>LN(J14/J13)</f>
        <v>6.6773469598698887E-4</v>
      </c>
      <c r="L14" s="181">
        <f>HLOOKUP($L$3,VaR_Calculo_Historico!$C$2:$ET$103,B14+1,0)</f>
        <v>1.0601</v>
      </c>
      <c r="M14" s="182">
        <f t="shared" si="3"/>
        <v>1.3130019740690009E-3</v>
      </c>
      <c r="N14" s="181">
        <f>HLOOKUP($N$3,VaR_Calculo_Historico!$C$2:$ET$103,B14+1,0)</f>
        <v>2.5535359999999998</v>
      </c>
      <c r="O14" s="182">
        <f t="shared" si="4"/>
        <v>5.2333298489845451E-4</v>
      </c>
      <c r="P14" s="181">
        <f>HLOOKUP($P$3,VaR_Calculo_Historico!$C$2:$ET$103,B14+1,0)</f>
        <v>1.7165980000000001</v>
      </c>
      <c r="Q14" s="182">
        <f t="shared" si="5"/>
        <v>6.8647661303713092E-4</v>
      </c>
      <c r="R14" s="181">
        <f>HLOOKUP($R$3,VaR_Calculo_Historico!$C$2:$ET$103,B14+1,0)</f>
        <v>1.249398</v>
      </c>
      <c r="S14" s="182">
        <f t="shared" si="6"/>
        <v>2.401636863002854E-3</v>
      </c>
      <c r="T14" s="181" t="e">
        <f>HLOOKUP($T$3,VaR_Calculo_Historico!$C$2:$ET$103,B14+1,0)</f>
        <v>#N/A</v>
      </c>
      <c r="U14" s="182" t="e">
        <f t="shared" si="7"/>
        <v>#N/A</v>
      </c>
      <c r="V14" s="181" t="e">
        <f>HLOOKUP($V$3,VaR_Calculo_Historico!$C$2:$ET$103,B14+1,0)</f>
        <v>#N/A</v>
      </c>
      <c r="W14" s="182" t="e">
        <f t="shared" si="8"/>
        <v>#N/A</v>
      </c>
      <c r="X14" s="181" t="e">
        <f>HLOOKUP($X$3,VaR_Calculo_Historico!$C$2:$ET$103,B14+1,0)</f>
        <v>#N/A</v>
      </c>
      <c r="Y14" s="182" t="e">
        <f t="shared" si="9"/>
        <v>#N/A</v>
      </c>
      <c r="Z14" s="181" t="e">
        <f>HLOOKUP($Z$3,VaR_Calculo_Historico!$C$2:$ET$103,B14+1,0)</f>
        <v>#N/A</v>
      </c>
      <c r="AA14" s="182" t="e">
        <f t="shared" si="10"/>
        <v>#N/A</v>
      </c>
      <c r="AB14" s="181" t="e">
        <f>HLOOKUP($AB$3,VaR_Calculo_Historico!$C$2:$ET$103,B14+1,0)</f>
        <v>#N/A</v>
      </c>
      <c r="AC14" s="182" t="e">
        <f t="shared" si="11"/>
        <v>#N/A</v>
      </c>
      <c r="AD14" s="181" t="e">
        <f>HLOOKUP($AD$3,VaR_Calculo_Historico!$C$2:$ET$103,B14+1,0)</f>
        <v>#N/A</v>
      </c>
      <c r="AE14" s="182" t="e">
        <f t="shared" si="12"/>
        <v>#N/A</v>
      </c>
      <c r="AF14" s="181" t="e">
        <f>HLOOKUP($AF$3,VaR_Calculo_Historico!$C$2:$FZS$104,B14+1,0)</f>
        <v>#N/A</v>
      </c>
      <c r="AG14" s="182" t="e">
        <f t="shared" si="13"/>
        <v>#N/A</v>
      </c>
      <c r="AH14" s="181" t="e">
        <f>HLOOKUP($AH$3,VaR_Calculo_Historico!$C$2:$FS$104,B14+1,0)</f>
        <v>#N/A</v>
      </c>
      <c r="AI14" s="182" t="e">
        <f t="shared" si="14"/>
        <v>#N/A</v>
      </c>
      <c r="AJ14" s="181" t="e">
        <f>HLOOKUP($AJ$3,VaR_Calculo_Historico!$C$2:$ET$103,B14+1,0)</f>
        <v>#N/A</v>
      </c>
      <c r="AK14" s="182" t="e">
        <f t="shared" si="15"/>
        <v>#N/A</v>
      </c>
      <c r="AL14" s="181" t="e">
        <f>HLOOKUP($AL$3,VaR_Calculo_Historico!$C$2:$ET$103,B14+1,0)</f>
        <v>#N/A</v>
      </c>
      <c r="AM14" s="182" t="e">
        <f t="shared" si="16"/>
        <v>#N/A</v>
      </c>
      <c r="AN14" s="181" t="e">
        <f>HLOOKUP($AN$3,VaR_Calculo_Historico!$C$2:$ET$103,B14+1,0)</f>
        <v>#N/A</v>
      </c>
      <c r="AO14" s="182" t="e">
        <f t="shared" si="17"/>
        <v>#N/A</v>
      </c>
      <c r="AP14" s="181" t="e">
        <f>HLOOKUP($AP$3,VaR_Calculo_Historico!$C$2:$ET$103,B14+1,0)</f>
        <v>#N/A</v>
      </c>
      <c r="AQ14" s="182" t="e">
        <f t="shared" si="18"/>
        <v>#N/A</v>
      </c>
      <c r="AR14" s="181" t="e">
        <f>HLOOKUP($AR$3,VaR_Calculo_Historico!$C$2:$ET$103,B14+1,0)</f>
        <v>#N/A</v>
      </c>
      <c r="AS14" s="182" t="e">
        <f t="shared" si="19"/>
        <v>#N/A</v>
      </c>
      <c r="AT14" s="181" t="e">
        <f>HLOOKUP($AT$3,VaR_Calculo_Historico!$C$2:$ET$103,B14+1,0)</f>
        <v>#N/A</v>
      </c>
      <c r="AU14" s="182" t="e">
        <f t="shared" si="20"/>
        <v>#N/A</v>
      </c>
      <c r="AV14" s="181" t="e">
        <f>HLOOKUP($AV$3,VaR_Calculo_Historico!$C$2:$ET$103,B14+1,0)</f>
        <v>#N/A</v>
      </c>
      <c r="AW14" s="223" t="e">
        <f t="shared" si="21"/>
        <v>#N/A</v>
      </c>
      <c r="AX14" s="181" t="e">
        <f>HLOOKUP($AX$3,VaR_Calculo_Historico!$C$2:$ET$103,B14+1,0)</f>
        <v>#N/A</v>
      </c>
      <c r="AY14" s="182" t="e">
        <f t="shared" si="22"/>
        <v>#N/A</v>
      </c>
      <c r="AZ14" s="181" t="e">
        <f>HLOOKUP($AZ$3,VaR_Calculo_Historico!$C$2:$ET$103,B14+1,0)</f>
        <v>#N/A</v>
      </c>
      <c r="BA14" s="182" t="e">
        <f t="shared" si="23"/>
        <v>#N/A</v>
      </c>
      <c r="BB14" s="181" t="e">
        <f>HLOOKUP($BB$3,VaR_Calculo_Historico!$C$2:$ET$103,B14+1,0)</f>
        <v>#N/A</v>
      </c>
      <c r="BC14" s="182" t="e">
        <f t="shared" si="24"/>
        <v>#N/A</v>
      </c>
      <c r="BD14" s="181" t="e">
        <f>HLOOKUP($BD$3,VaR_Calculo_Historico!$C$2:$ET$103,B14+1,0)</f>
        <v>#N/A</v>
      </c>
      <c r="BE14" s="182" t="e">
        <f t="shared" si="25"/>
        <v>#N/A</v>
      </c>
      <c r="BF14" s="181" t="e">
        <f>HLOOKUP($BF$3,VaR_Calculo_Historico!$C$2:$ET$103,B14+1,0)</f>
        <v>#N/A</v>
      </c>
      <c r="BG14" s="182" t="e">
        <f t="shared" si="26"/>
        <v>#N/A</v>
      </c>
      <c r="BH14" s="181" t="e">
        <f>HLOOKUP($BH$3,VaR_Calculo_Historico!$C$2:$ET$103,B14+1,0)</f>
        <v>#N/A</v>
      </c>
      <c r="BI14" s="223" t="e">
        <f t="shared" si="27"/>
        <v>#N/A</v>
      </c>
      <c r="BJ14" s="181" t="e">
        <f>HLOOKUP($BJ$3,VaR_Calculo_Historico!$C$2:$ET$103,B14+1,0)</f>
        <v>#N/A</v>
      </c>
      <c r="BK14" s="223" t="e">
        <f t="shared" si="28"/>
        <v>#N/A</v>
      </c>
      <c r="BL14" s="181" t="e">
        <f>HLOOKUP($BL$3,VaR_Calculo_Historico!$C$2:$ET$103,B14+1,0)</f>
        <v>#N/A</v>
      </c>
      <c r="BM14" s="223" t="e">
        <f t="shared" si="29"/>
        <v>#N/A</v>
      </c>
      <c r="BN14" s="181" t="e">
        <f>HLOOKUP($BN$3,VaR_Calculo_Historico!$C$2:$EY$103,B14+1,0)</f>
        <v>#N/A</v>
      </c>
      <c r="BO14" s="223" t="e">
        <f t="shared" si="30"/>
        <v>#N/A</v>
      </c>
    </row>
    <row r="15" spans="1:68" x14ac:dyDescent="0.3">
      <c r="B15" s="166">
        <v>11</v>
      </c>
      <c r="C15" s="208">
        <f>VaR_Calculo_Historico!B12</f>
        <v>42326</v>
      </c>
      <c r="D15" s="181">
        <f>HLOOKUP($D$3,VaR_Calculo_Historico!$C$2:$ET$103,B15+1,0)</f>
        <v>3.3075006450000002</v>
      </c>
      <c r="E15" s="182">
        <f t="shared" si="0"/>
        <v>4.2460160233061791E-3</v>
      </c>
      <c r="F15" s="181">
        <f>HLOOKUP($F$3,VaR_Calculo_Historico!$C$2:$ET$103,B15+1,0)</f>
        <v>1.5705960000000001</v>
      </c>
      <c r="G15" s="182">
        <f t="shared" si="1"/>
        <v>6.7831653995843288E-4</v>
      </c>
      <c r="H15" s="181">
        <f>HLOOKUP($H$3,VaR_Calculo_Historico!$C$2:$ET$103,B15+1,0)</f>
        <v>1.0903860480000001</v>
      </c>
      <c r="I15" s="182">
        <f t="shared" si="2"/>
        <v>1.3107718151967685E-3</v>
      </c>
      <c r="J15" s="181">
        <f>HLOOKUP($J$3,VaR_Calculo_Historico!$C$2:$ET$103,B15+1,0)</f>
        <v>1.799329</v>
      </c>
      <c r="K15" s="182">
        <f t="shared" si="31"/>
        <v>8.9406603028225988E-4</v>
      </c>
      <c r="L15" s="181">
        <f>HLOOKUP($L$3,VaR_Calculo_Historico!$C$2:$ET$103,B15+1,0)</f>
        <v>1.06115</v>
      </c>
      <c r="M15" s="182">
        <f t="shared" si="3"/>
        <v>9.899824025981184E-4</v>
      </c>
      <c r="N15" s="181">
        <f>HLOOKUP($N$3,VaR_Calculo_Historico!$C$2:$ET$103,B15+1,0)</f>
        <v>2.5552429999999999</v>
      </c>
      <c r="O15" s="182">
        <f t="shared" si="4"/>
        <v>6.6826146268032609E-4</v>
      </c>
      <c r="P15" s="181">
        <f>HLOOKUP($P$3,VaR_Calculo_Historico!$C$2:$ET$103,B15+1,0)</f>
        <v>1.718205</v>
      </c>
      <c r="Q15" s="182">
        <f t="shared" si="5"/>
        <v>9.3571603218741393E-4</v>
      </c>
      <c r="R15" s="181">
        <f>HLOOKUP($R$3,VaR_Calculo_Historico!$C$2:$ET$103,B15+1,0)</f>
        <v>1.257782</v>
      </c>
      <c r="S15" s="182">
        <f t="shared" si="6"/>
        <v>6.6880170159601404E-3</v>
      </c>
      <c r="T15" s="181" t="e">
        <f>HLOOKUP($T$3,VaR_Calculo_Historico!$C$2:$ET$103,B15+1,0)</f>
        <v>#N/A</v>
      </c>
      <c r="U15" s="182" t="e">
        <f t="shared" si="7"/>
        <v>#N/A</v>
      </c>
      <c r="V15" s="181" t="e">
        <f>HLOOKUP($V$3,VaR_Calculo_Historico!$C$2:$ET$103,B15+1,0)</f>
        <v>#N/A</v>
      </c>
      <c r="W15" s="182" t="e">
        <f t="shared" si="8"/>
        <v>#N/A</v>
      </c>
      <c r="X15" s="181" t="e">
        <f>HLOOKUP($X$3,VaR_Calculo_Historico!$C$2:$ET$103,B15+1,0)</f>
        <v>#N/A</v>
      </c>
      <c r="Y15" s="182" t="e">
        <f t="shared" si="9"/>
        <v>#N/A</v>
      </c>
      <c r="Z15" s="181" t="e">
        <f>HLOOKUP($Z$3,VaR_Calculo_Historico!$C$2:$ET$103,B15+1,0)</f>
        <v>#N/A</v>
      </c>
      <c r="AA15" s="182" t="e">
        <f t="shared" si="10"/>
        <v>#N/A</v>
      </c>
      <c r="AB15" s="181" t="e">
        <f>HLOOKUP($AB$3,VaR_Calculo_Historico!$C$2:$ET$103,B15+1,0)</f>
        <v>#N/A</v>
      </c>
      <c r="AC15" s="182" t="e">
        <f t="shared" si="11"/>
        <v>#N/A</v>
      </c>
      <c r="AD15" s="181" t="e">
        <f>HLOOKUP($AD$3,VaR_Calculo_Historico!$C$2:$ET$103,B15+1,0)</f>
        <v>#N/A</v>
      </c>
      <c r="AE15" s="182" t="e">
        <f t="shared" si="12"/>
        <v>#N/A</v>
      </c>
      <c r="AF15" s="181" t="e">
        <f>HLOOKUP($AF$3,VaR_Calculo_Historico!$C$2:$FZS$104,B15+1,0)</f>
        <v>#N/A</v>
      </c>
      <c r="AG15" s="182" t="e">
        <f t="shared" si="13"/>
        <v>#N/A</v>
      </c>
      <c r="AH15" s="181" t="e">
        <f>HLOOKUP($AH$3,VaR_Calculo_Historico!$C$2:$FS$104,B15+1,0)</f>
        <v>#N/A</v>
      </c>
      <c r="AI15" s="182" t="e">
        <f t="shared" si="14"/>
        <v>#N/A</v>
      </c>
      <c r="AJ15" s="181" t="e">
        <f>HLOOKUP($AJ$3,VaR_Calculo_Historico!$C$2:$ET$103,B15+1,0)</f>
        <v>#N/A</v>
      </c>
      <c r="AK15" s="182" t="e">
        <f t="shared" si="15"/>
        <v>#N/A</v>
      </c>
      <c r="AL15" s="181" t="e">
        <f>HLOOKUP($AL$3,VaR_Calculo_Historico!$C$2:$ET$103,B15+1,0)</f>
        <v>#N/A</v>
      </c>
      <c r="AM15" s="182" t="e">
        <f t="shared" si="16"/>
        <v>#N/A</v>
      </c>
      <c r="AN15" s="181" t="e">
        <f>HLOOKUP($AN$3,VaR_Calculo_Historico!$C$2:$ET$103,B15+1,0)</f>
        <v>#N/A</v>
      </c>
      <c r="AO15" s="182" t="e">
        <f t="shared" si="17"/>
        <v>#N/A</v>
      </c>
      <c r="AP15" s="181" t="e">
        <f>HLOOKUP($AP$3,VaR_Calculo_Historico!$C$2:$ET$103,B15+1,0)</f>
        <v>#N/A</v>
      </c>
      <c r="AQ15" s="182" t="e">
        <f t="shared" si="18"/>
        <v>#N/A</v>
      </c>
      <c r="AR15" s="181" t="e">
        <f>HLOOKUP($AR$3,VaR_Calculo_Historico!$C$2:$ET$103,B15+1,0)</f>
        <v>#N/A</v>
      </c>
      <c r="AS15" s="182" t="e">
        <f t="shared" si="19"/>
        <v>#N/A</v>
      </c>
      <c r="AT15" s="181" t="e">
        <f>HLOOKUP($AT$3,VaR_Calculo_Historico!$C$2:$ET$103,B15+1,0)</f>
        <v>#N/A</v>
      </c>
      <c r="AU15" s="182" t="e">
        <f t="shared" si="20"/>
        <v>#N/A</v>
      </c>
      <c r="AV15" s="181" t="e">
        <f>HLOOKUP($AV$3,VaR_Calculo_Historico!$C$2:$ET$103,B15+1,0)</f>
        <v>#N/A</v>
      </c>
      <c r="AW15" s="223" t="e">
        <f t="shared" si="21"/>
        <v>#N/A</v>
      </c>
      <c r="AX15" s="181" t="e">
        <f>HLOOKUP($AX$3,VaR_Calculo_Historico!$C$2:$ET$103,B15+1,0)</f>
        <v>#N/A</v>
      </c>
      <c r="AY15" s="182" t="e">
        <f t="shared" si="22"/>
        <v>#N/A</v>
      </c>
      <c r="AZ15" s="181" t="e">
        <f>HLOOKUP($AZ$3,VaR_Calculo_Historico!$C$2:$ET$103,B15+1,0)</f>
        <v>#N/A</v>
      </c>
      <c r="BA15" s="182" t="e">
        <f t="shared" si="23"/>
        <v>#N/A</v>
      </c>
      <c r="BB15" s="181" t="e">
        <f>HLOOKUP($BB$3,VaR_Calculo_Historico!$C$2:$ET$103,B15+1,0)</f>
        <v>#N/A</v>
      </c>
      <c r="BC15" s="182" t="e">
        <f t="shared" si="24"/>
        <v>#N/A</v>
      </c>
      <c r="BD15" s="181" t="e">
        <f>HLOOKUP($BD$3,VaR_Calculo_Historico!$C$2:$ET$103,B15+1,0)</f>
        <v>#N/A</v>
      </c>
      <c r="BE15" s="182" t="e">
        <f t="shared" si="25"/>
        <v>#N/A</v>
      </c>
      <c r="BF15" s="181" t="e">
        <f>HLOOKUP($BF$3,VaR_Calculo_Historico!$C$2:$ET$103,B15+1,0)</f>
        <v>#N/A</v>
      </c>
      <c r="BG15" s="182" t="e">
        <f t="shared" si="26"/>
        <v>#N/A</v>
      </c>
      <c r="BH15" s="181" t="e">
        <f>HLOOKUP($BH$3,VaR_Calculo_Historico!$C$2:$ET$103,B15+1,0)</f>
        <v>#N/A</v>
      </c>
      <c r="BI15" s="223" t="e">
        <f t="shared" si="27"/>
        <v>#N/A</v>
      </c>
      <c r="BJ15" s="181" t="e">
        <f>HLOOKUP($BJ$3,VaR_Calculo_Historico!$C$2:$ET$103,B15+1,0)</f>
        <v>#N/A</v>
      </c>
      <c r="BK15" s="223" t="e">
        <f t="shared" si="28"/>
        <v>#N/A</v>
      </c>
      <c r="BL15" s="181" t="e">
        <f>HLOOKUP($BL$3,VaR_Calculo_Historico!$C$2:$ET$103,B15+1,0)</f>
        <v>#N/A</v>
      </c>
      <c r="BM15" s="223" t="e">
        <f t="shared" si="29"/>
        <v>#N/A</v>
      </c>
      <c r="BN15" s="181" t="e">
        <f>HLOOKUP($BN$3,VaR_Calculo_Historico!$C$2:$EY$103,B15+1,0)</f>
        <v>#N/A</v>
      </c>
      <c r="BO15" s="223" t="e">
        <f t="shared" si="30"/>
        <v>#N/A</v>
      </c>
    </row>
    <row r="16" spans="1:68" x14ac:dyDescent="0.3">
      <c r="B16" s="166">
        <v>12</v>
      </c>
      <c r="C16" s="208">
        <f>VaR_Calculo_Historico!B13</f>
        <v>42327</v>
      </c>
      <c r="D16" s="181">
        <f>HLOOKUP($D$3,VaR_Calculo_Historico!$C$2:$ET$103,B16+1,0)</f>
        <v>3.3092684270000001</v>
      </c>
      <c r="E16" s="182">
        <f t="shared" si="0"/>
        <v>5.3433390914028021E-4</v>
      </c>
      <c r="F16" s="181">
        <f>HLOOKUP($F$3,VaR_Calculo_Historico!$C$2:$ET$103,B16+1,0)</f>
        <v>1.5714399999999999</v>
      </c>
      <c r="G16" s="182">
        <f t="shared" si="1"/>
        <v>5.372312858918344E-4</v>
      </c>
      <c r="H16" s="181">
        <f>HLOOKUP($H$3,VaR_Calculo_Historico!$C$2:$ET$103,B16+1,0)</f>
        <v>1.0914410910000001</v>
      </c>
      <c r="I16" s="182">
        <f t="shared" si="2"/>
        <v>9.6711885499505652E-4</v>
      </c>
      <c r="J16" s="181">
        <f>HLOOKUP($J$3,VaR_Calculo_Historico!$C$2:$ET$103,B16+1,0)</f>
        <v>1.8002530000000001</v>
      </c>
      <c r="K16" s="182">
        <f>LN(J16/J15)</f>
        <v>5.1339295523499873E-4</v>
      </c>
      <c r="L16" s="181">
        <f>HLOOKUP($L$3,VaR_Calculo_Historico!$C$2:$ET$103,B16+1,0)</f>
        <v>1.062173</v>
      </c>
      <c r="M16" s="182">
        <f t="shared" si="3"/>
        <v>9.6358404176294355E-4</v>
      </c>
      <c r="N16" s="181">
        <f>HLOOKUP($N$3,VaR_Calculo_Historico!$C$2:$ET$103,B16+1,0)</f>
        <v>2.556584</v>
      </c>
      <c r="O16" s="182">
        <f t="shared" si="4"/>
        <v>5.2466565506312669E-4</v>
      </c>
      <c r="P16" s="181">
        <f>HLOOKUP($P$3,VaR_Calculo_Historico!$C$2:$ET$103,B16+1,0)</f>
        <v>1.7190970000000001</v>
      </c>
      <c r="Q16" s="182">
        <f t="shared" si="5"/>
        <v>5.1901172490726605E-4</v>
      </c>
      <c r="R16" s="181">
        <f>HLOOKUP($R$3,VaR_Calculo_Historico!$C$2:$ET$103,B16+1,0)</f>
        <v>1.2584420000000001</v>
      </c>
      <c r="S16" s="182">
        <f t="shared" si="6"/>
        <v>5.2459559652561687E-4</v>
      </c>
      <c r="T16" s="181" t="e">
        <f>HLOOKUP($T$3,VaR_Calculo_Historico!$C$2:$ET$103,B16+1,0)</f>
        <v>#N/A</v>
      </c>
      <c r="U16" s="182" t="e">
        <f t="shared" si="7"/>
        <v>#N/A</v>
      </c>
      <c r="V16" s="181" t="e">
        <f>HLOOKUP($V$3,VaR_Calculo_Historico!$C$2:$ET$103,B16+1,0)</f>
        <v>#N/A</v>
      </c>
      <c r="W16" s="182" t="e">
        <f t="shared" si="8"/>
        <v>#N/A</v>
      </c>
      <c r="X16" s="181" t="e">
        <f>HLOOKUP($X$3,VaR_Calculo_Historico!$C$2:$ET$103,B16+1,0)</f>
        <v>#N/A</v>
      </c>
      <c r="Y16" s="182" t="e">
        <f t="shared" si="9"/>
        <v>#N/A</v>
      </c>
      <c r="Z16" s="181" t="e">
        <f>HLOOKUP($Z$3,VaR_Calculo_Historico!$C$2:$ET$103,B16+1,0)</f>
        <v>#N/A</v>
      </c>
      <c r="AA16" s="182" t="e">
        <f t="shared" si="10"/>
        <v>#N/A</v>
      </c>
      <c r="AB16" s="181" t="e">
        <f>HLOOKUP($AB$3,VaR_Calculo_Historico!$C$2:$ET$103,B16+1,0)</f>
        <v>#N/A</v>
      </c>
      <c r="AC16" s="182" t="e">
        <f t="shared" si="11"/>
        <v>#N/A</v>
      </c>
      <c r="AD16" s="181" t="e">
        <f>HLOOKUP($AD$3,VaR_Calculo_Historico!$C$2:$ET$103,B16+1,0)</f>
        <v>#N/A</v>
      </c>
      <c r="AE16" s="182" t="e">
        <f t="shared" si="12"/>
        <v>#N/A</v>
      </c>
      <c r="AF16" s="181" t="e">
        <f>HLOOKUP($AF$3,VaR_Calculo_Historico!$C$2:$FZS$104,B16+1,0)</f>
        <v>#N/A</v>
      </c>
      <c r="AG16" s="182" t="e">
        <f t="shared" si="13"/>
        <v>#N/A</v>
      </c>
      <c r="AH16" s="181" t="e">
        <f>HLOOKUP($AH$3,VaR_Calculo_Historico!$C$2:$FS$104,B16+1,0)</f>
        <v>#N/A</v>
      </c>
      <c r="AI16" s="182" t="e">
        <f t="shared" si="14"/>
        <v>#N/A</v>
      </c>
      <c r="AJ16" s="181" t="e">
        <f>HLOOKUP($AJ$3,VaR_Calculo_Historico!$C$2:$ET$103,B16+1,0)</f>
        <v>#N/A</v>
      </c>
      <c r="AK16" s="182" t="e">
        <f t="shared" si="15"/>
        <v>#N/A</v>
      </c>
      <c r="AL16" s="181" t="e">
        <f>HLOOKUP($AL$3,VaR_Calculo_Historico!$C$2:$ET$103,B16+1,0)</f>
        <v>#N/A</v>
      </c>
      <c r="AM16" s="182" t="e">
        <f t="shared" si="16"/>
        <v>#N/A</v>
      </c>
      <c r="AN16" s="181" t="e">
        <f>HLOOKUP($AN$3,VaR_Calculo_Historico!$C$2:$ET$103,B16+1,0)</f>
        <v>#N/A</v>
      </c>
      <c r="AO16" s="182" t="e">
        <f t="shared" si="17"/>
        <v>#N/A</v>
      </c>
      <c r="AP16" s="181" t="e">
        <f>HLOOKUP($AP$3,VaR_Calculo_Historico!$C$2:$ET$103,B16+1,0)</f>
        <v>#N/A</v>
      </c>
      <c r="AQ16" s="182" t="e">
        <f t="shared" si="18"/>
        <v>#N/A</v>
      </c>
      <c r="AR16" s="181" t="e">
        <f>HLOOKUP($AR$3,VaR_Calculo_Historico!$C$2:$ET$103,B16+1,0)</f>
        <v>#N/A</v>
      </c>
      <c r="AS16" s="182" t="e">
        <f t="shared" si="19"/>
        <v>#N/A</v>
      </c>
      <c r="AT16" s="181" t="e">
        <f>HLOOKUP($AT$3,VaR_Calculo_Historico!$C$2:$ET$103,B16+1,0)</f>
        <v>#N/A</v>
      </c>
      <c r="AU16" s="182" t="e">
        <f t="shared" si="20"/>
        <v>#N/A</v>
      </c>
      <c r="AV16" s="181" t="e">
        <f>HLOOKUP($AV$3,VaR_Calculo_Historico!$C$2:$ET$103,B16+1,0)</f>
        <v>#N/A</v>
      </c>
      <c r="AW16" s="223" t="e">
        <f t="shared" si="21"/>
        <v>#N/A</v>
      </c>
      <c r="AX16" s="181" t="e">
        <f>HLOOKUP($AX$3,VaR_Calculo_Historico!$C$2:$ET$103,B16+1,0)</f>
        <v>#N/A</v>
      </c>
      <c r="AY16" s="182" t="e">
        <f t="shared" si="22"/>
        <v>#N/A</v>
      </c>
      <c r="AZ16" s="181" t="e">
        <f>HLOOKUP($AZ$3,VaR_Calculo_Historico!$C$2:$ET$103,B16+1,0)</f>
        <v>#N/A</v>
      </c>
      <c r="BA16" s="182" t="e">
        <f t="shared" si="23"/>
        <v>#N/A</v>
      </c>
      <c r="BB16" s="181" t="e">
        <f>HLOOKUP($BB$3,VaR_Calculo_Historico!$C$2:$ET$103,B16+1,0)</f>
        <v>#N/A</v>
      </c>
      <c r="BC16" s="182" t="e">
        <f t="shared" si="24"/>
        <v>#N/A</v>
      </c>
      <c r="BD16" s="181" t="e">
        <f>HLOOKUP($BD$3,VaR_Calculo_Historico!$C$2:$ET$103,B16+1,0)</f>
        <v>#N/A</v>
      </c>
      <c r="BE16" s="182" t="e">
        <f t="shared" si="25"/>
        <v>#N/A</v>
      </c>
      <c r="BF16" s="181" t="e">
        <f>HLOOKUP($BF$3,VaR_Calculo_Historico!$C$2:$ET$103,B16+1,0)</f>
        <v>#N/A</v>
      </c>
      <c r="BG16" s="182" t="e">
        <f t="shared" si="26"/>
        <v>#N/A</v>
      </c>
      <c r="BH16" s="181" t="e">
        <f>HLOOKUP($BH$3,VaR_Calculo_Historico!$C$2:$ET$103,B16+1,0)</f>
        <v>#N/A</v>
      </c>
      <c r="BI16" s="223" t="e">
        <f t="shared" si="27"/>
        <v>#N/A</v>
      </c>
      <c r="BJ16" s="181" t="e">
        <f>HLOOKUP($BJ$3,VaR_Calculo_Historico!$C$2:$ET$103,B16+1,0)</f>
        <v>#N/A</v>
      </c>
      <c r="BK16" s="223" t="e">
        <f t="shared" si="28"/>
        <v>#N/A</v>
      </c>
      <c r="BL16" s="181" t="e">
        <f>HLOOKUP($BL$3,VaR_Calculo_Historico!$C$2:$ET$103,B16+1,0)</f>
        <v>#N/A</v>
      </c>
      <c r="BM16" s="223" t="e">
        <f t="shared" si="29"/>
        <v>#N/A</v>
      </c>
      <c r="BN16" s="181" t="e">
        <f>HLOOKUP($BN$3,VaR_Calculo_Historico!$C$2:$EY$103,B16+1,0)</f>
        <v>#N/A</v>
      </c>
      <c r="BO16" s="223" t="e">
        <f t="shared" si="30"/>
        <v>#N/A</v>
      </c>
    </row>
    <row r="17" spans="2:67" x14ac:dyDescent="0.3">
      <c r="B17" s="166">
        <v>13</v>
      </c>
      <c r="C17" s="208">
        <f>VaR_Calculo_Historico!B14</f>
        <v>42328</v>
      </c>
      <c r="D17" s="181">
        <f>HLOOKUP($D$3,VaR_Calculo_Historico!$C$2:$ET$103,B17+1,0)</f>
        <v>3.314868825</v>
      </c>
      <c r="E17" s="182">
        <f t="shared" si="0"/>
        <v>1.6909067917278981E-3</v>
      </c>
      <c r="F17" s="181">
        <f>HLOOKUP($F$3,VaR_Calculo_Historico!$C$2:$ET$103,B17+1,0)</f>
        <v>1.5722719999999999</v>
      </c>
      <c r="G17" s="182">
        <f t="shared" si="1"/>
        <v>5.2931058533678887E-4</v>
      </c>
      <c r="H17" s="181">
        <f>HLOOKUP($H$3,VaR_Calculo_Historico!$C$2:$ET$103,B17+1,0)</f>
        <v>1.09252247</v>
      </c>
      <c r="I17" s="182">
        <f t="shared" si="2"/>
        <v>9.9029041297570529E-4</v>
      </c>
      <c r="J17" s="181">
        <f>HLOOKUP($J$3,VaR_Calculo_Historico!$C$2:$ET$103,B17+1,0)</f>
        <v>1.8015060000000001</v>
      </c>
      <c r="K17" s="182">
        <f>LN(J17/J16)</f>
        <v>6.9577117766505994E-4</v>
      </c>
      <c r="L17" s="181">
        <f>HLOOKUP($L$3,VaR_Calculo_Historico!$C$2:$ET$103,B17+1,0)</f>
        <v>1.0631219999999999</v>
      </c>
      <c r="M17" s="182">
        <f t="shared" si="3"/>
        <v>8.930525532430271E-4</v>
      </c>
      <c r="N17" s="181">
        <f>HLOOKUP($N$3,VaR_Calculo_Historico!$C$2:$ET$103,B17+1,0)</f>
        <v>2.5579149999999999</v>
      </c>
      <c r="O17" s="182">
        <f t="shared" si="4"/>
        <v>5.2048109894915198E-4</v>
      </c>
      <c r="P17" s="181">
        <f>HLOOKUP($P$3,VaR_Calculo_Historico!$C$2:$ET$103,B17+1,0)</f>
        <v>1.7203349999999999</v>
      </c>
      <c r="Q17" s="182">
        <f t="shared" si="5"/>
        <v>7.198863378980163E-4</v>
      </c>
      <c r="R17" s="181">
        <f>HLOOKUP($R$3,VaR_Calculo_Historico!$C$2:$ET$103,B17+1,0)</f>
        <v>1.2616210000000001</v>
      </c>
      <c r="S17" s="182">
        <f t="shared" si="6"/>
        <v>2.5229541374744728E-3</v>
      </c>
      <c r="T17" s="181" t="e">
        <f>HLOOKUP($T$3,VaR_Calculo_Historico!$C$2:$ET$103,B17+1,0)</f>
        <v>#N/A</v>
      </c>
      <c r="U17" s="182" t="e">
        <f t="shared" si="7"/>
        <v>#N/A</v>
      </c>
      <c r="V17" s="181" t="e">
        <f>HLOOKUP($V$3,VaR_Calculo_Historico!$C$2:$ET$103,B17+1,0)</f>
        <v>#N/A</v>
      </c>
      <c r="W17" s="182" t="e">
        <f t="shared" si="8"/>
        <v>#N/A</v>
      </c>
      <c r="X17" s="181" t="e">
        <f>HLOOKUP($X$3,VaR_Calculo_Historico!$C$2:$ET$103,B17+1,0)</f>
        <v>#N/A</v>
      </c>
      <c r="Y17" s="182" t="e">
        <f t="shared" si="9"/>
        <v>#N/A</v>
      </c>
      <c r="Z17" s="181" t="e">
        <f>HLOOKUP($Z$3,VaR_Calculo_Historico!$C$2:$ET$103,B17+1,0)</f>
        <v>#N/A</v>
      </c>
      <c r="AA17" s="182" t="e">
        <f t="shared" si="10"/>
        <v>#N/A</v>
      </c>
      <c r="AB17" s="181" t="e">
        <f>HLOOKUP($AB$3,VaR_Calculo_Historico!$C$2:$ET$103,B17+1,0)</f>
        <v>#N/A</v>
      </c>
      <c r="AC17" s="182" t="e">
        <f t="shared" si="11"/>
        <v>#N/A</v>
      </c>
      <c r="AD17" s="181" t="e">
        <f>HLOOKUP($AD$3,VaR_Calculo_Historico!$C$2:$ET$103,B17+1,0)</f>
        <v>#N/A</v>
      </c>
      <c r="AE17" s="182" t="e">
        <f t="shared" si="12"/>
        <v>#N/A</v>
      </c>
      <c r="AF17" s="181" t="e">
        <f>HLOOKUP($AF$3,VaR_Calculo_Historico!$C$2:$FZS$104,B17+1,0)</f>
        <v>#N/A</v>
      </c>
      <c r="AG17" s="182" t="e">
        <f t="shared" si="13"/>
        <v>#N/A</v>
      </c>
      <c r="AH17" s="181" t="e">
        <f>HLOOKUP($AH$3,VaR_Calculo_Historico!$C$2:$FS$104,B17+1,0)</f>
        <v>#N/A</v>
      </c>
      <c r="AI17" s="182" t="e">
        <f t="shared" si="14"/>
        <v>#N/A</v>
      </c>
      <c r="AJ17" s="181" t="e">
        <f>HLOOKUP($AJ$3,VaR_Calculo_Historico!$C$2:$ET$103,B17+1,0)</f>
        <v>#N/A</v>
      </c>
      <c r="AK17" s="182" t="e">
        <f t="shared" si="15"/>
        <v>#N/A</v>
      </c>
      <c r="AL17" s="181" t="e">
        <f>HLOOKUP($AL$3,VaR_Calculo_Historico!$C$2:$ET$103,B17+1,0)</f>
        <v>#N/A</v>
      </c>
      <c r="AM17" s="182" t="e">
        <f t="shared" si="16"/>
        <v>#N/A</v>
      </c>
      <c r="AN17" s="181" t="e">
        <f>HLOOKUP($AN$3,VaR_Calculo_Historico!$C$2:$ET$103,B17+1,0)</f>
        <v>#N/A</v>
      </c>
      <c r="AO17" s="182" t="e">
        <f t="shared" si="17"/>
        <v>#N/A</v>
      </c>
      <c r="AP17" s="181" t="e">
        <f>HLOOKUP($AP$3,VaR_Calculo_Historico!$C$2:$ET$103,B17+1,0)</f>
        <v>#N/A</v>
      </c>
      <c r="AQ17" s="182" t="e">
        <f t="shared" si="18"/>
        <v>#N/A</v>
      </c>
      <c r="AR17" s="181" t="e">
        <f>HLOOKUP($AR$3,VaR_Calculo_Historico!$C$2:$ET$103,B17+1,0)</f>
        <v>#N/A</v>
      </c>
      <c r="AS17" s="182" t="e">
        <f t="shared" si="19"/>
        <v>#N/A</v>
      </c>
      <c r="AT17" s="181" t="e">
        <f>HLOOKUP($AT$3,VaR_Calculo_Historico!$C$2:$ET$103,B17+1,0)</f>
        <v>#N/A</v>
      </c>
      <c r="AU17" s="182" t="e">
        <f t="shared" si="20"/>
        <v>#N/A</v>
      </c>
      <c r="AV17" s="181" t="e">
        <f>HLOOKUP($AV$3,VaR_Calculo_Historico!$C$2:$ET$103,B17+1,0)</f>
        <v>#N/A</v>
      </c>
      <c r="AW17" s="223" t="e">
        <f t="shared" si="21"/>
        <v>#N/A</v>
      </c>
      <c r="AX17" s="181" t="e">
        <f>HLOOKUP($AX$3,VaR_Calculo_Historico!$C$2:$ET$103,B17+1,0)</f>
        <v>#N/A</v>
      </c>
      <c r="AY17" s="182" t="e">
        <f t="shared" si="22"/>
        <v>#N/A</v>
      </c>
      <c r="AZ17" s="181" t="e">
        <f>HLOOKUP($AZ$3,VaR_Calculo_Historico!$C$2:$ET$103,B17+1,0)</f>
        <v>#N/A</v>
      </c>
      <c r="BA17" s="182" t="e">
        <f t="shared" si="23"/>
        <v>#N/A</v>
      </c>
      <c r="BB17" s="181" t="e">
        <f>HLOOKUP($BB$3,VaR_Calculo_Historico!$C$2:$ET$103,B17+1,0)</f>
        <v>#N/A</v>
      </c>
      <c r="BC17" s="182" t="e">
        <f t="shared" si="24"/>
        <v>#N/A</v>
      </c>
      <c r="BD17" s="181" t="e">
        <f>HLOOKUP($BD$3,VaR_Calculo_Historico!$C$2:$ET$103,B17+1,0)</f>
        <v>#N/A</v>
      </c>
      <c r="BE17" s="182" t="e">
        <f t="shared" si="25"/>
        <v>#N/A</v>
      </c>
      <c r="BF17" s="181" t="e">
        <f>HLOOKUP($BF$3,VaR_Calculo_Historico!$C$2:$ET$103,B17+1,0)</f>
        <v>#N/A</v>
      </c>
      <c r="BG17" s="182" t="e">
        <f t="shared" si="26"/>
        <v>#N/A</v>
      </c>
      <c r="BH17" s="181" t="e">
        <f>HLOOKUP($BH$3,VaR_Calculo_Historico!$C$2:$ET$103,B17+1,0)</f>
        <v>#N/A</v>
      </c>
      <c r="BI17" s="223" t="e">
        <f t="shared" si="27"/>
        <v>#N/A</v>
      </c>
      <c r="BJ17" s="181" t="e">
        <f>HLOOKUP($BJ$3,VaR_Calculo_Historico!$C$2:$ET$103,B17+1,0)</f>
        <v>#N/A</v>
      </c>
      <c r="BK17" s="223" t="e">
        <f t="shared" si="28"/>
        <v>#N/A</v>
      </c>
      <c r="BL17" s="181" t="e">
        <f>HLOOKUP($BL$3,VaR_Calculo_Historico!$C$2:$ET$103,B17+1,0)</f>
        <v>#N/A</v>
      </c>
      <c r="BM17" s="223" t="e">
        <f t="shared" si="29"/>
        <v>#N/A</v>
      </c>
      <c r="BN17" s="181" t="e">
        <f>HLOOKUP($BN$3,VaR_Calculo_Historico!$C$2:$EY$103,B17+1,0)</f>
        <v>#N/A</v>
      </c>
      <c r="BO17" s="223" t="e">
        <f t="shared" si="30"/>
        <v>#N/A</v>
      </c>
    </row>
    <row r="18" spans="2:67" x14ac:dyDescent="0.3">
      <c r="B18" s="166">
        <v>14</v>
      </c>
      <c r="C18" s="208">
        <f>VaR_Calculo_Historico!B15</f>
        <v>42331</v>
      </c>
      <c r="D18" s="181">
        <f>HLOOKUP($D$3,VaR_Calculo_Historico!$C$2:$ET$103,B18+1,0)</f>
        <v>3.3127806639999999</v>
      </c>
      <c r="E18" s="182">
        <f t="shared" si="0"/>
        <v>-6.3013624138134221E-4</v>
      </c>
      <c r="F18" s="181">
        <f>HLOOKUP($F$3,VaR_Calculo_Historico!$C$2:$ET$103,B18+1,0)</f>
        <v>1.5730789999999999</v>
      </c>
      <c r="G18" s="182">
        <f t="shared" si="1"/>
        <v>5.1313829058038203E-4</v>
      </c>
      <c r="H18" s="181">
        <f>HLOOKUP($H$3,VaR_Calculo_Historico!$C$2:$ET$103,B18+1,0)</f>
        <v>1.091393974</v>
      </c>
      <c r="I18" s="182">
        <f t="shared" si="2"/>
        <v>-1.0334608757952822E-3</v>
      </c>
      <c r="J18" s="181">
        <f>HLOOKUP($J$3,VaR_Calculo_Historico!$C$2:$ET$103,B18+1,0)</f>
        <v>1.802046</v>
      </c>
      <c r="K18" s="182">
        <f t="shared" si="31"/>
        <v>2.9970429400881591E-4</v>
      </c>
      <c r="L18" s="181">
        <f>HLOOKUP($L$3,VaR_Calculo_Historico!$C$2:$ET$103,B18+1,0)</f>
        <v>1.0625009999999999</v>
      </c>
      <c r="M18" s="182">
        <f t="shared" si="3"/>
        <v>-5.8429930205657619E-4</v>
      </c>
      <c r="N18" s="181">
        <f>HLOOKUP($N$3,VaR_Calculo_Historico!$C$2:$ET$103,B18+1,0)</f>
        <v>2.5592679999999999</v>
      </c>
      <c r="O18" s="182">
        <f t="shared" si="4"/>
        <v>5.2880658421974283E-4</v>
      </c>
      <c r="P18" s="181">
        <f>HLOOKUP($P$3,VaR_Calculo_Historico!$C$2:$ET$103,B18+1,0)</f>
        <v>1.720818</v>
      </c>
      <c r="Q18" s="182">
        <f t="shared" si="5"/>
        <v>2.8071986521488305E-4</v>
      </c>
      <c r="R18" s="181">
        <f>HLOOKUP($R$3,VaR_Calculo_Historico!$C$2:$ET$103,B18+1,0)</f>
        <v>1.260348</v>
      </c>
      <c r="S18" s="182">
        <f t="shared" si="6"/>
        <v>-1.0095287516339332E-3</v>
      </c>
      <c r="T18" s="181" t="e">
        <f>HLOOKUP($T$3,VaR_Calculo_Historico!$C$2:$ET$103,B18+1,0)</f>
        <v>#N/A</v>
      </c>
      <c r="U18" s="182" t="e">
        <f t="shared" si="7"/>
        <v>#N/A</v>
      </c>
      <c r="V18" s="181" t="e">
        <f>HLOOKUP($V$3,VaR_Calculo_Historico!$C$2:$ET$103,B18+1,0)</f>
        <v>#N/A</v>
      </c>
      <c r="W18" s="182" t="e">
        <f t="shared" si="8"/>
        <v>#N/A</v>
      </c>
      <c r="X18" s="181" t="e">
        <f>HLOOKUP($X$3,VaR_Calculo_Historico!$C$2:$ET$103,B18+1,0)</f>
        <v>#N/A</v>
      </c>
      <c r="Y18" s="182" t="e">
        <f t="shared" si="9"/>
        <v>#N/A</v>
      </c>
      <c r="Z18" s="181" t="e">
        <f>HLOOKUP($Z$3,VaR_Calculo_Historico!$C$2:$ET$103,B18+1,0)</f>
        <v>#N/A</v>
      </c>
      <c r="AA18" s="182" t="e">
        <f t="shared" si="10"/>
        <v>#N/A</v>
      </c>
      <c r="AB18" s="181" t="e">
        <f>HLOOKUP($AB$3,VaR_Calculo_Historico!$C$2:$ET$103,B18+1,0)</f>
        <v>#N/A</v>
      </c>
      <c r="AC18" s="182" t="e">
        <f t="shared" si="11"/>
        <v>#N/A</v>
      </c>
      <c r="AD18" s="181" t="e">
        <f>HLOOKUP($AD$3,VaR_Calculo_Historico!$C$2:$ET$103,B18+1,0)</f>
        <v>#N/A</v>
      </c>
      <c r="AE18" s="182" t="e">
        <f t="shared" si="12"/>
        <v>#N/A</v>
      </c>
      <c r="AF18" s="181" t="e">
        <f>HLOOKUP($AF$3,VaR_Calculo_Historico!$C$2:$FZS$104,B18+1,0)</f>
        <v>#N/A</v>
      </c>
      <c r="AG18" s="182" t="e">
        <f t="shared" si="13"/>
        <v>#N/A</v>
      </c>
      <c r="AH18" s="181" t="e">
        <f>HLOOKUP($AH$3,VaR_Calculo_Historico!$C$2:$FS$104,B18+1,0)</f>
        <v>#N/A</v>
      </c>
      <c r="AI18" s="182" t="e">
        <f t="shared" si="14"/>
        <v>#N/A</v>
      </c>
      <c r="AJ18" s="181" t="e">
        <f>HLOOKUP($AJ$3,VaR_Calculo_Historico!$C$2:$ET$103,B18+1,0)</f>
        <v>#N/A</v>
      </c>
      <c r="AK18" s="182" t="e">
        <f t="shared" si="15"/>
        <v>#N/A</v>
      </c>
      <c r="AL18" s="181" t="e">
        <f>HLOOKUP($AL$3,VaR_Calculo_Historico!$C$2:$ET$103,B18+1,0)</f>
        <v>#N/A</v>
      </c>
      <c r="AM18" s="182" t="e">
        <f t="shared" si="16"/>
        <v>#N/A</v>
      </c>
      <c r="AN18" s="181" t="e">
        <f>HLOOKUP($AN$3,VaR_Calculo_Historico!$C$2:$ET$103,B18+1,0)</f>
        <v>#N/A</v>
      </c>
      <c r="AO18" s="182" t="e">
        <f t="shared" si="17"/>
        <v>#N/A</v>
      </c>
      <c r="AP18" s="181" t="e">
        <f>HLOOKUP($AP$3,VaR_Calculo_Historico!$C$2:$ET$103,B18+1,0)</f>
        <v>#N/A</v>
      </c>
      <c r="AQ18" s="182" t="e">
        <f t="shared" si="18"/>
        <v>#N/A</v>
      </c>
      <c r="AR18" s="181" t="e">
        <f>HLOOKUP($AR$3,VaR_Calculo_Historico!$C$2:$ET$103,B18+1,0)</f>
        <v>#N/A</v>
      </c>
      <c r="AS18" s="182" t="e">
        <f t="shared" si="19"/>
        <v>#N/A</v>
      </c>
      <c r="AT18" s="181" t="e">
        <f>HLOOKUP($AT$3,VaR_Calculo_Historico!$C$2:$ET$103,B18+1,0)</f>
        <v>#N/A</v>
      </c>
      <c r="AU18" s="182" t="e">
        <f t="shared" si="20"/>
        <v>#N/A</v>
      </c>
      <c r="AV18" s="181" t="e">
        <f>HLOOKUP($AV$3,VaR_Calculo_Historico!$C$2:$ET$103,B18+1,0)</f>
        <v>#N/A</v>
      </c>
      <c r="AW18" s="223" t="e">
        <f t="shared" si="21"/>
        <v>#N/A</v>
      </c>
      <c r="AX18" s="181" t="e">
        <f>HLOOKUP($AX$3,VaR_Calculo_Historico!$C$2:$ET$103,B18+1,0)</f>
        <v>#N/A</v>
      </c>
      <c r="AY18" s="182" t="e">
        <f t="shared" si="22"/>
        <v>#N/A</v>
      </c>
      <c r="AZ18" s="181" t="e">
        <f>HLOOKUP($AZ$3,VaR_Calculo_Historico!$C$2:$ET$103,B18+1,0)</f>
        <v>#N/A</v>
      </c>
      <c r="BA18" s="182" t="e">
        <f t="shared" si="23"/>
        <v>#N/A</v>
      </c>
      <c r="BB18" s="181" t="e">
        <f>HLOOKUP($BB$3,VaR_Calculo_Historico!$C$2:$ET$103,B18+1,0)</f>
        <v>#N/A</v>
      </c>
      <c r="BC18" s="182" t="e">
        <f t="shared" si="24"/>
        <v>#N/A</v>
      </c>
      <c r="BD18" s="181" t="e">
        <f>HLOOKUP($BD$3,VaR_Calculo_Historico!$C$2:$ET$103,B18+1,0)</f>
        <v>#N/A</v>
      </c>
      <c r="BE18" s="182" t="e">
        <f t="shared" si="25"/>
        <v>#N/A</v>
      </c>
      <c r="BF18" s="181" t="e">
        <f>HLOOKUP($BF$3,VaR_Calculo_Historico!$C$2:$ET$103,B18+1,0)</f>
        <v>#N/A</v>
      </c>
      <c r="BG18" s="182" t="e">
        <f t="shared" si="26"/>
        <v>#N/A</v>
      </c>
      <c r="BH18" s="181" t="e">
        <f>HLOOKUP($BH$3,VaR_Calculo_Historico!$C$2:$ET$103,B18+1,0)</f>
        <v>#N/A</v>
      </c>
      <c r="BI18" s="223" t="e">
        <f t="shared" si="27"/>
        <v>#N/A</v>
      </c>
      <c r="BJ18" s="181" t="e">
        <f>HLOOKUP($BJ$3,VaR_Calculo_Historico!$C$2:$ET$103,B18+1,0)</f>
        <v>#N/A</v>
      </c>
      <c r="BK18" s="223" t="e">
        <f t="shared" si="28"/>
        <v>#N/A</v>
      </c>
      <c r="BL18" s="181" t="e">
        <f>HLOOKUP($BL$3,VaR_Calculo_Historico!$C$2:$ET$103,B18+1,0)</f>
        <v>#N/A</v>
      </c>
      <c r="BM18" s="223" t="e">
        <f t="shared" si="29"/>
        <v>#N/A</v>
      </c>
      <c r="BN18" s="181" t="e">
        <f>HLOOKUP($BN$3,VaR_Calculo_Historico!$C$2:$EY$103,B18+1,0)</f>
        <v>#N/A</v>
      </c>
      <c r="BO18" s="223" t="e">
        <f t="shared" si="30"/>
        <v>#N/A</v>
      </c>
    </row>
    <row r="19" spans="2:67" x14ac:dyDescent="0.3">
      <c r="B19" s="166">
        <v>15</v>
      </c>
      <c r="C19" s="208">
        <f>VaR_Calculo_Historico!B16</f>
        <v>42332</v>
      </c>
      <c r="D19" s="181">
        <f>HLOOKUP($D$3,VaR_Calculo_Historico!$C$2:$ET$103,B19+1,0)</f>
        <v>3.3033992369999998</v>
      </c>
      <c r="E19" s="182">
        <f t="shared" si="0"/>
        <v>-2.835906347101038E-3</v>
      </c>
      <c r="F19" s="181">
        <f>HLOOKUP($F$3,VaR_Calculo_Historico!$C$2:$ET$103,B19+1,0)</f>
        <v>1.5738620000000001</v>
      </c>
      <c r="G19" s="182">
        <f t="shared" si="1"/>
        <v>4.9762611765399054E-4</v>
      </c>
      <c r="H19" s="181">
        <f>HLOOKUP($H$3,VaR_Calculo_Historico!$C$2:$ET$103,B19+1,0)</f>
        <v>1.0908956620000001</v>
      </c>
      <c r="I19" s="182">
        <f t="shared" si="2"/>
        <v>-4.5668732549559982E-4</v>
      </c>
      <c r="J19" s="181">
        <f>HLOOKUP($J$3,VaR_Calculo_Historico!$C$2:$ET$103,B19+1,0)</f>
        <v>1.8028470000000001</v>
      </c>
      <c r="K19" s="182">
        <f t="shared" si="31"/>
        <v>4.4439599909466181E-4</v>
      </c>
      <c r="L19" s="181">
        <f>HLOOKUP($L$3,VaR_Calculo_Historico!$C$2:$ET$103,B19+1,0)</f>
        <v>1.062497</v>
      </c>
      <c r="M19" s="182">
        <f t="shared" si="3"/>
        <v>-3.7647094254915988E-6</v>
      </c>
      <c r="N19" s="181">
        <f>HLOOKUP($N$3,VaR_Calculo_Historico!$C$2:$ET$103,B19+1,0)</f>
        <v>2.5606239999999998</v>
      </c>
      <c r="O19" s="182">
        <f t="shared" si="4"/>
        <v>5.2969868571660621E-4</v>
      </c>
      <c r="P19" s="181">
        <f>HLOOKUP($P$3,VaR_Calculo_Historico!$C$2:$ET$103,B19+1,0)</f>
        <v>1.721581</v>
      </c>
      <c r="Q19" s="182">
        <f t="shared" si="5"/>
        <v>4.4329551135397871E-4</v>
      </c>
      <c r="R19" s="181">
        <f>HLOOKUP($R$3,VaR_Calculo_Historico!$C$2:$ET$103,B19+1,0)</f>
        <v>1.2536529999999999</v>
      </c>
      <c r="S19" s="182">
        <f t="shared" si="6"/>
        <v>-5.3261839013618332E-3</v>
      </c>
      <c r="T19" s="181" t="e">
        <f>HLOOKUP($T$3,VaR_Calculo_Historico!$C$2:$ET$103,B19+1,0)</f>
        <v>#N/A</v>
      </c>
      <c r="U19" s="182" t="e">
        <f t="shared" si="7"/>
        <v>#N/A</v>
      </c>
      <c r="V19" s="181" t="e">
        <f>HLOOKUP($V$3,VaR_Calculo_Historico!$C$2:$ET$103,B19+1,0)</f>
        <v>#N/A</v>
      </c>
      <c r="W19" s="182" t="e">
        <f t="shared" si="8"/>
        <v>#N/A</v>
      </c>
      <c r="X19" s="181" t="e">
        <f>HLOOKUP($X$3,VaR_Calculo_Historico!$C$2:$ET$103,B19+1,0)</f>
        <v>#N/A</v>
      </c>
      <c r="Y19" s="182" t="e">
        <f t="shared" si="9"/>
        <v>#N/A</v>
      </c>
      <c r="Z19" s="181" t="e">
        <f>HLOOKUP($Z$3,VaR_Calculo_Historico!$C$2:$ET$103,B19+1,0)</f>
        <v>#N/A</v>
      </c>
      <c r="AA19" s="182" t="e">
        <f t="shared" si="10"/>
        <v>#N/A</v>
      </c>
      <c r="AB19" s="181" t="e">
        <f>HLOOKUP($AB$3,VaR_Calculo_Historico!$C$2:$ET$103,B19+1,0)</f>
        <v>#N/A</v>
      </c>
      <c r="AC19" s="182" t="e">
        <f t="shared" si="11"/>
        <v>#N/A</v>
      </c>
      <c r="AD19" s="181" t="e">
        <f>HLOOKUP($AD$3,VaR_Calculo_Historico!$C$2:$ET$103,B19+1,0)</f>
        <v>#N/A</v>
      </c>
      <c r="AE19" s="182" t="e">
        <f t="shared" si="12"/>
        <v>#N/A</v>
      </c>
      <c r="AF19" s="181" t="e">
        <f>HLOOKUP($AF$3,VaR_Calculo_Historico!$C$2:$FZS$104,B19+1,0)</f>
        <v>#N/A</v>
      </c>
      <c r="AG19" s="182" t="e">
        <f t="shared" si="13"/>
        <v>#N/A</v>
      </c>
      <c r="AH19" s="181" t="e">
        <f>HLOOKUP($AH$3,VaR_Calculo_Historico!$C$2:$FS$104,B19+1,0)</f>
        <v>#N/A</v>
      </c>
      <c r="AI19" s="182" t="e">
        <f t="shared" si="14"/>
        <v>#N/A</v>
      </c>
      <c r="AJ19" s="181" t="e">
        <f>HLOOKUP($AJ$3,VaR_Calculo_Historico!$C$2:$ET$103,B19+1,0)</f>
        <v>#N/A</v>
      </c>
      <c r="AK19" s="182" t="e">
        <f t="shared" si="15"/>
        <v>#N/A</v>
      </c>
      <c r="AL19" s="181" t="e">
        <f>HLOOKUP($AL$3,VaR_Calculo_Historico!$C$2:$ET$103,B19+1,0)</f>
        <v>#N/A</v>
      </c>
      <c r="AM19" s="182" t="e">
        <f t="shared" si="16"/>
        <v>#N/A</v>
      </c>
      <c r="AN19" s="181" t="e">
        <f>HLOOKUP($AN$3,VaR_Calculo_Historico!$C$2:$ET$103,B19+1,0)</f>
        <v>#N/A</v>
      </c>
      <c r="AO19" s="182" t="e">
        <f t="shared" si="17"/>
        <v>#N/A</v>
      </c>
      <c r="AP19" s="181" t="e">
        <f>HLOOKUP($AP$3,VaR_Calculo_Historico!$C$2:$ET$103,B19+1,0)</f>
        <v>#N/A</v>
      </c>
      <c r="AQ19" s="182" t="e">
        <f t="shared" si="18"/>
        <v>#N/A</v>
      </c>
      <c r="AR19" s="181" t="e">
        <f>HLOOKUP($AR$3,VaR_Calculo_Historico!$C$2:$ET$103,B19+1,0)</f>
        <v>#N/A</v>
      </c>
      <c r="AS19" s="182" t="e">
        <f t="shared" si="19"/>
        <v>#N/A</v>
      </c>
      <c r="AT19" s="181" t="e">
        <f>HLOOKUP($AT$3,VaR_Calculo_Historico!$C$2:$ET$103,B19+1,0)</f>
        <v>#N/A</v>
      </c>
      <c r="AU19" s="182" t="e">
        <f t="shared" si="20"/>
        <v>#N/A</v>
      </c>
      <c r="AV19" s="181" t="e">
        <f>HLOOKUP($AV$3,VaR_Calculo_Historico!$C$2:$ET$103,B19+1,0)</f>
        <v>#N/A</v>
      </c>
      <c r="AW19" s="223" t="e">
        <f t="shared" si="21"/>
        <v>#N/A</v>
      </c>
      <c r="AX19" s="181" t="e">
        <f>HLOOKUP($AX$3,VaR_Calculo_Historico!$C$2:$ET$103,B19+1,0)</f>
        <v>#N/A</v>
      </c>
      <c r="AY19" s="182" t="e">
        <f t="shared" si="22"/>
        <v>#N/A</v>
      </c>
      <c r="AZ19" s="181" t="e">
        <f>HLOOKUP($AZ$3,VaR_Calculo_Historico!$C$2:$ET$103,B19+1,0)</f>
        <v>#N/A</v>
      </c>
      <c r="BA19" s="182" t="e">
        <f t="shared" si="23"/>
        <v>#N/A</v>
      </c>
      <c r="BB19" s="181" t="e">
        <f>HLOOKUP($BB$3,VaR_Calculo_Historico!$C$2:$ET$103,B19+1,0)</f>
        <v>#N/A</v>
      </c>
      <c r="BC19" s="182" t="e">
        <f t="shared" si="24"/>
        <v>#N/A</v>
      </c>
      <c r="BD19" s="181" t="e">
        <f>HLOOKUP($BD$3,VaR_Calculo_Historico!$C$2:$ET$103,B19+1,0)</f>
        <v>#N/A</v>
      </c>
      <c r="BE19" s="182" t="e">
        <f t="shared" si="25"/>
        <v>#N/A</v>
      </c>
      <c r="BF19" s="181" t="e">
        <f>HLOOKUP($BF$3,VaR_Calculo_Historico!$C$2:$ET$103,B19+1,0)</f>
        <v>#N/A</v>
      </c>
      <c r="BG19" s="182" t="e">
        <f t="shared" si="26"/>
        <v>#N/A</v>
      </c>
      <c r="BH19" s="181" t="e">
        <f>HLOOKUP($BH$3,VaR_Calculo_Historico!$C$2:$ET$103,B19+1,0)</f>
        <v>#N/A</v>
      </c>
      <c r="BI19" s="223" t="e">
        <f t="shared" si="27"/>
        <v>#N/A</v>
      </c>
      <c r="BJ19" s="181" t="e">
        <f>HLOOKUP($BJ$3,VaR_Calculo_Historico!$C$2:$ET$103,B19+1,0)</f>
        <v>#N/A</v>
      </c>
      <c r="BK19" s="223" t="e">
        <f t="shared" si="28"/>
        <v>#N/A</v>
      </c>
      <c r="BL19" s="181" t="e">
        <f>HLOOKUP($BL$3,VaR_Calculo_Historico!$C$2:$ET$103,B19+1,0)</f>
        <v>#N/A</v>
      </c>
      <c r="BM19" s="223" t="e">
        <f t="shared" si="29"/>
        <v>#N/A</v>
      </c>
      <c r="BN19" s="181" t="e">
        <f>HLOOKUP($BN$3,VaR_Calculo_Historico!$C$2:$EY$103,B19+1,0)</f>
        <v>#N/A</v>
      </c>
      <c r="BO19" s="223" t="e">
        <f t="shared" si="30"/>
        <v>#N/A</v>
      </c>
    </row>
    <row r="20" spans="2:67" x14ac:dyDescent="0.3">
      <c r="B20" s="166">
        <v>16</v>
      </c>
      <c r="C20" s="208">
        <f>VaR_Calculo_Historico!B17</f>
        <v>42333</v>
      </c>
      <c r="D20" s="181">
        <f>HLOOKUP($D$3,VaR_Calculo_Historico!$C$2:$ET$103,B20+1,0)</f>
        <v>3.2974168069999998</v>
      </c>
      <c r="E20" s="182">
        <f t="shared" si="0"/>
        <v>-1.8126339525695208E-3</v>
      </c>
      <c r="F20" s="181">
        <f>HLOOKUP($F$3,VaR_Calculo_Historico!$C$2:$ET$103,B20+1,0)</f>
        <v>1.574665</v>
      </c>
      <c r="G20" s="182">
        <f t="shared" si="1"/>
        <v>5.1007980392754702E-4</v>
      </c>
      <c r="H20" s="181">
        <f>HLOOKUP($H$3,VaR_Calculo_Historico!$C$2:$ET$103,B20+1,0)</f>
        <v>1.088596092</v>
      </c>
      <c r="I20" s="182">
        <f t="shared" si="2"/>
        <v>-2.1101900010339469E-3</v>
      </c>
      <c r="J20" s="181">
        <f>HLOOKUP($J$3,VaR_Calculo_Historico!$C$2:$ET$103,B20+1,0)</f>
        <v>1.803213</v>
      </c>
      <c r="K20" s="182">
        <f t="shared" si="31"/>
        <v>2.0299163145175947E-4</v>
      </c>
      <c r="L20" s="181">
        <f>HLOOKUP($L$3,VaR_Calculo_Historico!$C$2:$ET$103,B20+1,0)</f>
        <v>1.061026</v>
      </c>
      <c r="M20" s="182">
        <f t="shared" si="3"/>
        <v>-1.3854337676491087E-3</v>
      </c>
      <c r="N20" s="181">
        <f>HLOOKUP($N$3,VaR_Calculo_Historico!$C$2:$ET$103,B20+1,0)</f>
        <v>2.5619909999999999</v>
      </c>
      <c r="O20" s="182">
        <f t="shared" si="4"/>
        <v>5.3371179854395056E-4</v>
      </c>
      <c r="P20" s="181">
        <f>HLOOKUP($P$3,VaR_Calculo_Historico!$C$2:$ET$103,B20+1,0)</f>
        <v>1.721873</v>
      </c>
      <c r="Q20" s="182">
        <f t="shared" si="5"/>
        <v>1.6959715489146051E-4</v>
      </c>
      <c r="R20" s="181">
        <f>HLOOKUP($R$3,VaR_Calculo_Historico!$C$2:$ET$103,B20+1,0)</f>
        <v>1.249636</v>
      </c>
      <c r="S20" s="182">
        <f t="shared" si="6"/>
        <v>-3.2093804973900501E-3</v>
      </c>
      <c r="T20" s="181" t="e">
        <f>HLOOKUP($T$3,VaR_Calculo_Historico!$C$2:$ET$103,B20+1,0)</f>
        <v>#N/A</v>
      </c>
      <c r="U20" s="182" t="e">
        <f t="shared" si="7"/>
        <v>#N/A</v>
      </c>
      <c r="V20" s="181" t="e">
        <f>HLOOKUP($V$3,VaR_Calculo_Historico!$C$2:$ET$103,B20+1,0)</f>
        <v>#N/A</v>
      </c>
      <c r="W20" s="182" t="e">
        <f t="shared" si="8"/>
        <v>#N/A</v>
      </c>
      <c r="X20" s="181" t="e">
        <f>HLOOKUP($X$3,VaR_Calculo_Historico!$C$2:$ET$103,B20+1,0)</f>
        <v>#N/A</v>
      </c>
      <c r="Y20" s="182" t="e">
        <f t="shared" si="9"/>
        <v>#N/A</v>
      </c>
      <c r="Z20" s="181" t="e">
        <f>HLOOKUP($Z$3,VaR_Calculo_Historico!$C$2:$ET$103,B20+1,0)</f>
        <v>#N/A</v>
      </c>
      <c r="AA20" s="182" t="e">
        <f t="shared" si="10"/>
        <v>#N/A</v>
      </c>
      <c r="AB20" s="181" t="e">
        <f>HLOOKUP($AB$3,VaR_Calculo_Historico!$C$2:$ET$103,B20+1,0)</f>
        <v>#N/A</v>
      </c>
      <c r="AC20" s="182" t="e">
        <f t="shared" si="11"/>
        <v>#N/A</v>
      </c>
      <c r="AD20" s="181" t="e">
        <f>HLOOKUP($AD$3,VaR_Calculo_Historico!$C$2:$ET$103,B20+1,0)</f>
        <v>#N/A</v>
      </c>
      <c r="AE20" s="182" t="e">
        <f t="shared" si="12"/>
        <v>#N/A</v>
      </c>
      <c r="AF20" s="181" t="e">
        <f>HLOOKUP($AF$3,VaR_Calculo_Historico!$C$2:$FZS$104,B20+1,0)</f>
        <v>#N/A</v>
      </c>
      <c r="AG20" s="182" t="e">
        <f t="shared" si="13"/>
        <v>#N/A</v>
      </c>
      <c r="AH20" s="181" t="e">
        <f>HLOOKUP($AH$3,VaR_Calculo_Historico!$C$2:$FS$104,B20+1,0)</f>
        <v>#N/A</v>
      </c>
      <c r="AI20" s="182" t="e">
        <f t="shared" si="14"/>
        <v>#N/A</v>
      </c>
      <c r="AJ20" s="181" t="e">
        <f>HLOOKUP($AJ$3,VaR_Calculo_Historico!$C$2:$ET$103,B20+1,0)</f>
        <v>#N/A</v>
      </c>
      <c r="AK20" s="182" t="e">
        <f t="shared" si="15"/>
        <v>#N/A</v>
      </c>
      <c r="AL20" s="181" t="e">
        <f>HLOOKUP($AL$3,VaR_Calculo_Historico!$C$2:$ET$103,B20+1,0)</f>
        <v>#N/A</v>
      </c>
      <c r="AM20" s="182" t="e">
        <f t="shared" si="16"/>
        <v>#N/A</v>
      </c>
      <c r="AN20" s="181" t="e">
        <f>HLOOKUP($AN$3,VaR_Calculo_Historico!$C$2:$ET$103,B20+1,0)</f>
        <v>#N/A</v>
      </c>
      <c r="AO20" s="182" t="e">
        <f t="shared" si="17"/>
        <v>#N/A</v>
      </c>
      <c r="AP20" s="181" t="e">
        <f>HLOOKUP($AP$3,VaR_Calculo_Historico!$C$2:$ET$103,B20+1,0)</f>
        <v>#N/A</v>
      </c>
      <c r="AQ20" s="182" t="e">
        <f t="shared" si="18"/>
        <v>#N/A</v>
      </c>
      <c r="AR20" s="181" t="e">
        <f>HLOOKUP($AR$3,VaR_Calculo_Historico!$C$2:$ET$103,B20+1,0)</f>
        <v>#N/A</v>
      </c>
      <c r="AS20" s="182" t="e">
        <f t="shared" si="19"/>
        <v>#N/A</v>
      </c>
      <c r="AT20" s="181" t="e">
        <f>HLOOKUP($AT$3,VaR_Calculo_Historico!$C$2:$ET$103,B20+1,0)</f>
        <v>#N/A</v>
      </c>
      <c r="AU20" s="182" t="e">
        <f t="shared" si="20"/>
        <v>#N/A</v>
      </c>
      <c r="AV20" s="181" t="e">
        <f>HLOOKUP($AV$3,VaR_Calculo_Historico!$C$2:$ET$103,B20+1,0)</f>
        <v>#N/A</v>
      </c>
      <c r="AW20" s="223" t="e">
        <f t="shared" si="21"/>
        <v>#N/A</v>
      </c>
      <c r="AX20" s="181" t="e">
        <f>HLOOKUP($AX$3,VaR_Calculo_Historico!$C$2:$ET$103,B20+1,0)</f>
        <v>#N/A</v>
      </c>
      <c r="AY20" s="182" t="e">
        <f t="shared" si="22"/>
        <v>#N/A</v>
      </c>
      <c r="AZ20" s="181" t="e">
        <f>HLOOKUP($AZ$3,VaR_Calculo_Historico!$C$2:$ET$103,B20+1,0)</f>
        <v>#N/A</v>
      </c>
      <c r="BA20" s="182" t="e">
        <f t="shared" si="23"/>
        <v>#N/A</v>
      </c>
      <c r="BB20" s="181" t="e">
        <f>HLOOKUP($BB$3,VaR_Calculo_Historico!$C$2:$ET$103,B20+1,0)</f>
        <v>#N/A</v>
      </c>
      <c r="BC20" s="182" t="e">
        <f t="shared" si="24"/>
        <v>#N/A</v>
      </c>
      <c r="BD20" s="181" t="e">
        <f>HLOOKUP($BD$3,VaR_Calculo_Historico!$C$2:$ET$103,B20+1,0)</f>
        <v>#N/A</v>
      </c>
      <c r="BE20" s="182" t="e">
        <f t="shared" si="25"/>
        <v>#N/A</v>
      </c>
      <c r="BF20" s="181" t="e">
        <f>HLOOKUP($BF$3,VaR_Calculo_Historico!$C$2:$ET$103,B20+1,0)</f>
        <v>#N/A</v>
      </c>
      <c r="BG20" s="182" t="e">
        <f t="shared" si="26"/>
        <v>#N/A</v>
      </c>
      <c r="BH20" s="181" t="e">
        <f>HLOOKUP($BH$3,VaR_Calculo_Historico!$C$2:$ET$103,B20+1,0)</f>
        <v>#N/A</v>
      </c>
      <c r="BI20" s="223" t="e">
        <f t="shared" si="27"/>
        <v>#N/A</v>
      </c>
      <c r="BJ20" s="181" t="e">
        <f>HLOOKUP($BJ$3,VaR_Calculo_Historico!$C$2:$ET$103,B20+1,0)</f>
        <v>#N/A</v>
      </c>
      <c r="BK20" s="223" t="e">
        <f t="shared" si="28"/>
        <v>#N/A</v>
      </c>
      <c r="BL20" s="181" t="e">
        <f>HLOOKUP($BL$3,VaR_Calculo_Historico!$C$2:$ET$103,B20+1,0)</f>
        <v>#N/A</v>
      </c>
      <c r="BM20" s="223" t="e">
        <f t="shared" si="29"/>
        <v>#N/A</v>
      </c>
      <c r="BN20" s="181" t="e">
        <f>HLOOKUP($BN$3,VaR_Calculo_Historico!$C$2:$EY$103,B20+1,0)</f>
        <v>#N/A</v>
      </c>
      <c r="BO20" s="223" t="e">
        <f t="shared" si="30"/>
        <v>#N/A</v>
      </c>
    </row>
    <row r="21" spans="2:67" x14ac:dyDescent="0.3">
      <c r="B21" s="166">
        <v>17</v>
      </c>
      <c r="C21" s="208">
        <f>VaR_Calculo_Historico!B18</f>
        <v>42334</v>
      </c>
      <c r="D21" s="181">
        <f>HLOOKUP($D$3,VaR_Calculo_Historico!$C$2:$ET$103,B21+1,0)</f>
        <v>3.2864478720000001</v>
      </c>
      <c r="E21" s="182">
        <f t="shared" si="0"/>
        <v>-3.3320688329763893E-3</v>
      </c>
      <c r="F21" s="181">
        <f>HLOOKUP($F$3,VaR_Calculo_Historico!$C$2:$ET$103,B21+1,0)</f>
        <v>1.575469</v>
      </c>
      <c r="G21" s="182">
        <f t="shared" si="1"/>
        <v>5.1045448698857428E-4</v>
      </c>
      <c r="H21" s="181">
        <f>HLOOKUP($H$3,VaR_Calculo_Historico!$C$2:$ET$103,B21+1,0)</f>
        <v>1.088731836</v>
      </c>
      <c r="I21" s="182">
        <f t="shared" si="2"/>
        <v>1.2468861344238947E-4</v>
      </c>
      <c r="J21" s="181">
        <f>HLOOKUP($J$3,VaR_Calculo_Historico!$C$2:$ET$103,B21+1,0)</f>
        <v>1.803804</v>
      </c>
      <c r="K21" s="182">
        <f t="shared" si="31"/>
        <v>3.2769460487081599E-4</v>
      </c>
      <c r="L21" s="181">
        <f>HLOOKUP($L$3,VaR_Calculo_Historico!$C$2:$ET$103,B21+1,0)</f>
        <v>1.061501</v>
      </c>
      <c r="M21" s="182">
        <f t="shared" si="3"/>
        <v>4.4757970846036533E-4</v>
      </c>
      <c r="N21" s="181">
        <f>HLOOKUP($N$3,VaR_Calculo_Historico!$C$2:$ET$103,B21+1,0)</f>
        <v>2.563231</v>
      </c>
      <c r="O21" s="182">
        <f t="shared" si="4"/>
        <v>4.8388148813644915E-4</v>
      </c>
      <c r="P21" s="181">
        <f>HLOOKUP($P$3,VaR_Calculo_Historico!$C$2:$ET$103,B21+1,0)</f>
        <v>1.7224159999999999</v>
      </c>
      <c r="Q21" s="182">
        <f t="shared" si="5"/>
        <v>3.1530455458218505E-4</v>
      </c>
      <c r="R21" s="181">
        <f>HLOOKUP($R$3,VaR_Calculo_Historico!$C$2:$ET$103,B21+1,0)</f>
        <v>1.242861</v>
      </c>
      <c r="S21" s="182">
        <f t="shared" si="6"/>
        <v>-5.4363288585719928E-3</v>
      </c>
      <c r="T21" s="181" t="e">
        <f>HLOOKUP($T$3,VaR_Calculo_Historico!$C$2:$ET$103,B21+1,0)</f>
        <v>#N/A</v>
      </c>
      <c r="U21" s="182" t="e">
        <f t="shared" si="7"/>
        <v>#N/A</v>
      </c>
      <c r="V21" s="181" t="e">
        <f>HLOOKUP($V$3,VaR_Calculo_Historico!$C$2:$ET$103,B21+1,0)</f>
        <v>#N/A</v>
      </c>
      <c r="W21" s="182" t="e">
        <f t="shared" si="8"/>
        <v>#N/A</v>
      </c>
      <c r="X21" s="181" t="e">
        <f>HLOOKUP($X$3,VaR_Calculo_Historico!$C$2:$ET$103,B21+1,0)</f>
        <v>#N/A</v>
      </c>
      <c r="Y21" s="182" t="e">
        <f t="shared" si="9"/>
        <v>#N/A</v>
      </c>
      <c r="Z21" s="181" t="e">
        <f>HLOOKUP($Z$3,VaR_Calculo_Historico!$C$2:$ET$103,B21+1,0)</f>
        <v>#N/A</v>
      </c>
      <c r="AA21" s="182" t="e">
        <f t="shared" si="10"/>
        <v>#N/A</v>
      </c>
      <c r="AB21" s="181" t="e">
        <f>HLOOKUP($AB$3,VaR_Calculo_Historico!$C$2:$ET$103,B21+1,0)</f>
        <v>#N/A</v>
      </c>
      <c r="AC21" s="182" t="e">
        <f t="shared" si="11"/>
        <v>#N/A</v>
      </c>
      <c r="AD21" s="181" t="e">
        <f>HLOOKUP($AD$3,VaR_Calculo_Historico!$C$2:$ET$103,B21+1,0)</f>
        <v>#N/A</v>
      </c>
      <c r="AE21" s="182" t="e">
        <f t="shared" si="12"/>
        <v>#N/A</v>
      </c>
      <c r="AF21" s="181" t="e">
        <f>HLOOKUP($AF$3,VaR_Calculo_Historico!$C$2:$FZS$104,B21+1,0)</f>
        <v>#N/A</v>
      </c>
      <c r="AG21" s="182" t="e">
        <f t="shared" si="13"/>
        <v>#N/A</v>
      </c>
      <c r="AH21" s="181" t="e">
        <f>HLOOKUP($AH$3,VaR_Calculo_Historico!$C$2:$FS$104,B21+1,0)</f>
        <v>#N/A</v>
      </c>
      <c r="AI21" s="182" t="e">
        <f t="shared" si="14"/>
        <v>#N/A</v>
      </c>
      <c r="AJ21" s="181" t="e">
        <f>HLOOKUP($AJ$3,VaR_Calculo_Historico!$C$2:$ET$103,B21+1,0)</f>
        <v>#N/A</v>
      </c>
      <c r="AK21" s="182" t="e">
        <f t="shared" si="15"/>
        <v>#N/A</v>
      </c>
      <c r="AL21" s="181" t="e">
        <f>HLOOKUP($AL$3,VaR_Calculo_Historico!$C$2:$ET$103,B21+1,0)</f>
        <v>#N/A</v>
      </c>
      <c r="AM21" s="182" t="e">
        <f t="shared" si="16"/>
        <v>#N/A</v>
      </c>
      <c r="AN21" s="181" t="e">
        <f>HLOOKUP($AN$3,VaR_Calculo_Historico!$C$2:$ET$103,B21+1,0)</f>
        <v>#N/A</v>
      </c>
      <c r="AO21" s="182" t="e">
        <f t="shared" si="17"/>
        <v>#N/A</v>
      </c>
      <c r="AP21" s="181" t="e">
        <f>HLOOKUP($AP$3,VaR_Calculo_Historico!$C$2:$ET$103,B21+1,0)</f>
        <v>#N/A</v>
      </c>
      <c r="AQ21" s="182" t="e">
        <f t="shared" si="18"/>
        <v>#N/A</v>
      </c>
      <c r="AR21" s="181" t="e">
        <f>HLOOKUP($AR$3,VaR_Calculo_Historico!$C$2:$ET$103,B21+1,0)</f>
        <v>#N/A</v>
      </c>
      <c r="AS21" s="182" t="e">
        <f t="shared" si="19"/>
        <v>#N/A</v>
      </c>
      <c r="AT21" s="181" t="e">
        <f>HLOOKUP($AT$3,VaR_Calculo_Historico!$C$2:$ET$103,B21+1,0)</f>
        <v>#N/A</v>
      </c>
      <c r="AU21" s="182" t="e">
        <f t="shared" si="20"/>
        <v>#N/A</v>
      </c>
      <c r="AV21" s="181" t="e">
        <f>HLOOKUP($AV$3,VaR_Calculo_Historico!$C$2:$ET$103,B21+1,0)</f>
        <v>#N/A</v>
      </c>
      <c r="AW21" s="223" t="e">
        <f t="shared" si="21"/>
        <v>#N/A</v>
      </c>
      <c r="AX21" s="181" t="e">
        <f>HLOOKUP($AX$3,VaR_Calculo_Historico!$C$2:$ET$103,B21+1,0)</f>
        <v>#N/A</v>
      </c>
      <c r="AY21" s="182" t="e">
        <f t="shared" si="22"/>
        <v>#N/A</v>
      </c>
      <c r="AZ21" s="181" t="e">
        <f>HLOOKUP($AZ$3,VaR_Calculo_Historico!$C$2:$ET$103,B21+1,0)</f>
        <v>#N/A</v>
      </c>
      <c r="BA21" s="182" t="e">
        <f t="shared" si="23"/>
        <v>#N/A</v>
      </c>
      <c r="BB21" s="181" t="e">
        <f>HLOOKUP($BB$3,VaR_Calculo_Historico!$C$2:$ET$103,B21+1,0)</f>
        <v>#N/A</v>
      </c>
      <c r="BC21" s="182" t="e">
        <f t="shared" si="24"/>
        <v>#N/A</v>
      </c>
      <c r="BD21" s="181" t="e">
        <f>HLOOKUP($BD$3,VaR_Calculo_Historico!$C$2:$ET$103,B21+1,0)</f>
        <v>#N/A</v>
      </c>
      <c r="BE21" s="182" t="e">
        <f t="shared" si="25"/>
        <v>#N/A</v>
      </c>
      <c r="BF21" s="181" t="e">
        <f>HLOOKUP($BF$3,VaR_Calculo_Historico!$C$2:$ET$103,B21+1,0)</f>
        <v>#N/A</v>
      </c>
      <c r="BG21" s="182" t="e">
        <f t="shared" si="26"/>
        <v>#N/A</v>
      </c>
      <c r="BH21" s="181" t="e">
        <f>HLOOKUP($BH$3,VaR_Calculo_Historico!$C$2:$ET$103,B21+1,0)</f>
        <v>#N/A</v>
      </c>
      <c r="BI21" s="223" t="e">
        <f t="shared" si="27"/>
        <v>#N/A</v>
      </c>
      <c r="BJ21" s="181" t="e">
        <f>HLOOKUP($BJ$3,VaR_Calculo_Historico!$C$2:$ET$103,B21+1,0)</f>
        <v>#N/A</v>
      </c>
      <c r="BK21" s="223" t="e">
        <f t="shared" si="28"/>
        <v>#N/A</v>
      </c>
      <c r="BL21" s="181" t="e">
        <f>HLOOKUP($BL$3,VaR_Calculo_Historico!$C$2:$ET$103,B21+1,0)</f>
        <v>#N/A</v>
      </c>
      <c r="BM21" s="223" t="e">
        <f t="shared" si="29"/>
        <v>#N/A</v>
      </c>
      <c r="BN21" s="181" t="e">
        <f>HLOOKUP($BN$3,VaR_Calculo_Historico!$C$2:$EY$103,B21+1,0)</f>
        <v>#N/A</v>
      </c>
      <c r="BO21" s="223" t="e">
        <f t="shared" si="30"/>
        <v>#N/A</v>
      </c>
    </row>
    <row r="22" spans="2:67" x14ac:dyDescent="0.3">
      <c r="B22" s="166">
        <v>18</v>
      </c>
      <c r="C22" s="208">
        <f>VaR_Calculo_Historico!B19</f>
        <v>42335</v>
      </c>
      <c r="D22" s="181">
        <f>HLOOKUP($D$3,VaR_Calculo_Historico!$C$2:$ET$103,B22+1,0)</f>
        <v>3.2850919799999998</v>
      </c>
      <c r="E22" s="182">
        <f t="shared" si="0"/>
        <v>-4.1265580055135215E-4</v>
      </c>
      <c r="F22" s="181">
        <f>HLOOKUP($F$3,VaR_Calculo_Historico!$C$2:$ET$103,B22+1,0)</f>
        <v>1.5761270000000001</v>
      </c>
      <c r="G22" s="182">
        <f t="shared" si="1"/>
        <v>4.1756621696480698E-4</v>
      </c>
      <c r="H22" s="181">
        <f>HLOOKUP($H$3,VaR_Calculo_Historico!$C$2:$ET$103,B22+1,0)</f>
        <v>1.0890942240000001</v>
      </c>
      <c r="I22" s="182">
        <f t="shared" si="2"/>
        <v>3.3279793092814758E-4</v>
      </c>
      <c r="J22" s="181">
        <f>HLOOKUP($J$3,VaR_Calculo_Historico!$C$2:$ET$103,B22+1,0)</f>
        <v>1.804522</v>
      </c>
      <c r="K22" s="182">
        <f t="shared" si="31"/>
        <v>3.9796848149320361E-4</v>
      </c>
      <c r="L22" s="181">
        <f>HLOOKUP($L$3,VaR_Calculo_Historico!$C$2:$ET$103,B22+1,0)</f>
        <v>1.0619540000000001</v>
      </c>
      <c r="M22" s="182">
        <f t="shared" si="3"/>
        <v>4.2666315685713517E-4</v>
      </c>
      <c r="N22" s="181">
        <f>HLOOKUP($N$3,VaR_Calculo_Historico!$C$2:$ET$103,B22+1,0)</f>
        <v>2.5645829999999998</v>
      </c>
      <c r="O22" s="182">
        <f t="shared" si="4"/>
        <v>5.2732023093224778E-4</v>
      </c>
      <c r="P22" s="181">
        <f>HLOOKUP($P$3,VaR_Calculo_Historico!$C$2:$ET$103,B22+1,0)</f>
        <v>1.7230909999999999</v>
      </c>
      <c r="Q22" s="182">
        <f t="shared" si="5"/>
        <v>3.9181462039419049E-4</v>
      </c>
      <c r="R22" s="181">
        <f>HLOOKUP($R$3,VaR_Calculo_Historico!$C$2:$ET$103,B22+1,0)</f>
        <v>1.2416609999999999</v>
      </c>
      <c r="S22" s="182">
        <f t="shared" si="6"/>
        <v>-9.6598065407504051E-4</v>
      </c>
      <c r="T22" s="181" t="e">
        <f>HLOOKUP($T$3,VaR_Calculo_Historico!$C$2:$ET$103,B22+1,0)</f>
        <v>#N/A</v>
      </c>
      <c r="U22" s="182" t="e">
        <f t="shared" si="7"/>
        <v>#N/A</v>
      </c>
      <c r="V22" s="181" t="e">
        <f>HLOOKUP($V$3,VaR_Calculo_Historico!$C$2:$ET$103,B22+1,0)</f>
        <v>#N/A</v>
      </c>
      <c r="W22" s="182" t="e">
        <f t="shared" si="8"/>
        <v>#N/A</v>
      </c>
      <c r="X22" s="181" t="e">
        <f>HLOOKUP($X$3,VaR_Calculo_Historico!$C$2:$ET$103,B22+1,0)</f>
        <v>#N/A</v>
      </c>
      <c r="Y22" s="182" t="e">
        <f t="shared" si="9"/>
        <v>#N/A</v>
      </c>
      <c r="Z22" s="181" t="e">
        <f>HLOOKUP($Z$3,VaR_Calculo_Historico!$C$2:$ET$103,B22+1,0)</f>
        <v>#N/A</v>
      </c>
      <c r="AA22" s="182" t="e">
        <f t="shared" si="10"/>
        <v>#N/A</v>
      </c>
      <c r="AB22" s="181" t="e">
        <f>HLOOKUP($AB$3,VaR_Calculo_Historico!$C$2:$ET$103,B22+1,0)</f>
        <v>#N/A</v>
      </c>
      <c r="AC22" s="182" t="e">
        <f t="shared" si="11"/>
        <v>#N/A</v>
      </c>
      <c r="AD22" s="181" t="e">
        <f>HLOOKUP($AD$3,VaR_Calculo_Historico!$C$2:$ET$103,B22+1,0)</f>
        <v>#N/A</v>
      </c>
      <c r="AE22" s="182" t="e">
        <f t="shared" si="12"/>
        <v>#N/A</v>
      </c>
      <c r="AF22" s="181" t="e">
        <f>HLOOKUP($AF$3,VaR_Calculo_Historico!$C$2:$FZS$104,B22+1,0)</f>
        <v>#N/A</v>
      </c>
      <c r="AG22" s="182" t="e">
        <f t="shared" si="13"/>
        <v>#N/A</v>
      </c>
      <c r="AH22" s="181" t="e">
        <f>HLOOKUP($AH$3,VaR_Calculo_Historico!$C$2:$FS$104,B22+1,0)</f>
        <v>#N/A</v>
      </c>
      <c r="AI22" s="182" t="e">
        <f t="shared" si="14"/>
        <v>#N/A</v>
      </c>
      <c r="AJ22" s="181" t="e">
        <f>HLOOKUP($AJ$3,VaR_Calculo_Historico!$C$2:$ET$103,B22+1,0)</f>
        <v>#N/A</v>
      </c>
      <c r="AK22" s="182" t="e">
        <f t="shared" si="15"/>
        <v>#N/A</v>
      </c>
      <c r="AL22" s="181" t="e">
        <f>HLOOKUP($AL$3,VaR_Calculo_Historico!$C$2:$ET$103,B22+1,0)</f>
        <v>#N/A</v>
      </c>
      <c r="AM22" s="182" t="e">
        <f t="shared" si="16"/>
        <v>#N/A</v>
      </c>
      <c r="AN22" s="181" t="e">
        <f>HLOOKUP($AN$3,VaR_Calculo_Historico!$C$2:$ET$103,B22+1,0)</f>
        <v>#N/A</v>
      </c>
      <c r="AO22" s="182" t="e">
        <f t="shared" si="17"/>
        <v>#N/A</v>
      </c>
      <c r="AP22" s="181" t="e">
        <f>HLOOKUP($AP$3,VaR_Calculo_Historico!$C$2:$ET$103,B22+1,0)</f>
        <v>#N/A</v>
      </c>
      <c r="AQ22" s="182" t="e">
        <f t="shared" si="18"/>
        <v>#N/A</v>
      </c>
      <c r="AR22" s="181" t="e">
        <f>HLOOKUP($AR$3,VaR_Calculo_Historico!$C$2:$ET$103,B22+1,0)</f>
        <v>#N/A</v>
      </c>
      <c r="AS22" s="182" t="e">
        <f t="shared" si="19"/>
        <v>#N/A</v>
      </c>
      <c r="AT22" s="181" t="e">
        <f>HLOOKUP($AT$3,VaR_Calculo_Historico!$C$2:$ET$103,B22+1,0)</f>
        <v>#N/A</v>
      </c>
      <c r="AU22" s="182" t="e">
        <f t="shared" si="20"/>
        <v>#N/A</v>
      </c>
      <c r="AV22" s="181" t="e">
        <f>HLOOKUP($AV$3,VaR_Calculo_Historico!$C$2:$ET$103,B22+1,0)</f>
        <v>#N/A</v>
      </c>
      <c r="AW22" s="223" t="e">
        <f t="shared" si="21"/>
        <v>#N/A</v>
      </c>
      <c r="AX22" s="181" t="e">
        <f>HLOOKUP($AX$3,VaR_Calculo_Historico!$C$2:$ET$103,B22+1,0)</f>
        <v>#N/A</v>
      </c>
      <c r="AY22" s="182" t="e">
        <f t="shared" si="22"/>
        <v>#N/A</v>
      </c>
      <c r="AZ22" s="181" t="e">
        <f>HLOOKUP($AZ$3,VaR_Calculo_Historico!$C$2:$ET$103,B22+1,0)</f>
        <v>#N/A</v>
      </c>
      <c r="BA22" s="182" t="e">
        <f t="shared" si="23"/>
        <v>#N/A</v>
      </c>
      <c r="BB22" s="181" t="e">
        <f>HLOOKUP($BB$3,VaR_Calculo_Historico!$C$2:$ET$103,B22+1,0)</f>
        <v>#N/A</v>
      </c>
      <c r="BC22" s="182" t="e">
        <f t="shared" si="24"/>
        <v>#N/A</v>
      </c>
      <c r="BD22" s="181" t="e">
        <f>HLOOKUP($BD$3,VaR_Calculo_Historico!$C$2:$ET$103,B22+1,0)</f>
        <v>#N/A</v>
      </c>
      <c r="BE22" s="182" t="e">
        <f t="shared" si="25"/>
        <v>#N/A</v>
      </c>
      <c r="BF22" s="181" t="e">
        <f>HLOOKUP($BF$3,VaR_Calculo_Historico!$C$2:$ET$103,B22+1,0)</f>
        <v>#N/A</v>
      </c>
      <c r="BG22" s="182" t="e">
        <f t="shared" si="26"/>
        <v>#N/A</v>
      </c>
      <c r="BH22" s="181" t="e">
        <f>HLOOKUP($BH$3,VaR_Calculo_Historico!$C$2:$ET$103,B22+1,0)</f>
        <v>#N/A</v>
      </c>
      <c r="BI22" s="223" t="e">
        <f t="shared" si="27"/>
        <v>#N/A</v>
      </c>
      <c r="BJ22" s="181" t="e">
        <f>HLOOKUP($BJ$3,VaR_Calculo_Historico!$C$2:$ET$103,B22+1,0)</f>
        <v>#N/A</v>
      </c>
      <c r="BK22" s="223" t="e">
        <f t="shared" si="28"/>
        <v>#N/A</v>
      </c>
      <c r="BL22" s="181" t="e">
        <f>HLOOKUP($BL$3,VaR_Calculo_Historico!$C$2:$ET$103,B22+1,0)</f>
        <v>#N/A</v>
      </c>
      <c r="BM22" s="223" t="e">
        <f t="shared" si="29"/>
        <v>#N/A</v>
      </c>
      <c r="BN22" s="181" t="e">
        <f>HLOOKUP($BN$3,VaR_Calculo_Historico!$C$2:$EY$103,B22+1,0)</f>
        <v>#N/A</v>
      </c>
      <c r="BO22" s="223" t="e">
        <f t="shared" si="30"/>
        <v>#N/A</v>
      </c>
    </row>
    <row r="23" spans="2:67" x14ac:dyDescent="0.3">
      <c r="B23" s="166">
        <v>19</v>
      </c>
      <c r="C23" s="208">
        <f>VaR_Calculo_Historico!B20</f>
        <v>42338</v>
      </c>
      <c r="D23" s="181">
        <f>HLOOKUP($D$3,VaR_Calculo_Historico!$C$2:$ET$103,B23+1,0)</f>
        <v>3.2935445200000002</v>
      </c>
      <c r="E23" s="182">
        <f t="shared" si="0"/>
        <v>2.5696949972062312E-3</v>
      </c>
      <c r="F23" s="181">
        <f>HLOOKUP($F$3,VaR_Calculo_Historico!$C$2:$ET$103,B23+1,0)</f>
        <v>1.576989</v>
      </c>
      <c r="G23" s="182">
        <f t="shared" si="1"/>
        <v>5.4676074173878983E-4</v>
      </c>
      <c r="H23" s="181">
        <f>HLOOKUP($H$3,VaR_Calculo_Historico!$C$2:$ET$103,B23+1,0)</f>
        <v>1.0904228469999999</v>
      </c>
      <c r="I23" s="182">
        <f t="shared" si="2"/>
        <v>1.2191904181463535E-3</v>
      </c>
      <c r="J23" s="181">
        <f>HLOOKUP($J$3,VaR_Calculo_Historico!$C$2:$ET$103,B23+1,0)</f>
        <v>1.8055239999999999</v>
      </c>
      <c r="K23" s="182">
        <f t="shared" si="31"/>
        <v>5.55117594474408E-4</v>
      </c>
      <c r="L23" s="181">
        <f>HLOOKUP($L$3,VaR_Calculo_Historico!$C$2:$ET$103,B23+1,0)</f>
        <v>1.0631440000000001</v>
      </c>
      <c r="M23" s="182">
        <f t="shared" si="3"/>
        <v>1.1199484676784428E-3</v>
      </c>
      <c r="N23" s="181">
        <f>HLOOKUP($N$3,VaR_Calculo_Historico!$C$2:$ET$103,B23+1,0)</f>
        <v>2.5659269999999998</v>
      </c>
      <c r="O23" s="182">
        <f t="shared" si="4"/>
        <v>5.2392453410827252E-4</v>
      </c>
      <c r="P23" s="181">
        <f>HLOOKUP($P$3,VaR_Calculo_Historico!$C$2:$ET$103,B23+1,0)</f>
        <v>1.7240629999999999</v>
      </c>
      <c r="Q23" s="182">
        <f t="shared" si="5"/>
        <v>5.6394348831554622E-4</v>
      </c>
      <c r="R23" s="181">
        <f>HLOOKUP($R$3,VaR_Calculo_Historico!$C$2:$ET$103,B23+1,0)</f>
        <v>1.2461530000000001</v>
      </c>
      <c r="S23" s="182">
        <f t="shared" si="6"/>
        <v>3.6112063696156363E-3</v>
      </c>
      <c r="T23" s="181" t="e">
        <f>HLOOKUP($T$3,VaR_Calculo_Historico!$C$2:$ET$103,B23+1,0)</f>
        <v>#N/A</v>
      </c>
      <c r="U23" s="182" t="e">
        <f t="shared" si="7"/>
        <v>#N/A</v>
      </c>
      <c r="V23" s="181" t="e">
        <f>HLOOKUP($V$3,VaR_Calculo_Historico!$C$2:$ET$103,B23+1,0)</f>
        <v>#N/A</v>
      </c>
      <c r="W23" s="182" t="e">
        <f t="shared" si="8"/>
        <v>#N/A</v>
      </c>
      <c r="X23" s="181" t="e">
        <f>HLOOKUP($X$3,VaR_Calculo_Historico!$C$2:$ET$103,B23+1,0)</f>
        <v>#N/A</v>
      </c>
      <c r="Y23" s="182" t="e">
        <f t="shared" si="9"/>
        <v>#N/A</v>
      </c>
      <c r="Z23" s="181" t="e">
        <f>HLOOKUP($Z$3,VaR_Calculo_Historico!$C$2:$ET$103,B23+1,0)</f>
        <v>#N/A</v>
      </c>
      <c r="AA23" s="182" t="e">
        <f t="shared" si="10"/>
        <v>#N/A</v>
      </c>
      <c r="AB23" s="181" t="e">
        <f>HLOOKUP($AB$3,VaR_Calculo_Historico!$C$2:$ET$103,B23+1,0)</f>
        <v>#N/A</v>
      </c>
      <c r="AC23" s="182" t="e">
        <f t="shared" si="11"/>
        <v>#N/A</v>
      </c>
      <c r="AD23" s="181" t="e">
        <f>HLOOKUP($AD$3,VaR_Calculo_Historico!$C$2:$ET$103,B23+1,0)</f>
        <v>#N/A</v>
      </c>
      <c r="AE23" s="182" t="e">
        <f t="shared" si="12"/>
        <v>#N/A</v>
      </c>
      <c r="AF23" s="181" t="e">
        <f>HLOOKUP($AF$3,VaR_Calculo_Historico!$C$2:$FZS$104,B23+1,0)</f>
        <v>#N/A</v>
      </c>
      <c r="AG23" s="182" t="e">
        <f t="shared" si="13"/>
        <v>#N/A</v>
      </c>
      <c r="AH23" s="181" t="e">
        <f>HLOOKUP($AH$3,VaR_Calculo_Historico!$C$2:$FS$104,B23+1,0)</f>
        <v>#N/A</v>
      </c>
      <c r="AI23" s="182" t="e">
        <f t="shared" si="14"/>
        <v>#N/A</v>
      </c>
      <c r="AJ23" s="181" t="e">
        <f>HLOOKUP($AJ$3,VaR_Calculo_Historico!$C$2:$ET$103,B23+1,0)</f>
        <v>#N/A</v>
      </c>
      <c r="AK23" s="182" t="e">
        <f t="shared" si="15"/>
        <v>#N/A</v>
      </c>
      <c r="AL23" s="181" t="e">
        <f>HLOOKUP($AL$3,VaR_Calculo_Historico!$C$2:$ET$103,B23+1,0)</f>
        <v>#N/A</v>
      </c>
      <c r="AM23" s="182" t="e">
        <f t="shared" si="16"/>
        <v>#N/A</v>
      </c>
      <c r="AN23" s="181" t="e">
        <f>HLOOKUP($AN$3,VaR_Calculo_Historico!$C$2:$ET$103,B23+1,0)</f>
        <v>#N/A</v>
      </c>
      <c r="AO23" s="182" t="e">
        <f t="shared" si="17"/>
        <v>#N/A</v>
      </c>
      <c r="AP23" s="181" t="e">
        <f>HLOOKUP($AP$3,VaR_Calculo_Historico!$C$2:$ET$103,B23+1,0)</f>
        <v>#N/A</v>
      </c>
      <c r="AQ23" s="182" t="e">
        <f t="shared" si="18"/>
        <v>#N/A</v>
      </c>
      <c r="AR23" s="181" t="e">
        <f>HLOOKUP($AR$3,VaR_Calculo_Historico!$C$2:$ET$103,B23+1,0)</f>
        <v>#N/A</v>
      </c>
      <c r="AS23" s="182" t="e">
        <f t="shared" si="19"/>
        <v>#N/A</v>
      </c>
      <c r="AT23" s="181" t="e">
        <f>HLOOKUP($AT$3,VaR_Calculo_Historico!$C$2:$ET$103,B23+1,0)</f>
        <v>#N/A</v>
      </c>
      <c r="AU23" s="182" t="e">
        <f t="shared" si="20"/>
        <v>#N/A</v>
      </c>
      <c r="AV23" s="181" t="e">
        <f>HLOOKUP($AV$3,VaR_Calculo_Historico!$C$2:$ET$103,B23+1,0)</f>
        <v>#N/A</v>
      </c>
      <c r="AW23" s="223" t="e">
        <f t="shared" si="21"/>
        <v>#N/A</v>
      </c>
      <c r="AX23" s="181" t="e">
        <f>HLOOKUP($AX$3,VaR_Calculo_Historico!$C$2:$ET$103,B23+1,0)</f>
        <v>#N/A</v>
      </c>
      <c r="AY23" s="182" t="e">
        <f t="shared" si="22"/>
        <v>#N/A</v>
      </c>
      <c r="AZ23" s="181" t="e">
        <f>HLOOKUP($AZ$3,VaR_Calculo_Historico!$C$2:$ET$103,B23+1,0)</f>
        <v>#N/A</v>
      </c>
      <c r="BA23" s="182" t="e">
        <f t="shared" si="23"/>
        <v>#N/A</v>
      </c>
      <c r="BB23" s="181" t="e">
        <f>HLOOKUP($BB$3,VaR_Calculo_Historico!$C$2:$ET$103,B23+1,0)</f>
        <v>#N/A</v>
      </c>
      <c r="BC23" s="182" t="e">
        <f t="shared" si="24"/>
        <v>#N/A</v>
      </c>
      <c r="BD23" s="181" t="e">
        <f>HLOOKUP($BD$3,VaR_Calculo_Historico!$C$2:$ET$103,B23+1,0)</f>
        <v>#N/A</v>
      </c>
      <c r="BE23" s="182" t="e">
        <f t="shared" si="25"/>
        <v>#N/A</v>
      </c>
      <c r="BF23" s="181" t="e">
        <f>HLOOKUP($BF$3,VaR_Calculo_Historico!$C$2:$ET$103,B23+1,0)</f>
        <v>#N/A</v>
      </c>
      <c r="BG23" s="182" t="e">
        <f t="shared" si="26"/>
        <v>#N/A</v>
      </c>
      <c r="BH23" s="181" t="e">
        <f>HLOOKUP($BH$3,VaR_Calculo_Historico!$C$2:$ET$103,B23+1,0)</f>
        <v>#N/A</v>
      </c>
      <c r="BI23" s="223" t="e">
        <f t="shared" si="27"/>
        <v>#N/A</v>
      </c>
      <c r="BJ23" s="181" t="e">
        <f>HLOOKUP($BJ$3,VaR_Calculo_Historico!$C$2:$ET$103,B23+1,0)</f>
        <v>#N/A</v>
      </c>
      <c r="BK23" s="223" t="e">
        <f t="shared" si="28"/>
        <v>#N/A</v>
      </c>
      <c r="BL23" s="181" t="e">
        <f>HLOOKUP($BL$3,VaR_Calculo_Historico!$C$2:$ET$103,B23+1,0)</f>
        <v>#N/A</v>
      </c>
      <c r="BM23" s="223" t="e">
        <f t="shared" si="29"/>
        <v>#N/A</v>
      </c>
      <c r="BN23" s="181" t="e">
        <f>HLOOKUP($BN$3,VaR_Calculo_Historico!$C$2:$EY$103,B23+1,0)</f>
        <v>#N/A</v>
      </c>
      <c r="BO23" s="223" t="e">
        <f t="shared" si="30"/>
        <v>#N/A</v>
      </c>
    </row>
    <row r="24" spans="2:67" x14ac:dyDescent="0.3">
      <c r="B24" s="166">
        <v>20</v>
      </c>
      <c r="C24" s="208">
        <f>VaR_Calculo_Historico!B21</f>
        <v>42339</v>
      </c>
      <c r="D24" s="181">
        <f>HLOOKUP($D$3,VaR_Calculo_Historico!$C$2:$ET$103,B24+1,0)</f>
        <v>3.301531357</v>
      </c>
      <c r="E24" s="182">
        <f t="shared" si="0"/>
        <v>2.4220618696262561E-3</v>
      </c>
      <c r="F24" s="181">
        <f>HLOOKUP($F$3,VaR_Calculo_Historico!$C$2:$ET$103,B24+1,0)</f>
        <v>1.5778540000000001</v>
      </c>
      <c r="G24" s="182">
        <f t="shared" si="1"/>
        <v>5.4836327619210592E-4</v>
      </c>
      <c r="H24" s="181">
        <f>HLOOKUP($H$3,VaR_Calculo_Historico!$C$2:$ET$103,B24+1,0)</f>
        <v>1.091696708</v>
      </c>
      <c r="I24" s="182">
        <f t="shared" si="2"/>
        <v>1.1675447770839937E-3</v>
      </c>
      <c r="J24" s="181">
        <f>HLOOKUP($J$3,VaR_Calculo_Historico!$C$2:$ET$103,B24+1,0)</f>
        <v>1.8067120000000001</v>
      </c>
      <c r="K24" s="182">
        <f t="shared" si="31"/>
        <v>6.5776435583560244E-4</v>
      </c>
      <c r="L24" s="181">
        <f>HLOOKUP($L$3,VaR_Calculo_Historico!$C$2:$ET$103,B24+1,0)</f>
        <v>1.0641099999999999</v>
      </c>
      <c r="M24" s="182">
        <f t="shared" si="3"/>
        <v>9.0821318601376131E-4</v>
      </c>
      <c r="N24" s="181">
        <f>HLOOKUP($N$3,VaR_Calculo_Historico!$C$2:$ET$103,B24+1,0)</f>
        <v>2.5672630000000001</v>
      </c>
      <c r="O24" s="182">
        <f t="shared" si="4"/>
        <v>5.2053402666442806E-4</v>
      </c>
      <c r="P24" s="181">
        <f>HLOOKUP($P$3,VaR_Calculo_Historico!$C$2:$ET$103,B24+1,0)</f>
        <v>1.7252110000000001</v>
      </c>
      <c r="Q24" s="182">
        <f t="shared" si="5"/>
        <v>6.6564734630472221E-4</v>
      </c>
      <c r="R24" s="181">
        <f>HLOOKUP($R$3,VaR_Calculo_Historico!$C$2:$ET$103,B24+1,0)</f>
        <v>1.2504329999999999</v>
      </c>
      <c r="S24" s="182">
        <f t="shared" si="6"/>
        <v>3.4286855673557712E-3</v>
      </c>
      <c r="T24" s="181" t="e">
        <f>HLOOKUP($T$3,VaR_Calculo_Historico!$C$2:$ET$103,B24+1,0)</f>
        <v>#N/A</v>
      </c>
      <c r="U24" s="182" t="e">
        <f t="shared" si="7"/>
        <v>#N/A</v>
      </c>
      <c r="V24" s="181" t="e">
        <f>HLOOKUP($V$3,VaR_Calculo_Historico!$C$2:$ET$103,B24+1,0)</f>
        <v>#N/A</v>
      </c>
      <c r="W24" s="182" t="e">
        <f t="shared" si="8"/>
        <v>#N/A</v>
      </c>
      <c r="X24" s="181" t="e">
        <f>HLOOKUP($X$3,VaR_Calculo_Historico!$C$2:$ET$103,B24+1,0)</f>
        <v>#N/A</v>
      </c>
      <c r="Y24" s="182" t="e">
        <f t="shared" si="9"/>
        <v>#N/A</v>
      </c>
      <c r="Z24" s="181" t="e">
        <f>HLOOKUP($Z$3,VaR_Calculo_Historico!$C$2:$ET$103,B24+1,0)</f>
        <v>#N/A</v>
      </c>
      <c r="AA24" s="182" t="e">
        <f t="shared" si="10"/>
        <v>#N/A</v>
      </c>
      <c r="AB24" s="181" t="e">
        <f>HLOOKUP($AB$3,VaR_Calculo_Historico!$C$2:$ET$103,B24+1,0)</f>
        <v>#N/A</v>
      </c>
      <c r="AC24" s="182" t="e">
        <f t="shared" si="11"/>
        <v>#N/A</v>
      </c>
      <c r="AD24" s="181" t="e">
        <f>HLOOKUP($AD$3,VaR_Calculo_Historico!$C$2:$ET$103,B24+1,0)</f>
        <v>#N/A</v>
      </c>
      <c r="AE24" s="182" t="e">
        <f t="shared" si="12"/>
        <v>#N/A</v>
      </c>
      <c r="AF24" s="181" t="e">
        <f>HLOOKUP($AF$3,VaR_Calculo_Historico!$C$2:$FZS$104,B24+1,0)</f>
        <v>#N/A</v>
      </c>
      <c r="AG24" s="182" t="e">
        <f t="shared" si="13"/>
        <v>#N/A</v>
      </c>
      <c r="AH24" s="181" t="e">
        <f>HLOOKUP($AH$3,VaR_Calculo_Historico!$C$2:$FS$104,B24+1,0)</f>
        <v>#N/A</v>
      </c>
      <c r="AI24" s="182" t="e">
        <f t="shared" si="14"/>
        <v>#N/A</v>
      </c>
      <c r="AJ24" s="181" t="e">
        <f>HLOOKUP($AJ$3,VaR_Calculo_Historico!$C$2:$ET$103,B24+1,0)</f>
        <v>#N/A</v>
      </c>
      <c r="AK24" s="182" t="e">
        <f t="shared" si="15"/>
        <v>#N/A</v>
      </c>
      <c r="AL24" s="181" t="e">
        <f>HLOOKUP($AL$3,VaR_Calculo_Historico!$C$2:$ET$103,B24+1,0)</f>
        <v>#N/A</v>
      </c>
      <c r="AM24" s="182" t="e">
        <f t="shared" si="16"/>
        <v>#N/A</v>
      </c>
      <c r="AN24" s="181" t="e">
        <f>HLOOKUP($AN$3,VaR_Calculo_Historico!$C$2:$ET$103,B24+1,0)</f>
        <v>#N/A</v>
      </c>
      <c r="AO24" s="182" t="e">
        <f t="shared" si="17"/>
        <v>#N/A</v>
      </c>
      <c r="AP24" s="181" t="e">
        <f>HLOOKUP($AP$3,VaR_Calculo_Historico!$C$2:$ET$103,B24+1,0)</f>
        <v>#N/A</v>
      </c>
      <c r="AQ24" s="182" t="e">
        <f t="shared" si="18"/>
        <v>#N/A</v>
      </c>
      <c r="AR24" s="181" t="e">
        <f>HLOOKUP($AR$3,VaR_Calculo_Historico!$C$2:$ET$103,B24+1,0)</f>
        <v>#N/A</v>
      </c>
      <c r="AS24" s="182" t="e">
        <f t="shared" si="19"/>
        <v>#N/A</v>
      </c>
      <c r="AT24" s="181" t="e">
        <f>HLOOKUP($AT$3,VaR_Calculo_Historico!$C$2:$ET$103,B24+1,0)</f>
        <v>#N/A</v>
      </c>
      <c r="AU24" s="182" t="e">
        <f t="shared" si="20"/>
        <v>#N/A</v>
      </c>
      <c r="AV24" s="181" t="e">
        <f>HLOOKUP($AV$3,VaR_Calculo_Historico!$C$2:$ET$103,B24+1,0)</f>
        <v>#N/A</v>
      </c>
      <c r="AW24" s="223" t="e">
        <f t="shared" si="21"/>
        <v>#N/A</v>
      </c>
      <c r="AX24" s="181" t="e">
        <f>HLOOKUP($AX$3,VaR_Calculo_Historico!$C$2:$ET$103,B24+1,0)</f>
        <v>#N/A</v>
      </c>
      <c r="AY24" s="182" t="e">
        <f t="shared" si="22"/>
        <v>#N/A</v>
      </c>
      <c r="AZ24" s="181" t="e">
        <f>HLOOKUP($AZ$3,VaR_Calculo_Historico!$C$2:$ET$103,B24+1,0)</f>
        <v>#N/A</v>
      </c>
      <c r="BA24" s="182" t="e">
        <f t="shared" si="23"/>
        <v>#N/A</v>
      </c>
      <c r="BB24" s="181" t="e">
        <f>HLOOKUP($BB$3,VaR_Calculo_Historico!$C$2:$ET$103,B24+1,0)</f>
        <v>#N/A</v>
      </c>
      <c r="BC24" s="182" t="e">
        <f t="shared" si="24"/>
        <v>#N/A</v>
      </c>
      <c r="BD24" s="181" t="e">
        <f>HLOOKUP($BD$3,VaR_Calculo_Historico!$C$2:$ET$103,B24+1,0)</f>
        <v>#N/A</v>
      </c>
      <c r="BE24" s="182" t="e">
        <f t="shared" si="25"/>
        <v>#N/A</v>
      </c>
      <c r="BF24" s="181" t="e">
        <f>HLOOKUP($BF$3,VaR_Calculo_Historico!$C$2:$ET$103,B24+1,0)</f>
        <v>#N/A</v>
      </c>
      <c r="BG24" s="182" t="e">
        <f t="shared" si="26"/>
        <v>#N/A</v>
      </c>
      <c r="BH24" s="181" t="e">
        <f>HLOOKUP($BH$3,VaR_Calculo_Historico!$C$2:$ET$103,B24+1,0)</f>
        <v>#N/A</v>
      </c>
      <c r="BI24" s="223" t="e">
        <f t="shared" si="27"/>
        <v>#N/A</v>
      </c>
      <c r="BJ24" s="181" t="e">
        <f>HLOOKUP($BJ$3,VaR_Calculo_Historico!$C$2:$ET$103,B24+1,0)</f>
        <v>#N/A</v>
      </c>
      <c r="BK24" s="223" t="e">
        <f t="shared" si="28"/>
        <v>#N/A</v>
      </c>
      <c r="BL24" s="181" t="e">
        <f>HLOOKUP($BL$3,VaR_Calculo_Historico!$C$2:$ET$103,B24+1,0)</f>
        <v>#N/A</v>
      </c>
      <c r="BM24" s="223" t="e">
        <f t="shared" si="29"/>
        <v>#N/A</v>
      </c>
      <c r="BN24" s="181" t="e">
        <f>HLOOKUP($BN$3,VaR_Calculo_Historico!$C$2:$EY$103,B24+1,0)</f>
        <v>#N/A</v>
      </c>
      <c r="BO24" s="223" t="e">
        <f t="shared" si="30"/>
        <v>#N/A</v>
      </c>
    </row>
    <row r="25" spans="2:67" x14ac:dyDescent="0.3">
      <c r="B25" s="166">
        <v>21</v>
      </c>
      <c r="C25" s="208">
        <f>VaR_Calculo_Historico!B22</f>
        <v>42340</v>
      </c>
      <c r="D25" s="181">
        <f>HLOOKUP($D$3,VaR_Calculo_Historico!$C$2:$ET$103,B25+1,0)</f>
        <v>3.299841384</v>
      </c>
      <c r="E25" s="182">
        <f t="shared" si="0"/>
        <v>-5.1200654870552423E-4</v>
      </c>
      <c r="F25" s="181">
        <f>HLOOKUP($F$3,VaR_Calculo_Historico!$C$2:$ET$103,B25+1,0)</f>
        <v>1.5786899999999999</v>
      </c>
      <c r="G25" s="182">
        <f t="shared" si="1"/>
        <v>5.2969324650416758E-4</v>
      </c>
      <c r="H25" s="181">
        <f>HLOOKUP($H$3,VaR_Calculo_Historico!$C$2:$ET$103,B25+1,0)</f>
        <v>1.0921448570000001</v>
      </c>
      <c r="I25" s="182">
        <f t="shared" si="2"/>
        <v>4.1042263639759637E-4</v>
      </c>
      <c r="J25" s="181">
        <f>HLOOKUP($J$3,VaR_Calculo_Historico!$C$2:$ET$103,B25+1,0)</f>
        <v>1.8075019999999999</v>
      </c>
      <c r="K25" s="182">
        <f t="shared" si="31"/>
        <v>4.3716283129951517E-4</v>
      </c>
      <c r="L25" s="181">
        <f>HLOOKUP($L$3,VaR_Calculo_Historico!$C$2:$ET$103,B25+1,0)</f>
        <v>1.0646199999999999</v>
      </c>
      <c r="M25" s="182">
        <f t="shared" si="3"/>
        <v>4.7915894430736688E-4</v>
      </c>
      <c r="N25" s="181">
        <f>HLOOKUP($N$3,VaR_Calculo_Historico!$C$2:$ET$103,B25+1,0)</f>
        <v>2.568619</v>
      </c>
      <c r="O25" s="182">
        <f t="shared" si="4"/>
        <v>5.2804952742612475E-4</v>
      </c>
      <c r="P25" s="181">
        <f>HLOOKUP($P$3,VaR_Calculo_Historico!$C$2:$ET$103,B25+1,0)</f>
        <v>1.725959</v>
      </c>
      <c r="Q25" s="182">
        <f t="shared" si="5"/>
        <v>4.3347619022684661E-4</v>
      </c>
      <c r="R25" s="181">
        <f>HLOOKUP($R$3,VaR_Calculo_Historico!$C$2:$ET$103,B25+1,0)</f>
        <v>1.249031</v>
      </c>
      <c r="S25" s="182">
        <f t="shared" si="6"/>
        <v>-1.1218406402634298E-3</v>
      </c>
      <c r="T25" s="181" t="e">
        <f>HLOOKUP($T$3,VaR_Calculo_Historico!$C$2:$ET$103,B25+1,0)</f>
        <v>#N/A</v>
      </c>
      <c r="U25" s="182" t="e">
        <f t="shared" si="7"/>
        <v>#N/A</v>
      </c>
      <c r="V25" s="181" t="e">
        <f>HLOOKUP($V$3,VaR_Calculo_Historico!$C$2:$ET$103,B25+1,0)</f>
        <v>#N/A</v>
      </c>
      <c r="W25" s="182" t="e">
        <f t="shared" si="8"/>
        <v>#N/A</v>
      </c>
      <c r="X25" s="181" t="e">
        <f>HLOOKUP($X$3,VaR_Calculo_Historico!$C$2:$ET$103,B25+1,0)</f>
        <v>#N/A</v>
      </c>
      <c r="Y25" s="182" t="e">
        <f t="shared" si="9"/>
        <v>#N/A</v>
      </c>
      <c r="Z25" s="181" t="e">
        <f>HLOOKUP($Z$3,VaR_Calculo_Historico!$C$2:$ET$103,B25+1,0)</f>
        <v>#N/A</v>
      </c>
      <c r="AA25" s="182" t="e">
        <f t="shared" si="10"/>
        <v>#N/A</v>
      </c>
      <c r="AB25" s="181" t="e">
        <f>HLOOKUP($AB$3,VaR_Calculo_Historico!$C$2:$ET$103,B25+1,0)</f>
        <v>#N/A</v>
      </c>
      <c r="AC25" s="182" t="e">
        <f t="shared" si="11"/>
        <v>#N/A</v>
      </c>
      <c r="AD25" s="181" t="e">
        <f>HLOOKUP($AD$3,VaR_Calculo_Historico!$C$2:$ET$103,B25+1,0)</f>
        <v>#N/A</v>
      </c>
      <c r="AE25" s="182" t="e">
        <f t="shared" si="12"/>
        <v>#N/A</v>
      </c>
      <c r="AF25" s="181" t="e">
        <f>HLOOKUP($AF$3,VaR_Calculo_Historico!$C$2:$FZS$104,B25+1,0)</f>
        <v>#N/A</v>
      </c>
      <c r="AG25" s="182" t="e">
        <f t="shared" si="13"/>
        <v>#N/A</v>
      </c>
      <c r="AH25" s="181" t="e">
        <f>HLOOKUP($AH$3,VaR_Calculo_Historico!$C$2:$FS$104,B25+1,0)</f>
        <v>#N/A</v>
      </c>
      <c r="AI25" s="182" t="e">
        <f t="shared" si="14"/>
        <v>#N/A</v>
      </c>
      <c r="AJ25" s="181" t="e">
        <f>HLOOKUP($AJ$3,VaR_Calculo_Historico!$C$2:$ET$103,B25+1,0)</f>
        <v>#N/A</v>
      </c>
      <c r="AK25" s="182" t="e">
        <f t="shared" si="15"/>
        <v>#N/A</v>
      </c>
      <c r="AL25" s="181" t="e">
        <f>HLOOKUP($AL$3,VaR_Calculo_Historico!$C$2:$ET$103,B25+1,0)</f>
        <v>#N/A</v>
      </c>
      <c r="AM25" s="182" t="e">
        <f t="shared" si="16"/>
        <v>#N/A</v>
      </c>
      <c r="AN25" s="181" t="e">
        <f>HLOOKUP($AN$3,VaR_Calculo_Historico!$C$2:$ET$103,B25+1,0)</f>
        <v>#N/A</v>
      </c>
      <c r="AO25" s="182" t="e">
        <f t="shared" si="17"/>
        <v>#N/A</v>
      </c>
      <c r="AP25" s="181" t="e">
        <f>HLOOKUP($AP$3,VaR_Calculo_Historico!$C$2:$ET$103,B25+1,0)</f>
        <v>#N/A</v>
      </c>
      <c r="AQ25" s="182" t="e">
        <f t="shared" si="18"/>
        <v>#N/A</v>
      </c>
      <c r="AR25" s="181" t="e">
        <f>HLOOKUP($AR$3,VaR_Calculo_Historico!$C$2:$ET$103,B25+1,0)</f>
        <v>#N/A</v>
      </c>
      <c r="AS25" s="182" t="e">
        <f t="shared" si="19"/>
        <v>#N/A</v>
      </c>
      <c r="AT25" s="181" t="e">
        <f>HLOOKUP($AT$3,VaR_Calculo_Historico!$C$2:$ET$103,B25+1,0)</f>
        <v>#N/A</v>
      </c>
      <c r="AU25" s="182" t="e">
        <f t="shared" si="20"/>
        <v>#N/A</v>
      </c>
      <c r="AV25" s="181" t="e">
        <f>HLOOKUP($AV$3,VaR_Calculo_Historico!$C$2:$ET$103,B25+1,0)</f>
        <v>#N/A</v>
      </c>
      <c r="AW25" s="223" t="e">
        <f t="shared" si="21"/>
        <v>#N/A</v>
      </c>
      <c r="AX25" s="181" t="e">
        <f>HLOOKUP($AX$3,VaR_Calculo_Historico!$C$2:$ET$103,B25+1,0)</f>
        <v>#N/A</v>
      </c>
      <c r="AY25" s="182" t="e">
        <f t="shared" si="22"/>
        <v>#N/A</v>
      </c>
      <c r="AZ25" s="181" t="e">
        <f>HLOOKUP($AZ$3,VaR_Calculo_Historico!$C$2:$ET$103,B25+1,0)</f>
        <v>#N/A</v>
      </c>
      <c r="BA25" s="182" t="e">
        <f t="shared" si="23"/>
        <v>#N/A</v>
      </c>
      <c r="BB25" s="181" t="e">
        <f>HLOOKUP($BB$3,VaR_Calculo_Historico!$C$2:$ET$103,B25+1,0)</f>
        <v>#N/A</v>
      </c>
      <c r="BC25" s="182" t="e">
        <f t="shared" si="24"/>
        <v>#N/A</v>
      </c>
      <c r="BD25" s="181" t="e">
        <f>HLOOKUP($BD$3,VaR_Calculo_Historico!$C$2:$ET$103,B25+1,0)</f>
        <v>#N/A</v>
      </c>
      <c r="BE25" s="182" t="e">
        <f t="shared" si="25"/>
        <v>#N/A</v>
      </c>
      <c r="BF25" s="181" t="e">
        <f>HLOOKUP($BF$3,VaR_Calculo_Historico!$C$2:$ET$103,B25+1,0)</f>
        <v>#N/A</v>
      </c>
      <c r="BG25" s="182" t="e">
        <f t="shared" si="26"/>
        <v>#N/A</v>
      </c>
      <c r="BH25" s="181" t="e">
        <f>HLOOKUP($BH$3,VaR_Calculo_Historico!$C$2:$ET$103,B25+1,0)</f>
        <v>#N/A</v>
      </c>
      <c r="BI25" s="223" t="e">
        <f t="shared" si="27"/>
        <v>#N/A</v>
      </c>
      <c r="BJ25" s="181" t="e">
        <f>HLOOKUP($BJ$3,VaR_Calculo_Historico!$C$2:$ET$103,B25+1,0)</f>
        <v>#N/A</v>
      </c>
      <c r="BK25" s="223" t="e">
        <f t="shared" si="28"/>
        <v>#N/A</v>
      </c>
      <c r="BL25" s="181" t="e">
        <f>HLOOKUP($BL$3,VaR_Calculo_Historico!$C$2:$ET$103,B25+1,0)</f>
        <v>#N/A</v>
      </c>
      <c r="BM25" s="223" t="e">
        <f t="shared" si="29"/>
        <v>#N/A</v>
      </c>
      <c r="BN25" s="181" t="e">
        <f>HLOOKUP($BN$3,VaR_Calculo_Historico!$C$2:$EY$103,B25+1,0)</f>
        <v>#N/A</v>
      </c>
      <c r="BO25" s="223" t="e">
        <f t="shared" si="30"/>
        <v>#N/A</v>
      </c>
    </row>
    <row r="26" spans="2:67" x14ac:dyDescent="0.3">
      <c r="B26" s="166">
        <v>22</v>
      </c>
      <c r="C26" s="208">
        <f>VaR_Calculo_Historico!B23</f>
        <v>42341</v>
      </c>
      <c r="D26" s="181">
        <f>HLOOKUP($D$3,VaR_Calculo_Historico!$C$2:$ET$103,B26+1,0)</f>
        <v>3.303143817</v>
      </c>
      <c r="E26" s="182">
        <f t="shared" si="0"/>
        <v>1.0002849241156917E-3</v>
      </c>
      <c r="F26" s="181">
        <f>HLOOKUP($F$3,VaR_Calculo_Historico!$C$2:$ET$103,B26+1,0)</f>
        <v>1.5795440000000001</v>
      </c>
      <c r="G26" s="182">
        <f t="shared" si="1"/>
        <v>5.4080857898091447E-4</v>
      </c>
      <c r="H26" s="181">
        <f>HLOOKUP($H$3,VaR_Calculo_Historico!$C$2:$ET$103,B26+1,0)</f>
        <v>1.0928529979999999</v>
      </c>
      <c r="I26" s="182">
        <f t="shared" si="2"/>
        <v>6.4818464070602491E-4</v>
      </c>
      <c r="J26" s="181">
        <f>HLOOKUP($J$3,VaR_Calculo_Historico!$C$2:$ET$103,B26+1,0)</f>
        <v>1.8084009999999999</v>
      </c>
      <c r="K26" s="182">
        <f t="shared" si="31"/>
        <v>4.9724786230361743E-4</v>
      </c>
      <c r="L26" s="181">
        <f>HLOOKUP($L$3,VaR_Calculo_Historico!$C$2:$ET$103,B26+1,0)</f>
        <v>1.0653049999999999</v>
      </c>
      <c r="M26" s="182">
        <f t="shared" si="3"/>
        <v>6.4321515885948984E-4</v>
      </c>
      <c r="N26" s="181">
        <f>HLOOKUP($N$3,VaR_Calculo_Historico!$C$2:$ET$103,B26+1,0)</f>
        <v>2.5699809999999998</v>
      </c>
      <c r="O26" s="182">
        <f t="shared" si="4"/>
        <v>5.3010548861355446E-4</v>
      </c>
      <c r="P26" s="181">
        <f>HLOOKUP($P$3,VaR_Calculo_Historico!$C$2:$ET$103,B26+1,0)</f>
        <v>1.726823</v>
      </c>
      <c r="Q26" s="182">
        <f t="shared" si="5"/>
        <v>5.0046601148504271E-4</v>
      </c>
      <c r="R26" s="181">
        <f>HLOOKUP($R$3,VaR_Calculo_Historico!$C$2:$ET$103,B26+1,0)</f>
        <v>1.2506280000000001</v>
      </c>
      <c r="S26" s="182">
        <f t="shared" si="6"/>
        <v>1.2777744622655403E-3</v>
      </c>
      <c r="T26" s="181" t="e">
        <f>HLOOKUP($T$3,VaR_Calculo_Historico!$C$2:$ET$103,B26+1,0)</f>
        <v>#N/A</v>
      </c>
      <c r="U26" s="182" t="e">
        <f t="shared" si="7"/>
        <v>#N/A</v>
      </c>
      <c r="V26" s="181" t="e">
        <f>HLOOKUP($V$3,VaR_Calculo_Historico!$C$2:$ET$103,B26+1,0)</f>
        <v>#N/A</v>
      </c>
      <c r="W26" s="182" t="e">
        <f t="shared" si="8"/>
        <v>#N/A</v>
      </c>
      <c r="X26" s="181" t="e">
        <f>HLOOKUP($X$3,VaR_Calculo_Historico!$C$2:$ET$103,B26+1,0)</f>
        <v>#N/A</v>
      </c>
      <c r="Y26" s="182" t="e">
        <f t="shared" si="9"/>
        <v>#N/A</v>
      </c>
      <c r="Z26" s="181" t="e">
        <f>HLOOKUP($Z$3,VaR_Calculo_Historico!$C$2:$ET$103,B26+1,0)</f>
        <v>#N/A</v>
      </c>
      <c r="AA26" s="182" t="e">
        <f t="shared" si="10"/>
        <v>#N/A</v>
      </c>
      <c r="AB26" s="181" t="e">
        <f>HLOOKUP($AB$3,VaR_Calculo_Historico!$C$2:$ET$103,B26+1,0)</f>
        <v>#N/A</v>
      </c>
      <c r="AC26" s="182" t="e">
        <f t="shared" si="11"/>
        <v>#N/A</v>
      </c>
      <c r="AD26" s="181" t="e">
        <f>HLOOKUP($AD$3,VaR_Calculo_Historico!$C$2:$ET$103,B26+1,0)</f>
        <v>#N/A</v>
      </c>
      <c r="AE26" s="182" t="e">
        <f t="shared" si="12"/>
        <v>#N/A</v>
      </c>
      <c r="AF26" s="181" t="e">
        <f>HLOOKUP($AF$3,VaR_Calculo_Historico!$C$2:$FZS$104,B26+1,0)</f>
        <v>#N/A</v>
      </c>
      <c r="AG26" s="182" t="e">
        <f t="shared" si="13"/>
        <v>#N/A</v>
      </c>
      <c r="AH26" s="181" t="e">
        <f>HLOOKUP($AH$3,VaR_Calculo_Historico!$C$2:$FS$104,B26+1,0)</f>
        <v>#N/A</v>
      </c>
      <c r="AI26" s="182" t="e">
        <f t="shared" si="14"/>
        <v>#N/A</v>
      </c>
      <c r="AJ26" s="181" t="e">
        <f>HLOOKUP($AJ$3,VaR_Calculo_Historico!$C$2:$ET$103,B26+1,0)</f>
        <v>#N/A</v>
      </c>
      <c r="AK26" s="182" t="e">
        <f t="shared" si="15"/>
        <v>#N/A</v>
      </c>
      <c r="AL26" s="181" t="e">
        <f>HLOOKUP($AL$3,VaR_Calculo_Historico!$C$2:$ET$103,B26+1,0)</f>
        <v>#N/A</v>
      </c>
      <c r="AM26" s="182" t="e">
        <f t="shared" si="16"/>
        <v>#N/A</v>
      </c>
      <c r="AN26" s="181" t="e">
        <f>HLOOKUP($AN$3,VaR_Calculo_Historico!$C$2:$ET$103,B26+1,0)</f>
        <v>#N/A</v>
      </c>
      <c r="AO26" s="182" t="e">
        <f t="shared" si="17"/>
        <v>#N/A</v>
      </c>
      <c r="AP26" s="181" t="e">
        <f>HLOOKUP($AP$3,VaR_Calculo_Historico!$C$2:$ET$103,B26+1,0)</f>
        <v>#N/A</v>
      </c>
      <c r="AQ26" s="182" t="e">
        <f t="shared" si="18"/>
        <v>#N/A</v>
      </c>
      <c r="AR26" s="181" t="e">
        <f>HLOOKUP($AR$3,VaR_Calculo_Historico!$C$2:$ET$103,B26+1,0)</f>
        <v>#N/A</v>
      </c>
      <c r="AS26" s="182" t="e">
        <f t="shared" si="19"/>
        <v>#N/A</v>
      </c>
      <c r="AT26" s="181" t="e">
        <f>HLOOKUP($AT$3,VaR_Calculo_Historico!$C$2:$ET$103,B26+1,0)</f>
        <v>#N/A</v>
      </c>
      <c r="AU26" s="182" t="e">
        <f t="shared" si="20"/>
        <v>#N/A</v>
      </c>
      <c r="AV26" s="181" t="e">
        <f>HLOOKUP($AV$3,VaR_Calculo_Historico!$C$2:$ET$103,B26+1,0)</f>
        <v>#N/A</v>
      </c>
      <c r="AW26" s="223" t="e">
        <f t="shared" si="21"/>
        <v>#N/A</v>
      </c>
      <c r="AX26" s="181" t="e">
        <f>HLOOKUP($AX$3,VaR_Calculo_Historico!$C$2:$ET$103,B26+1,0)</f>
        <v>#N/A</v>
      </c>
      <c r="AY26" s="182" t="e">
        <f t="shared" si="22"/>
        <v>#N/A</v>
      </c>
      <c r="AZ26" s="181" t="e">
        <f>HLOOKUP($AZ$3,VaR_Calculo_Historico!$C$2:$ET$103,B26+1,0)</f>
        <v>#N/A</v>
      </c>
      <c r="BA26" s="182" t="e">
        <f t="shared" si="23"/>
        <v>#N/A</v>
      </c>
      <c r="BB26" s="181" t="e">
        <f>HLOOKUP($BB$3,VaR_Calculo_Historico!$C$2:$ET$103,B26+1,0)</f>
        <v>#N/A</v>
      </c>
      <c r="BC26" s="182" t="e">
        <f t="shared" si="24"/>
        <v>#N/A</v>
      </c>
      <c r="BD26" s="181" t="e">
        <f>HLOOKUP($BD$3,VaR_Calculo_Historico!$C$2:$ET$103,B26+1,0)</f>
        <v>#N/A</v>
      </c>
      <c r="BE26" s="182" t="e">
        <f t="shared" si="25"/>
        <v>#N/A</v>
      </c>
      <c r="BF26" s="181" t="e">
        <f>HLOOKUP($BF$3,VaR_Calculo_Historico!$C$2:$ET$103,B26+1,0)</f>
        <v>#N/A</v>
      </c>
      <c r="BG26" s="182" t="e">
        <f t="shared" si="26"/>
        <v>#N/A</v>
      </c>
      <c r="BH26" s="181" t="e">
        <f>HLOOKUP($BH$3,VaR_Calculo_Historico!$C$2:$ET$103,B26+1,0)</f>
        <v>#N/A</v>
      </c>
      <c r="BI26" s="223" t="e">
        <f t="shared" si="27"/>
        <v>#N/A</v>
      </c>
      <c r="BJ26" s="181" t="e">
        <f>HLOOKUP($BJ$3,VaR_Calculo_Historico!$C$2:$ET$103,B26+1,0)</f>
        <v>#N/A</v>
      </c>
      <c r="BK26" s="223" t="e">
        <f t="shared" si="28"/>
        <v>#N/A</v>
      </c>
      <c r="BL26" s="181" t="e">
        <f>HLOOKUP($BL$3,VaR_Calculo_Historico!$C$2:$ET$103,B26+1,0)</f>
        <v>#N/A</v>
      </c>
      <c r="BM26" s="223" t="e">
        <f t="shared" si="29"/>
        <v>#N/A</v>
      </c>
      <c r="BN26" s="181" t="e">
        <f>HLOOKUP($BN$3,VaR_Calculo_Historico!$C$2:$EY$103,B26+1,0)</f>
        <v>#N/A</v>
      </c>
      <c r="BO26" s="223" t="e">
        <f t="shared" si="30"/>
        <v>#N/A</v>
      </c>
    </row>
    <row r="27" spans="2:67" x14ac:dyDescent="0.3">
      <c r="B27" s="166">
        <v>23</v>
      </c>
      <c r="C27" s="208">
        <f>VaR_Calculo_Historico!B24</f>
        <v>42342</v>
      </c>
      <c r="D27" s="181">
        <f>HLOOKUP($D$3,VaR_Calculo_Historico!$C$2:$ET$103,B27+1,0)</f>
        <v>3.3018725629999999</v>
      </c>
      <c r="E27" s="182">
        <f t="shared" si="0"/>
        <v>-3.8493591614604383E-4</v>
      </c>
      <c r="F27" s="181">
        <f>HLOOKUP($F$3,VaR_Calculo_Historico!$C$2:$ET$103,B27+1,0)</f>
        <v>1.580395</v>
      </c>
      <c r="G27" s="182">
        <f t="shared" si="1"/>
        <v>5.3861800533079975E-4</v>
      </c>
      <c r="H27" s="181">
        <f>HLOOKUP($H$3,VaR_Calculo_Historico!$C$2:$ET$103,B27+1,0)</f>
        <v>1.094222942</v>
      </c>
      <c r="I27" s="182">
        <f t="shared" si="2"/>
        <v>1.2527632480541539E-3</v>
      </c>
      <c r="J27" s="181">
        <f>HLOOKUP($J$3,VaR_Calculo_Historico!$C$2:$ET$103,B27+1,0)</f>
        <v>1.809488</v>
      </c>
      <c r="K27" s="182">
        <f t="shared" si="31"/>
        <v>6.0090292029873788E-4</v>
      </c>
      <c r="L27" s="181">
        <f>HLOOKUP($L$3,VaR_Calculo_Historico!$C$2:$ET$103,B27+1,0)</f>
        <v>1.0665640000000001</v>
      </c>
      <c r="M27" s="182">
        <f t="shared" si="3"/>
        <v>1.1811233676782254E-3</v>
      </c>
      <c r="N27" s="181">
        <f>HLOOKUP($N$3,VaR_Calculo_Historico!$C$2:$ET$103,B27+1,0)</f>
        <v>2.5713279999999998</v>
      </c>
      <c r="O27" s="182">
        <f t="shared" si="4"/>
        <v>5.239910811896646E-4</v>
      </c>
      <c r="P27" s="181">
        <f>HLOOKUP($P$3,VaR_Calculo_Historico!$C$2:$ET$103,B27+1,0)</f>
        <v>1.7278789999999999</v>
      </c>
      <c r="Q27" s="182">
        <f t="shared" si="5"/>
        <v>6.113407367055087E-4</v>
      </c>
      <c r="R27" s="181">
        <f>HLOOKUP($R$3,VaR_Calculo_Historico!$C$2:$ET$103,B27+1,0)</f>
        <v>1.2494080000000001</v>
      </c>
      <c r="S27" s="182">
        <f t="shared" si="6"/>
        <v>-9.7598602327524152E-4</v>
      </c>
      <c r="T27" s="181" t="e">
        <f>HLOOKUP($T$3,VaR_Calculo_Historico!$C$2:$ET$103,B27+1,0)</f>
        <v>#N/A</v>
      </c>
      <c r="U27" s="182" t="e">
        <f t="shared" si="7"/>
        <v>#N/A</v>
      </c>
      <c r="V27" s="181" t="e">
        <f>HLOOKUP($V$3,VaR_Calculo_Historico!$C$2:$ET$103,B27+1,0)</f>
        <v>#N/A</v>
      </c>
      <c r="W27" s="182" t="e">
        <f t="shared" si="8"/>
        <v>#N/A</v>
      </c>
      <c r="X27" s="181" t="e">
        <f>HLOOKUP($X$3,VaR_Calculo_Historico!$C$2:$ET$103,B27+1,0)</f>
        <v>#N/A</v>
      </c>
      <c r="Y27" s="182" t="e">
        <f t="shared" si="9"/>
        <v>#N/A</v>
      </c>
      <c r="Z27" s="181" t="e">
        <f>HLOOKUP($Z$3,VaR_Calculo_Historico!$C$2:$ET$103,B27+1,0)</f>
        <v>#N/A</v>
      </c>
      <c r="AA27" s="182" t="e">
        <f t="shared" si="10"/>
        <v>#N/A</v>
      </c>
      <c r="AB27" s="181" t="e">
        <f>HLOOKUP($AB$3,VaR_Calculo_Historico!$C$2:$ET$103,B27+1,0)</f>
        <v>#N/A</v>
      </c>
      <c r="AC27" s="182" t="e">
        <f t="shared" si="11"/>
        <v>#N/A</v>
      </c>
      <c r="AD27" s="181" t="e">
        <f>HLOOKUP($AD$3,VaR_Calculo_Historico!$C$2:$ET$103,B27+1,0)</f>
        <v>#N/A</v>
      </c>
      <c r="AE27" s="182" t="e">
        <f t="shared" si="12"/>
        <v>#N/A</v>
      </c>
      <c r="AF27" s="181" t="e">
        <f>HLOOKUP($AF$3,VaR_Calculo_Historico!$C$2:$FZS$104,B27+1,0)</f>
        <v>#N/A</v>
      </c>
      <c r="AG27" s="182" t="e">
        <f t="shared" si="13"/>
        <v>#N/A</v>
      </c>
      <c r="AH27" s="181" t="e">
        <f>HLOOKUP($AH$3,VaR_Calculo_Historico!$C$2:$FS$104,B27+1,0)</f>
        <v>#N/A</v>
      </c>
      <c r="AI27" s="182" t="e">
        <f t="shared" si="14"/>
        <v>#N/A</v>
      </c>
      <c r="AJ27" s="181" t="e">
        <f>HLOOKUP($AJ$3,VaR_Calculo_Historico!$C$2:$ET$103,B27+1,0)</f>
        <v>#N/A</v>
      </c>
      <c r="AK27" s="182" t="e">
        <f t="shared" si="15"/>
        <v>#N/A</v>
      </c>
      <c r="AL27" s="181" t="e">
        <f>HLOOKUP($AL$3,VaR_Calculo_Historico!$C$2:$ET$103,B27+1,0)</f>
        <v>#N/A</v>
      </c>
      <c r="AM27" s="182" t="e">
        <f t="shared" si="16"/>
        <v>#N/A</v>
      </c>
      <c r="AN27" s="181" t="e">
        <f>HLOOKUP($AN$3,VaR_Calculo_Historico!$C$2:$ET$103,B27+1,0)</f>
        <v>#N/A</v>
      </c>
      <c r="AO27" s="182" t="e">
        <f t="shared" si="17"/>
        <v>#N/A</v>
      </c>
      <c r="AP27" s="181" t="e">
        <f>HLOOKUP($AP$3,VaR_Calculo_Historico!$C$2:$ET$103,B27+1,0)</f>
        <v>#N/A</v>
      </c>
      <c r="AQ27" s="182" t="e">
        <f t="shared" si="18"/>
        <v>#N/A</v>
      </c>
      <c r="AR27" s="181" t="e">
        <f>HLOOKUP($AR$3,VaR_Calculo_Historico!$C$2:$ET$103,B27+1,0)</f>
        <v>#N/A</v>
      </c>
      <c r="AS27" s="182" t="e">
        <f t="shared" si="19"/>
        <v>#N/A</v>
      </c>
      <c r="AT27" s="181" t="e">
        <f>HLOOKUP($AT$3,VaR_Calculo_Historico!$C$2:$ET$103,B27+1,0)</f>
        <v>#N/A</v>
      </c>
      <c r="AU27" s="182" t="e">
        <f t="shared" si="20"/>
        <v>#N/A</v>
      </c>
      <c r="AV27" s="181" t="e">
        <f>HLOOKUP($AV$3,VaR_Calculo_Historico!$C$2:$ET$103,B27+1,0)</f>
        <v>#N/A</v>
      </c>
      <c r="AW27" s="223" t="e">
        <f t="shared" si="21"/>
        <v>#N/A</v>
      </c>
      <c r="AX27" s="181" t="e">
        <f>HLOOKUP($AX$3,VaR_Calculo_Historico!$C$2:$ET$103,B27+1,0)</f>
        <v>#N/A</v>
      </c>
      <c r="AY27" s="182" t="e">
        <f t="shared" si="22"/>
        <v>#N/A</v>
      </c>
      <c r="AZ27" s="181" t="e">
        <f>HLOOKUP($AZ$3,VaR_Calculo_Historico!$C$2:$ET$103,B27+1,0)</f>
        <v>#N/A</v>
      </c>
      <c r="BA27" s="182" t="e">
        <f t="shared" si="23"/>
        <v>#N/A</v>
      </c>
      <c r="BB27" s="181" t="e">
        <f>HLOOKUP($BB$3,VaR_Calculo_Historico!$C$2:$ET$103,B27+1,0)</f>
        <v>#N/A</v>
      </c>
      <c r="BC27" s="182" t="e">
        <f t="shared" si="24"/>
        <v>#N/A</v>
      </c>
      <c r="BD27" s="181" t="e">
        <f>HLOOKUP($BD$3,VaR_Calculo_Historico!$C$2:$ET$103,B27+1,0)</f>
        <v>#N/A</v>
      </c>
      <c r="BE27" s="182" t="e">
        <f t="shared" si="25"/>
        <v>#N/A</v>
      </c>
      <c r="BF27" s="181" t="e">
        <f>HLOOKUP($BF$3,VaR_Calculo_Historico!$C$2:$ET$103,B27+1,0)</f>
        <v>#N/A</v>
      </c>
      <c r="BG27" s="182" t="e">
        <f t="shared" si="26"/>
        <v>#N/A</v>
      </c>
      <c r="BH27" s="181" t="e">
        <f>HLOOKUP($BH$3,VaR_Calculo_Historico!$C$2:$ET$103,B27+1,0)</f>
        <v>#N/A</v>
      </c>
      <c r="BI27" s="223" t="e">
        <f t="shared" si="27"/>
        <v>#N/A</v>
      </c>
      <c r="BJ27" s="181" t="e">
        <f>HLOOKUP($BJ$3,VaR_Calculo_Historico!$C$2:$ET$103,B27+1,0)</f>
        <v>#N/A</v>
      </c>
      <c r="BK27" s="223" t="e">
        <f t="shared" si="28"/>
        <v>#N/A</v>
      </c>
      <c r="BL27" s="181" t="e">
        <f>HLOOKUP($BL$3,VaR_Calculo_Historico!$C$2:$ET$103,B27+1,0)</f>
        <v>#N/A</v>
      </c>
      <c r="BM27" s="223" t="e">
        <f t="shared" si="29"/>
        <v>#N/A</v>
      </c>
      <c r="BN27" s="181" t="e">
        <f>HLOOKUP($BN$3,VaR_Calculo_Historico!$C$2:$EY$103,B27+1,0)</f>
        <v>#N/A</v>
      </c>
      <c r="BO27" s="223" t="e">
        <f t="shared" si="30"/>
        <v>#N/A</v>
      </c>
    </row>
    <row r="28" spans="2:67" x14ac:dyDescent="0.3">
      <c r="B28" s="166">
        <v>24</v>
      </c>
      <c r="C28" s="208">
        <f>VaR_Calculo_Historico!B25</f>
        <v>42345</v>
      </c>
      <c r="D28" s="181">
        <f>HLOOKUP($D$3,VaR_Calculo_Historico!$C$2:$ET$103,B28+1,0)</f>
        <v>3.304014553</v>
      </c>
      <c r="E28" s="182">
        <f t="shared" si="0"/>
        <v>6.485094393702867E-4</v>
      </c>
      <c r="F28" s="181">
        <f>HLOOKUP($F$3,VaR_Calculo_Historico!$C$2:$ET$103,B28+1,0)</f>
        <v>1.581251</v>
      </c>
      <c r="G28" s="182">
        <f t="shared" si="1"/>
        <v>5.4149011047781184E-4</v>
      </c>
      <c r="H28" s="181">
        <f>HLOOKUP($H$3,VaR_Calculo_Historico!$C$2:$ET$103,B28+1,0)</f>
        <v>1.095118646</v>
      </c>
      <c r="I28" s="182">
        <f t="shared" si="2"/>
        <v>8.1824056591584427E-4</v>
      </c>
      <c r="J28" s="181">
        <f>HLOOKUP($J$3,VaR_Calculo_Historico!$C$2:$ET$103,B28+1,0)</f>
        <v>1.8103659999999999</v>
      </c>
      <c r="K28" s="182">
        <f t="shared" si="31"/>
        <v>4.8510244734618603E-4</v>
      </c>
      <c r="L28" s="181">
        <f>HLOOKUP($L$3,VaR_Calculo_Historico!$C$2:$ET$103,B28+1,0)</f>
        <v>1.0674490000000001</v>
      </c>
      <c r="M28" s="182">
        <f t="shared" si="3"/>
        <v>8.294232984858951E-4</v>
      </c>
      <c r="N28" s="181">
        <f>HLOOKUP($N$3,VaR_Calculo_Historico!$C$2:$ET$103,B28+1,0)</f>
        <v>2.5726779999999998</v>
      </c>
      <c r="O28" s="182">
        <f t="shared" si="4"/>
        <v>5.248827590769151E-4</v>
      </c>
      <c r="P28" s="181">
        <f>HLOOKUP($P$3,VaR_Calculo_Historico!$C$2:$ET$103,B28+1,0)</f>
        <v>1.72872</v>
      </c>
      <c r="Q28" s="182">
        <f t="shared" si="5"/>
        <v>4.8660548509943169E-4</v>
      </c>
      <c r="R28" s="181">
        <f>HLOOKUP($R$3,VaR_Calculo_Historico!$C$2:$ET$103,B28+1,0)</f>
        <v>1.250281</v>
      </c>
      <c r="S28" s="182">
        <f t="shared" si="6"/>
        <v>6.9848692016771471E-4</v>
      </c>
      <c r="T28" s="181" t="e">
        <f>HLOOKUP($T$3,VaR_Calculo_Historico!$C$2:$ET$103,B28+1,0)</f>
        <v>#N/A</v>
      </c>
      <c r="U28" s="182" t="e">
        <f t="shared" si="7"/>
        <v>#N/A</v>
      </c>
      <c r="V28" s="181" t="e">
        <f>HLOOKUP($V$3,VaR_Calculo_Historico!$C$2:$ET$103,B28+1,0)</f>
        <v>#N/A</v>
      </c>
      <c r="W28" s="182" t="e">
        <f t="shared" si="8"/>
        <v>#N/A</v>
      </c>
      <c r="X28" s="181" t="e">
        <f>HLOOKUP($X$3,VaR_Calculo_Historico!$C$2:$ET$103,B28+1,0)</f>
        <v>#N/A</v>
      </c>
      <c r="Y28" s="182" t="e">
        <f t="shared" si="9"/>
        <v>#N/A</v>
      </c>
      <c r="Z28" s="181" t="e">
        <f>HLOOKUP($Z$3,VaR_Calculo_Historico!$C$2:$ET$103,B28+1,0)</f>
        <v>#N/A</v>
      </c>
      <c r="AA28" s="182" t="e">
        <f t="shared" si="10"/>
        <v>#N/A</v>
      </c>
      <c r="AB28" s="181" t="e">
        <f>HLOOKUP($AB$3,VaR_Calculo_Historico!$C$2:$ET$103,B28+1,0)</f>
        <v>#N/A</v>
      </c>
      <c r="AC28" s="182" t="e">
        <f t="shared" si="11"/>
        <v>#N/A</v>
      </c>
      <c r="AD28" s="181" t="e">
        <f>HLOOKUP($AD$3,VaR_Calculo_Historico!$C$2:$ET$103,B28+1,0)</f>
        <v>#N/A</v>
      </c>
      <c r="AE28" s="182" t="e">
        <f t="shared" si="12"/>
        <v>#N/A</v>
      </c>
      <c r="AF28" s="181" t="e">
        <f>HLOOKUP($AF$3,VaR_Calculo_Historico!$C$2:$FZS$104,B28+1,0)</f>
        <v>#N/A</v>
      </c>
      <c r="AG28" s="182" t="e">
        <f t="shared" si="13"/>
        <v>#N/A</v>
      </c>
      <c r="AH28" s="181" t="e">
        <f>HLOOKUP($AH$3,VaR_Calculo_Historico!$C$2:$FS$104,B28+1,0)</f>
        <v>#N/A</v>
      </c>
      <c r="AI28" s="182" t="e">
        <f t="shared" si="14"/>
        <v>#N/A</v>
      </c>
      <c r="AJ28" s="181" t="e">
        <f>HLOOKUP($AJ$3,VaR_Calculo_Historico!$C$2:$ET$103,B28+1,0)</f>
        <v>#N/A</v>
      </c>
      <c r="AK28" s="182" t="e">
        <f t="shared" si="15"/>
        <v>#N/A</v>
      </c>
      <c r="AL28" s="181" t="e">
        <f>HLOOKUP($AL$3,VaR_Calculo_Historico!$C$2:$ET$103,B28+1,0)</f>
        <v>#N/A</v>
      </c>
      <c r="AM28" s="182" t="e">
        <f t="shared" si="16"/>
        <v>#N/A</v>
      </c>
      <c r="AN28" s="181" t="e">
        <f>HLOOKUP($AN$3,VaR_Calculo_Historico!$C$2:$ET$103,B28+1,0)</f>
        <v>#N/A</v>
      </c>
      <c r="AO28" s="182" t="e">
        <f t="shared" si="17"/>
        <v>#N/A</v>
      </c>
      <c r="AP28" s="181" t="e">
        <f>HLOOKUP($AP$3,VaR_Calculo_Historico!$C$2:$ET$103,B28+1,0)</f>
        <v>#N/A</v>
      </c>
      <c r="AQ28" s="182" t="e">
        <f t="shared" si="18"/>
        <v>#N/A</v>
      </c>
      <c r="AR28" s="181" t="e">
        <f>HLOOKUP($AR$3,VaR_Calculo_Historico!$C$2:$ET$103,B28+1,0)</f>
        <v>#N/A</v>
      </c>
      <c r="AS28" s="182" t="e">
        <f t="shared" si="19"/>
        <v>#N/A</v>
      </c>
      <c r="AT28" s="181" t="e">
        <f>HLOOKUP($AT$3,VaR_Calculo_Historico!$C$2:$ET$103,B28+1,0)</f>
        <v>#N/A</v>
      </c>
      <c r="AU28" s="182" t="e">
        <f t="shared" si="20"/>
        <v>#N/A</v>
      </c>
      <c r="AV28" s="181" t="e">
        <f>HLOOKUP($AV$3,VaR_Calculo_Historico!$C$2:$ET$103,B28+1,0)</f>
        <v>#N/A</v>
      </c>
      <c r="AW28" s="223" t="e">
        <f t="shared" si="21"/>
        <v>#N/A</v>
      </c>
      <c r="AX28" s="181" t="e">
        <f>HLOOKUP($AX$3,VaR_Calculo_Historico!$C$2:$ET$103,B28+1,0)</f>
        <v>#N/A</v>
      </c>
      <c r="AY28" s="182" t="e">
        <f t="shared" si="22"/>
        <v>#N/A</v>
      </c>
      <c r="AZ28" s="181" t="e">
        <f>HLOOKUP($AZ$3,VaR_Calculo_Historico!$C$2:$ET$103,B28+1,0)</f>
        <v>#N/A</v>
      </c>
      <c r="BA28" s="182" t="e">
        <f t="shared" si="23"/>
        <v>#N/A</v>
      </c>
      <c r="BB28" s="181" t="e">
        <f>HLOOKUP($BB$3,VaR_Calculo_Historico!$C$2:$ET$103,B28+1,0)</f>
        <v>#N/A</v>
      </c>
      <c r="BC28" s="182" t="e">
        <f t="shared" si="24"/>
        <v>#N/A</v>
      </c>
      <c r="BD28" s="181" t="e">
        <f>HLOOKUP($BD$3,VaR_Calculo_Historico!$C$2:$ET$103,B28+1,0)</f>
        <v>#N/A</v>
      </c>
      <c r="BE28" s="182" t="e">
        <f t="shared" si="25"/>
        <v>#N/A</v>
      </c>
      <c r="BF28" s="181" t="e">
        <f>HLOOKUP($BF$3,VaR_Calculo_Historico!$C$2:$ET$103,B28+1,0)</f>
        <v>#N/A</v>
      </c>
      <c r="BG28" s="182" t="e">
        <f t="shared" si="26"/>
        <v>#N/A</v>
      </c>
      <c r="BH28" s="181" t="e">
        <f>HLOOKUP($BH$3,VaR_Calculo_Historico!$C$2:$ET$103,B28+1,0)</f>
        <v>#N/A</v>
      </c>
      <c r="BI28" s="223" t="e">
        <f t="shared" si="27"/>
        <v>#N/A</v>
      </c>
      <c r="BJ28" s="181" t="e">
        <f>HLOOKUP($BJ$3,VaR_Calculo_Historico!$C$2:$ET$103,B28+1,0)</f>
        <v>#N/A</v>
      </c>
      <c r="BK28" s="223" t="e">
        <f t="shared" si="28"/>
        <v>#N/A</v>
      </c>
      <c r="BL28" s="181" t="e">
        <f>HLOOKUP($BL$3,VaR_Calculo_Historico!$C$2:$ET$103,B28+1,0)</f>
        <v>#N/A</v>
      </c>
      <c r="BM28" s="223" t="e">
        <f t="shared" si="29"/>
        <v>#N/A</v>
      </c>
      <c r="BN28" s="181" t="e">
        <f>HLOOKUP($BN$3,VaR_Calculo_Historico!$C$2:$EY$103,B28+1,0)</f>
        <v>#N/A</v>
      </c>
      <c r="BO28" s="223" t="e">
        <f t="shared" si="30"/>
        <v>#N/A</v>
      </c>
    </row>
    <row r="29" spans="2:67" x14ac:dyDescent="0.3">
      <c r="B29" s="166">
        <v>25</v>
      </c>
      <c r="C29" s="208">
        <f>VaR_Calculo_Historico!B26</f>
        <v>42346</v>
      </c>
      <c r="D29" s="181">
        <f>HLOOKUP($D$3,VaR_Calculo_Historico!$C$2:$ET$103,B29+1,0)</f>
        <v>3.3098917370000001</v>
      </c>
      <c r="E29" s="182">
        <f t="shared" si="0"/>
        <v>1.7772206890250071E-3</v>
      </c>
      <c r="F29" s="181">
        <f>HLOOKUP($F$3,VaR_Calculo_Historico!$C$2:$ET$103,B29+1,0)</f>
        <v>1.582087</v>
      </c>
      <c r="G29" s="182">
        <f t="shared" si="1"/>
        <v>5.2855560769219712E-4</v>
      </c>
      <c r="H29" s="181">
        <f>HLOOKUP($H$3,VaR_Calculo_Historico!$C$2:$ET$103,B29+1,0)</f>
        <v>1.096937571</v>
      </c>
      <c r="I29" s="182">
        <f t="shared" si="2"/>
        <v>1.6595609212561437E-3</v>
      </c>
      <c r="J29" s="181">
        <f>HLOOKUP($J$3,VaR_Calculo_Historico!$C$2:$ET$103,B29+1,0)</f>
        <v>1.811501</v>
      </c>
      <c r="K29" s="182">
        <f t="shared" si="31"/>
        <v>6.2674860073760506E-4</v>
      </c>
      <c r="L29" s="181">
        <f>HLOOKUP($L$3,VaR_Calculo_Historico!$C$2:$ET$103,B29+1,0)</f>
        <v>1.0690919999999999</v>
      </c>
      <c r="M29" s="182">
        <f t="shared" si="3"/>
        <v>1.5380002760242669E-3</v>
      </c>
      <c r="N29" s="181">
        <f>HLOOKUP($N$3,VaR_Calculo_Historico!$C$2:$ET$103,B29+1,0)</f>
        <v>2.5740219999999998</v>
      </c>
      <c r="O29" s="182">
        <f t="shared" si="4"/>
        <v>5.222764219988366E-4</v>
      </c>
      <c r="P29" s="181">
        <f>HLOOKUP($P$3,VaR_Calculo_Historico!$C$2:$ET$103,B29+1,0)</f>
        <v>1.7298290000000001</v>
      </c>
      <c r="Q29" s="182">
        <f t="shared" si="5"/>
        <v>6.4130942658846134E-4</v>
      </c>
      <c r="R29" s="181">
        <f>HLOOKUP($R$3,VaR_Calculo_Historico!$C$2:$ET$103,B29+1,0)</f>
        <v>1.2534479999999999</v>
      </c>
      <c r="S29" s="182">
        <f t="shared" si="6"/>
        <v>2.5298278600231474E-3</v>
      </c>
      <c r="T29" s="181" t="e">
        <f>HLOOKUP($T$3,VaR_Calculo_Historico!$C$2:$ET$103,B29+1,0)</f>
        <v>#N/A</v>
      </c>
      <c r="U29" s="182" t="e">
        <f t="shared" si="7"/>
        <v>#N/A</v>
      </c>
      <c r="V29" s="181" t="e">
        <f>HLOOKUP($V$3,VaR_Calculo_Historico!$C$2:$ET$103,B29+1,0)</f>
        <v>#N/A</v>
      </c>
      <c r="W29" s="182" t="e">
        <f t="shared" si="8"/>
        <v>#N/A</v>
      </c>
      <c r="X29" s="181" t="e">
        <f>HLOOKUP($X$3,VaR_Calculo_Historico!$C$2:$ET$103,B29+1,0)</f>
        <v>#N/A</v>
      </c>
      <c r="Y29" s="182" t="e">
        <f t="shared" si="9"/>
        <v>#N/A</v>
      </c>
      <c r="Z29" s="181" t="e">
        <f>HLOOKUP($Z$3,VaR_Calculo_Historico!$C$2:$ET$103,B29+1,0)</f>
        <v>#N/A</v>
      </c>
      <c r="AA29" s="182" t="e">
        <f t="shared" si="10"/>
        <v>#N/A</v>
      </c>
      <c r="AB29" s="181" t="e">
        <f>HLOOKUP($AB$3,VaR_Calculo_Historico!$C$2:$ET$103,B29+1,0)</f>
        <v>#N/A</v>
      </c>
      <c r="AC29" s="182" t="e">
        <f t="shared" si="11"/>
        <v>#N/A</v>
      </c>
      <c r="AD29" s="181" t="e">
        <f>HLOOKUP($AD$3,VaR_Calculo_Historico!$C$2:$ET$103,B29+1,0)</f>
        <v>#N/A</v>
      </c>
      <c r="AE29" s="182" t="e">
        <f t="shared" si="12"/>
        <v>#N/A</v>
      </c>
      <c r="AF29" s="181" t="e">
        <f>HLOOKUP($AF$3,VaR_Calculo_Historico!$C$2:$FZS$104,B29+1,0)</f>
        <v>#N/A</v>
      </c>
      <c r="AG29" s="182" t="e">
        <f t="shared" si="13"/>
        <v>#N/A</v>
      </c>
      <c r="AH29" s="181" t="e">
        <f>HLOOKUP($AH$3,VaR_Calculo_Historico!$C$2:$FS$104,B29+1,0)</f>
        <v>#N/A</v>
      </c>
      <c r="AI29" s="182" t="e">
        <f t="shared" si="14"/>
        <v>#N/A</v>
      </c>
      <c r="AJ29" s="181" t="e">
        <f>HLOOKUP($AJ$3,VaR_Calculo_Historico!$C$2:$ET$103,B29+1,0)</f>
        <v>#N/A</v>
      </c>
      <c r="AK29" s="182" t="e">
        <f t="shared" si="15"/>
        <v>#N/A</v>
      </c>
      <c r="AL29" s="181" t="e">
        <f>HLOOKUP($AL$3,VaR_Calculo_Historico!$C$2:$ET$103,B29+1,0)</f>
        <v>#N/A</v>
      </c>
      <c r="AM29" s="182" t="e">
        <f t="shared" si="16"/>
        <v>#N/A</v>
      </c>
      <c r="AN29" s="181" t="e">
        <f>HLOOKUP($AN$3,VaR_Calculo_Historico!$C$2:$ET$103,B29+1,0)</f>
        <v>#N/A</v>
      </c>
      <c r="AO29" s="182" t="e">
        <f t="shared" si="17"/>
        <v>#N/A</v>
      </c>
      <c r="AP29" s="181" t="e">
        <f>HLOOKUP($AP$3,VaR_Calculo_Historico!$C$2:$ET$103,B29+1,0)</f>
        <v>#N/A</v>
      </c>
      <c r="AQ29" s="182" t="e">
        <f t="shared" si="18"/>
        <v>#N/A</v>
      </c>
      <c r="AR29" s="181" t="e">
        <f>HLOOKUP($AR$3,VaR_Calculo_Historico!$C$2:$ET$103,B29+1,0)</f>
        <v>#N/A</v>
      </c>
      <c r="AS29" s="182" t="e">
        <f t="shared" si="19"/>
        <v>#N/A</v>
      </c>
      <c r="AT29" s="181" t="e">
        <f>HLOOKUP($AT$3,VaR_Calculo_Historico!$C$2:$ET$103,B29+1,0)</f>
        <v>#N/A</v>
      </c>
      <c r="AU29" s="182" t="e">
        <f t="shared" si="20"/>
        <v>#N/A</v>
      </c>
      <c r="AV29" s="181" t="e">
        <f>HLOOKUP($AV$3,VaR_Calculo_Historico!$C$2:$ET$103,B29+1,0)</f>
        <v>#N/A</v>
      </c>
      <c r="AW29" s="223" t="e">
        <f t="shared" si="21"/>
        <v>#N/A</v>
      </c>
      <c r="AX29" s="181" t="e">
        <f>HLOOKUP($AX$3,VaR_Calculo_Historico!$C$2:$ET$103,B29+1,0)</f>
        <v>#N/A</v>
      </c>
      <c r="AY29" s="182" t="e">
        <f t="shared" si="22"/>
        <v>#N/A</v>
      </c>
      <c r="AZ29" s="181" t="e">
        <f>HLOOKUP($AZ$3,VaR_Calculo_Historico!$C$2:$ET$103,B29+1,0)</f>
        <v>#N/A</v>
      </c>
      <c r="BA29" s="182" t="e">
        <f t="shared" si="23"/>
        <v>#N/A</v>
      </c>
      <c r="BB29" s="181" t="e">
        <f>HLOOKUP($BB$3,VaR_Calculo_Historico!$C$2:$ET$103,B29+1,0)</f>
        <v>#N/A</v>
      </c>
      <c r="BC29" s="182" t="e">
        <f t="shared" si="24"/>
        <v>#N/A</v>
      </c>
      <c r="BD29" s="181" t="e">
        <f>HLOOKUP($BD$3,VaR_Calculo_Historico!$C$2:$ET$103,B29+1,0)</f>
        <v>#N/A</v>
      </c>
      <c r="BE29" s="182" t="e">
        <f t="shared" si="25"/>
        <v>#N/A</v>
      </c>
      <c r="BF29" s="181" t="e">
        <f>HLOOKUP($BF$3,VaR_Calculo_Historico!$C$2:$ET$103,B29+1,0)</f>
        <v>#N/A</v>
      </c>
      <c r="BG29" s="182" t="e">
        <f t="shared" si="26"/>
        <v>#N/A</v>
      </c>
      <c r="BH29" s="181" t="e">
        <f>HLOOKUP($BH$3,VaR_Calculo_Historico!$C$2:$ET$103,B29+1,0)</f>
        <v>#N/A</v>
      </c>
      <c r="BI29" s="223" t="e">
        <f t="shared" si="27"/>
        <v>#N/A</v>
      </c>
      <c r="BJ29" s="181" t="e">
        <f>HLOOKUP($BJ$3,VaR_Calculo_Historico!$C$2:$ET$103,B29+1,0)</f>
        <v>#N/A</v>
      </c>
      <c r="BK29" s="223" t="e">
        <f t="shared" si="28"/>
        <v>#N/A</v>
      </c>
      <c r="BL29" s="181" t="e">
        <f>HLOOKUP($BL$3,VaR_Calculo_Historico!$C$2:$ET$103,B29+1,0)</f>
        <v>#N/A</v>
      </c>
      <c r="BM29" s="223" t="e">
        <f t="shared" si="29"/>
        <v>#N/A</v>
      </c>
      <c r="BN29" s="181" t="e">
        <f>HLOOKUP($BN$3,VaR_Calculo_Historico!$C$2:$EY$103,B29+1,0)</f>
        <v>#N/A</v>
      </c>
      <c r="BO29" s="223" t="e">
        <f t="shared" si="30"/>
        <v>#N/A</v>
      </c>
    </row>
    <row r="30" spans="2:67" x14ac:dyDescent="0.3">
      <c r="B30" s="166">
        <v>26</v>
      </c>
      <c r="C30" s="208">
        <f>VaR_Calculo_Historico!B27</f>
        <v>42347</v>
      </c>
      <c r="D30" s="181">
        <f>HLOOKUP($D$3,VaR_Calculo_Historico!$C$2:$ET$103,B30+1,0)</f>
        <v>3.3000325749999999</v>
      </c>
      <c r="E30" s="182">
        <f t="shared" si="0"/>
        <v>-2.9831413632374999E-3</v>
      </c>
      <c r="F30" s="181">
        <f>HLOOKUP($F$3,VaR_Calculo_Historico!$C$2:$ET$103,B30+1,0)</f>
        <v>1.5829009999999999</v>
      </c>
      <c r="G30" s="182">
        <f t="shared" si="1"/>
        <v>5.1437794895123389E-4</v>
      </c>
      <c r="H30" s="181">
        <f>HLOOKUP($H$3,VaR_Calculo_Historico!$C$2:$ET$103,B30+1,0)</f>
        <v>1.0967757680000001</v>
      </c>
      <c r="I30" s="182">
        <f t="shared" si="2"/>
        <v>-1.475151720297863E-4</v>
      </c>
      <c r="J30" s="181">
        <f>HLOOKUP($J$3,VaR_Calculo_Historico!$C$2:$ET$103,B30+1,0)</f>
        <v>1.8119289999999999</v>
      </c>
      <c r="K30" s="182">
        <f t="shared" si="31"/>
        <v>2.3624024859884561E-4</v>
      </c>
      <c r="L30" s="181">
        <f>HLOOKUP($L$3,VaR_Calculo_Historico!$C$2:$ET$103,B30+1,0)</f>
        <v>1.069502</v>
      </c>
      <c r="M30" s="182">
        <f t="shared" si="3"/>
        <v>3.8342949154740447E-4</v>
      </c>
      <c r="N30" s="181">
        <f>HLOOKUP($N$3,VaR_Calculo_Historico!$C$2:$ET$103,B30+1,0)</f>
        <v>2.5753919999999999</v>
      </c>
      <c r="O30" s="182">
        <f t="shared" si="4"/>
        <v>5.3209939318307406E-4</v>
      </c>
      <c r="P30" s="181">
        <f>HLOOKUP($P$3,VaR_Calculo_Historico!$C$2:$ET$103,B30+1,0)</f>
        <v>1.7301960000000001</v>
      </c>
      <c r="Q30" s="182">
        <f t="shared" si="5"/>
        <v>2.121371963361041E-4</v>
      </c>
      <c r="R30" s="181">
        <f>HLOOKUP($R$3,VaR_Calculo_Historico!$C$2:$ET$103,B30+1,0)</f>
        <v>1.2472780000000001</v>
      </c>
      <c r="S30" s="182">
        <f t="shared" si="6"/>
        <v>-4.9345770148179792E-3</v>
      </c>
      <c r="T30" s="181" t="e">
        <f>HLOOKUP($T$3,VaR_Calculo_Historico!$C$2:$ET$103,B30+1,0)</f>
        <v>#N/A</v>
      </c>
      <c r="U30" s="182" t="e">
        <f t="shared" si="7"/>
        <v>#N/A</v>
      </c>
      <c r="V30" s="181" t="e">
        <f>HLOOKUP($V$3,VaR_Calculo_Historico!$C$2:$ET$103,B30+1,0)</f>
        <v>#N/A</v>
      </c>
      <c r="W30" s="182" t="e">
        <f t="shared" si="8"/>
        <v>#N/A</v>
      </c>
      <c r="X30" s="181" t="e">
        <f>HLOOKUP($X$3,VaR_Calculo_Historico!$C$2:$ET$103,B30+1,0)</f>
        <v>#N/A</v>
      </c>
      <c r="Y30" s="182" t="e">
        <f t="shared" si="9"/>
        <v>#N/A</v>
      </c>
      <c r="Z30" s="181" t="e">
        <f>HLOOKUP($Z$3,VaR_Calculo_Historico!$C$2:$ET$103,B30+1,0)</f>
        <v>#N/A</v>
      </c>
      <c r="AA30" s="182" t="e">
        <f t="shared" si="10"/>
        <v>#N/A</v>
      </c>
      <c r="AB30" s="181" t="e">
        <f>HLOOKUP($AB$3,VaR_Calculo_Historico!$C$2:$ET$103,B30+1,0)</f>
        <v>#N/A</v>
      </c>
      <c r="AC30" s="182" t="e">
        <f t="shared" si="11"/>
        <v>#N/A</v>
      </c>
      <c r="AD30" s="181" t="e">
        <f>HLOOKUP($AD$3,VaR_Calculo_Historico!$C$2:$ET$103,B30+1,0)</f>
        <v>#N/A</v>
      </c>
      <c r="AE30" s="182" t="e">
        <f t="shared" si="12"/>
        <v>#N/A</v>
      </c>
      <c r="AF30" s="181" t="e">
        <f>HLOOKUP($AF$3,VaR_Calculo_Historico!$C$2:$FZS$104,B30+1,0)</f>
        <v>#N/A</v>
      </c>
      <c r="AG30" s="182" t="e">
        <f t="shared" si="13"/>
        <v>#N/A</v>
      </c>
      <c r="AH30" s="181" t="e">
        <f>HLOOKUP($AH$3,VaR_Calculo_Historico!$C$2:$FS$104,B30+1,0)</f>
        <v>#N/A</v>
      </c>
      <c r="AI30" s="182" t="e">
        <f t="shared" si="14"/>
        <v>#N/A</v>
      </c>
      <c r="AJ30" s="181" t="e">
        <f>HLOOKUP($AJ$3,VaR_Calculo_Historico!$C$2:$ET$103,B30+1,0)</f>
        <v>#N/A</v>
      </c>
      <c r="AK30" s="182" t="e">
        <f t="shared" si="15"/>
        <v>#N/A</v>
      </c>
      <c r="AL30" s="181" t="e">
        <f>HLOOKUP($AL$3,VaR_Calculo_Historico!$C$2:$ET$103,B30+1,0)</f>
        <v>#N/A</v>
      </c>
      <c r="AM30" s="182" t="e">
        <f t="shared" si="16"/>
        <v>#N/A</v>
      </c>
      <c r="AN30" s="181" t="e">
        <f>HLOOKUP($AN$3,VaR_Calculo_Historico!$C$2:$ET$103,B30+1,0)</f>
        <v>#N/A</v>
      </c>
      <c r="AO30" s="182" t="e">
        <f t="shared" si="17"/>
        <v>#N/A</v>
      </c>
      <c r="AP30" s="181" t="e">
        <f>HLOOKUP($AP$3,VaR_Calculo_Historico!$C$2:$ET$103,B30+1,0)</f>
        <v>#N/A</v>
      </c>
      <c r="AQ30" s="182" t="e">
        <f t="shared" si="18"/>
        <v>#N/A</v>
      </c>
      <c r="AR30" s="181" t="e">
        <f>HLOOKUP($AR$3,VaR_Calculo_Historico!$C$2:$ET$103,B30+1,0)</f>
        <v>#N/A</v>
      </c>
      <c r="AS30" s="182" t="e">
        <f t="shared" si="19"/>
        <v>#N/A</v>
      </c>
      <c r="AT30" s="181" t="e">
        <f>HLOOKUP($AT$3,VaR_Calculo_Historico!$C$2:$ET$103,B30+1,0)</f>
        <v>#N/A</v>
      </c>
      <c r="AU30" s="182" t="e">
        <f t="shared" si="20"/>
        <v>#N/A</v>
      </c>
      <c r="AV30" s="181" t="e">
        <f>HLOOKUP($AV$3,VaR_Calculo_Historico!$C$2:$ET$103,B30+1,0)</f>
        <v>#N/A</v>
      </c>
      <c r="AW30" s="223" t="e">
        <f t="shared" si="21"/>
        <v>#N/A</v>
      </c>
      <c r="AX30" s="181" t="e">
        <f>HLOOKUP($AX$3,VaR_Calculo_Historico!$C$2:$ET$103,B30+1,0)</f>
        <v>#N/A</v>
      </c>
      <c r="AY30" s="182" t="e">
        <f t="shared" si="22"/>
        <v>#N/A</v>
      </c>
      <c r="AZ30" s="181" t="e">
        <f>HLOOKUP($AZ$3,VaR_Calculo_Historico!$C$2:$ET$103,B30+1,0)</f>
        <v>#N/A</v>
      </c>
      <c r="BA30" s="182" t="e">
        <f t="shared" si="23"/>
        <v>#N/A</v>
      </c>
      <c r="BB30" s="181" t="e">
        <f>HLOOKUP($BB$3,VaR_Calculo_Historico!$C$2:$ET$103,B30+1,0)</f>
        <v>#N/A</v>
      </c>
      <c r="BC30" s="182" t="e">
        <f t="shared" si="24"/>
        <v>#N/A</v>
      </c>
      <c r="BD30" s="181" t="e">
        <f>HLOOKUP($BD$3,VaR_Calculo_Historico!$C$2:$ET$103,B30+1,0)</f>
        <v>#N/A</v>
      </c>
      <c r="BE30" s="182" t="e">
        <f t="shared" si="25"/>
        <v>#N/A</v>
      </c>
      <c r="BF30" s="181" t="e">
        <f>HLOOKUP($BF$3,VaR_Calculo_Historico!$C$2:$ET$103,B30+1,0)</f>
        <v>#N/A</v>
      </c>
      <c r="BG30" s="182" t="e">
        <f t="shared" si="26"/>
        <v>#N/A</v>
      </c>
      <c r="BH30" s="181" t="e">
        <f>HLOOKUP($BH$3,VaR_Calculo_Historico!$C$2:$ET$103,B30+1,0)</f>
        <v>#N/A</v>
      </c>
      <c r="BI30" s="223" t="e">
        <f t="shared" si="27"/>
        <v>#N/A</v>
      </c>
      <c r="BJ30" s="181" t="e">
        <f>HLOOKUP($BJ$3,VaR_Calculo_Historico!$C$2:$ET$103,B30+1,0)</f>
        <v>#N/A</v>
      </c>
      <c r="BK30" s="223" t="e">
        <f t="shared" si="28"/>
        <v>#N/A</v>
      </c>
      <c r="BL30" s="181" t="e">
        <f>HLOOKUP($BL$3,VaR_Calculo_Historico!$C$2:$ET$103,B30+1,0)</f>
        <v>#N/A</v>
      </c>
      <c r="BM30" s="223" t="e">
        <f t="shared" si="29"/>
        <v>#N/A</v>
      </c>
      <c r="BN30" s="181" t="e">
        <f>HLOOKUP($BN$3,VaR_Calculo_Historico!$C$2:$EY$103,B30+1,0)</f>
        <v>#N/A</v>
      </c>
      <c r="BO30" s="223" t="e">
        <f t="shared" si="30"/>
        <v>#N/A</v>
      </c>
    </row>
    <row r="31" spans="2:67" x14ac:dyDescent="0.3">
      <c r="B31" s="166">
        <v>27</v>
      </c>
      <c r="C31" s="208">
        <f>VaR_Calculo_Historico!B28</f>
        <v>42348</v>
      </c>
      <c r="D31" s="181">
        <f>HLOOKUP($D$3,VaR_Calculo_Historico!$C$2:$ET$103,B31+1,0)</f>
        <v>3.2983163119999999</v>
      </c>
      <c r="E31" s="182">
        <f t="shared" si="0"/>
        <v>-5.2020984888679516E-4</v>
      </c>
      <c r="F31" s="181">
        <f>HLOOKUP($F$3,VaR_Calculo_Historico!$C$2:$ET$103,B31+1,0)</f>
        <v>1.5837559999999999</v>
      </c>
      <c r="G31" s="182">
        <f t="shared" si="1"/>
        <v>5.4000166154822031E-4</v>
      </c>
      <c r="H31" s="181">
        <f>HLOOKUP($H$3,VaR_Calculo_Historico!$C$2:$ET$103,B31+1,0)</f>
        <v>1.097293061</v>
      </c>
      <c r="I31" s="182">
        <f t="shared" si="2"/>
        <v>4.7153763158887312E-4</v>
      </c>
      <c r="J31" s="181">
        <f>HLOOKUP($J$3,VaR_Calculo_Historico!$C$2:$ET$103,B31+1,0)</f>
        <v>1.8126580000000001</v>
      </c>
      <c r="K31" s="182">
        <f t="shared" si="31"/>
        <v>4.0225273104485749E-4</v>
      </c>
      <c r="L31" s="181">
        <f>HLOOKUP($L$3,VaR_Calculo_Historico!$C$2:$ET$103,B31+1,0)</f>
        <v>1.06992</v>
      </c>
      <c r="M31" s="182">
        <f t="shared" si="3"/>
        <v>3.9075975223098802E-4</v>
      </c>
      <c r="N31" s="181">
        <f>HLOOKUP($N$3,VaR_Calculo_Historico!$C$2:$ET$103,B31+1,0)</f>
        <v>2.5766149999999999</v>
      </c>
      <c r="O31" s="182">
        <f t="shared" si="4"/>
        <v>4.7476644460011129E-4</v>
      </c>
      <c r="P31" s="181">
        <f>HLOOKUP($P$3,VaR_Calculo_Historico!$C$2:$ET$103,B31+1,0)</f>
        <v>1.7308870000000001</v>
      </c>
      <c r="Q31" s="182">
        <f t="shared" si="5"/>
        <v>3.9929698835944858E-4</v>
      </c>
      <c r="R31" s="181">
        <f>HLOOKUP($R$3,VaR_Calculo_Historico!$C$2:$ET$103,B31+1,0)</f>
        <v>1.245868</v>
      </c>
      <c r="S31" s="182">
        <f t="shared" si="6"/>
        <v>-1.1311011471678021E-3</v>
      </c>
      <c r="T31" s="181" t="e">
        <f>HLOOKUP($T$3,VaR_Calculo_Historico!$C$2:$ET$103,B31+1,0)</f>
        <v>#N/A</v>
      </c>
      <c r="U31" s="182" t="e">
        <f t="shared" si="7"/>
        <v>#N/A</v>
      </c>
      <c r="V31" s="181" t="e">
        <f>HLOOKUP($V$3,VaR_Calculo_Historico!$C$2:$ET$103,B31+1,0)</f>
        <v>#N/A</v>
      </c>
      <c r="W31" s="182" t="e">
        <f t="shared" si="8"/>
        <v>#N/A</v>
      </c>
      <c r="X31" s="181" t="e">
        <f>HLOOKUP($X$3,VaR_Calculo_Historico!$C$2:$ET$103,B31+1,0)</f>
        <v>#N/A</v>
      </c>
      <c r="Y31" s="182" t="e">
        <f t="shared" si="9"/>
        <v>#N/A</v>
      </c>
      <c r="Z31" s="181" t="e">
        <f>HLOOKUP($Z$3,VaR_Calculo_Historico!$C$2:$ET$103,B31+1,0)</f>
        <v>#N/A</v>
      </c>
      <c r="AA31" s="182" t="e">
        <f t="shared" si="10"/>
        <v>#N/A</v>
      </c>
      <c r="AB31" s="181" t="e">
        <f>HLOOKUP($AB$3,VaR_Calculo_Historico!$C$2:$ET$103,B31+1,0)</f>
        <v>#N/A</v>
      </c>
      <c r="AC31" s="182" t="e">
        <f t="shared" si="11"/>
        <v>#N/A</v>
      </c>
      <c r="AD31" s="181" t="e">
        <f>HLOOKUP($AD$3,VaR_Calculo_Historico!$C$2:$ET$103,B31+1,0)</f>
        <v>#N/A</v>
      </c>
      <c r="AE31" s="182" t="e">
        <f t="shared" si="12"/>
        <v>#N/A</v>
      </c>
      <c r="AF31" s="181" t="e">
        <f>HLOOKUP($AF$3,VaR_Calculo_Historico!$C$2:$FZS$104,B31+1,0)</f>
        <v>#N/A</v>
      </c>
      <c r="AG31" s="182" t="e">
        <f t="shared" si="13"/>
        <v>#N/A</v>
      </c>
      <c r="AH31" s="181" t="e">
        <f>HLOOKUP($AH$3,VaR_Calculo_Historico!$C$2:$FS$104,B31+1,0)</f>
        <v>#N/A</v>
      </c>
      <c r="AI31" s="182" t="e">
        <f t="shared" si="14"/>
        <v>#N/A</v>
      </c>
      <c r="AJ31" s="181" t="e">
        <f>HLOOKUP($AJ$3,VaR_Calculo_Historico!$C$2:$ET$103,B31+1,0)</f>
        <v>#N/A</v>
      </c>
      <c r="AK31" s="182" t="e">
        <f t="shared" si="15"/>
        <v>#N/A</v>
      </c>
      <c r="AL31" s="181" t="e">
        <f>HLOOKUP($AL$3,VaR_Calculo_Historico!$C$2:$ET$103,B31+1,0)</f>
        <v>#N/A</v>
      </c>
      <c r="AM31" s="182" t="e">
        <f t="shared" si="16"/>
        <v>#N/A</v>
      </c>
      <c r="AN31" s="181" t="e">
        <f>HLOOKUP($AN$3,VaR_Calculo_Historico!$C$2:$ET$103,B31+1,0)</f>
        <v>#N/A</v>
      </c>
      <c r="AO31" s="182" t="e">
        <f t="shared" si="17"/>
        <v>#N/A</v>
      </c>
      <c r="AP31" s="181" t="e">
        <f>HLOOKUP($AP$3,VaR_Calculo_Historico!$C$2:$ET$103,B31+1,0)</f>
        <v>#N/A</v>
      </c>
      <c r="AQ31" s="182" t="e">
        <f t="shared" si="18"/>
        <v>#N/A</v>
      </c>
      <c r="AR31" s="181" t="e">
        <f>HLOOKUP($AR$3,VaR_Calculo_Historico!$C$2:$ET$103,B31+1,0)</f>
        <v>#N/A</v>
      </c>
      <c r="AS31" s="182" t="e">
        <f t="shared" si="19"/>
        <v>#N/A</v>
      </c>
      <c r="AT31" s="181" t="e">
        <f>HLOOKUP($AT$3,VaR_Calculo_Historico!$C$2:$ET$103,B31+1,0)</f>
        <v>#N/A</v>
      </c>
      <c r="AU31" s="182" t="e">
        <f t="shared" si="20"/>
        <v>#N/A</v>
      </c>
      <c r="AV31" s="181" t="e">
        <f>HLOOKUP($AV$3,VaR_Calculo_Historico!$C$2:$ET$103,B31+1,0)</f>
        <v>#N/A</v>
      </c>
      <c r="AW31" s="223" t="e">
        <f t="shared" si="21"/>
        <v>#N/A</v>
      </c>
      <c r="AX31" s="181" t="e">
        <f>HLOOKUP($AX$3,VaR_Calculo_Historico!$C$2:$ET$103,B31+1,0)</f>
        <v>#N/A</v>
      </c>
      <c r="AY31" s="182" t="e">
        <f t="shared" si="22"/>
        <v>#N/A</v>
      </c>
      <c r="AZ31" s="181" t="e">
        <f>HLOOKUP($AZ$3,VaR_Calculo_Historico!$C$2:$ET$103,B31+1,0)</f>
        <v>#N/A</v>
      </c>
      <c r="BA31" s="182" t="e">
        <f t="shared" si="23"/>
        <v>#N/A</v>
      </c>
      <c r="BB31" s="181" t="e">
        <f>HLOOKUP($BB$3,VaR_Calculo_Historico!$C$2:$ET$103,B31+1,0)</f>
        <v>#N/A</v>
      </c>
      <c r="BC31" s="182" t="e">
        <f t="shared" si="24"/>
        <v>#N/A</v>
      </c>
      <c r="BD31" s="181" t="e">
        <f>HLOOKUP($BD$3,VaR_Calculo_Historico!$C$2:$ET$103,B31+1,0)</f>
        <v>#N/A</v>
      </c>
      <c r="BE31" s="182" t="e">
        <f t="shared" si="25"/>
        <v>#N/A</v>
      </c>
      <c r="BF31" s="181" t="e">
        <f>HLOOKUP($BF$3,VaR_Calculo_Historico!$C$2:$ET$103,B31+1,0)</f>
        <v>#N/A</v>
      </c>
      <c r="BG31" s="182" t="e">
        <f t="shared" si="26"/>
        <v>#N/A</v>
      </c>
      <c r="BH31" s="181" t="e">
        <f>HLOOKUP($BH$3,VaR_Calculo_Historico!$C$2:$ET$103,B31+1,0)</f>
        <v>#N/A</v>
      </c>
      <c r="BI31" s="223" t="e">
        <f t="shared" si="27"/>
        <v>#N/A</v>
      </c>
      <c r="BJ31" s="181" t="e">
        <f>HLOOKUP($BJ$3,VaR_Calculo_Historico!$C$2:$ET$103,B31+1,0)</f>
        <v>#N/A</v>
      </c>
      <c r="BK31" s="223" t="e">
        <f t="shared" si="28"/>
        <v>#N/A</v>
      </c>
      <c r="BL31" s="181" t="e">
        <f>HLOOKUP($BL$3,VaR_Calculo_Historico!$C$2:$ET$103,B31+1,0)</f>
        <v>#N/A</v>
      </c>
      <c r="BM31" s="223" t="e">
        <f t="shared" si="29"/>
        <v>#N/A</v>
      </c>
      <c r="BN31" s="181" t="e">
        <f>HLOOKUP($BN$3,VaR_Calculo_Historico!$C$2:$EY$103,B31+1,0)</f>
        <v>#N/A</v>
      </c>
      <c r="BO31" s="223" t="e">
        <f t="shared" si="30"/>
        <v>#N/A</v>
      </c>
    </row>
    <row r="32" spans="2:67" x14ac:dyDescent="0.3">
      <c r="B32" s="166">
        <v>28</v>
      </c>
      <c r="C32" s="208">
        <f>VaR_Calculo_Historico!B29</f>
        <v>42349</v>
      </c>
      <c r="D32" s="181">
        <f>HLOOKUP($D$3,VaR_Calculo_Historico!$C$2:$ET$103,B32+1,0)</f>
        <v>3.2957149270000001</v>
      </c>
      <c r="E32" s="182">
        <f t="shared" si="0"/>
        <v>-7.8901207491082696E-4</v>
      </c>
      <c r="F32" s="181">
        <f>HLOOKUP($F$3,VaR_Calculo_Historico!$C$2:$ET$103,B32+1,0)</f>
        <v>1.584605</v>
      </c>
      <c r="G32" s="182">
        <f t="shared" si="1"/>
        <v>5.3592379171474443E-4</v>
      </c>
      <c r="H32" s="181">
        <f>HLOOKUP($H$3,VaR_Calculo_Historico!$C$2:$ET$103,B32+1,0)</f>
        <v>1.0978832279999999</v>
      </c>
      <c r="I32" s="182">
        <f t="shared" si="2"/>
        <v>5.3769441404408539E-4</v>
      </c>
      <c r="J32" s="181">
        <f>HLOOKUP($J$3,VaR_Calculo_Historico!$C$2:$ET$103,B32+1,0)</f>
        <v>1.81352</v>
      </c>
      <c r="K32" s="182">
        <f t="shared" si="31"/>
        <v>4.7543171694106539E-4</v>
      </c>
      <c r="L32" s="181">
        <f>HLOOKUP($L$3,VaR_Calculo_Historico!$C$2:$ET$103,B32+1,0)</f>
        <v>1.0705990000000001</v>
      </c>
      <c r="M32" s="182">
        <f t="shared" si="3"/>
        <v>6.3442559750668203E-4</v>
      </c>
      <c r="N32" s="181">
        <f>HLOOKUP($N$3,VaR_Calculo_Historico!$C$2:$ET$103,B32+1,0)</f>
        <v>2.5779740000000002</v>
      </c>
      <c r="O32" s="182">
        <f t="shared" si="4"/>
        <v>5.2729714492798501E-4</v>
      </c>
      <c r="P32" s="181">
        <f>HLOOKUP($P$3,VaR_Calculo_Historico!$C$2:$ET$103,B32+1,0)</f>
        <v>1.7317119999999999</v>
      </c>
      <c r="Q32" s="182">
        <f t="shared" si="5"/>
        <v>4.765206803393308E-4</v>
      </c>
      <c r="R32" s="181">
        <f>HLOOKUP($R$3,VaR_Calculo_Historico!$C$2:$ET$103,B32+1,0)</f>
        <v>1.2439389999999999</v>
      </c>
      <c r="S32" s="182">
        <f t="shared" si="6"/>
        <v>-1.549518003573622E-3</v>
      </c>
      <c r="T32" s="181" t="e">
        <f>HLOOKUP($T$3,VaR_Calculo_Historico!$C$2:$ET$103,B32+1,0)</f>
        <v>#N/A</v>
      </c>
      <c r="U32" s="182" t="e">
        <f t="shared" si="7"/>
        <v>#N/A</v>
      </c>
      <c r="V32" s="181" t="e">
        <f>HLOOKUP($V$3,VaR_Calculo_Historico!$C$2:$ET$103,B32+1,0)</f>
        <v>#N/A</v>
      </c>
      <c r="W32" s="182" t="e">
        <f t="shared" si="8"/>
        <v>#N/A</v>
      </c>
      <c r="X32" s="181" t="e">
        <f>HLOOKUP($X$3,VaR_Calculo_Historico!$C$2:$ET$103,B32+1,0)</f>
        <v>#N/A</v>
      </c>
      <c r="Y32" s="182" t="e">
        <f t="shared" si="9"/>
        <v>#N/A</v>
      </c>
      <c r="Z32" s="181" t="e">
        <f>HLOOKUP($Z$3,VaR_Calculo_Historico!$C$2:$ET$103,B32+1,0)</f>
        <v>#N/A</v>
      </c>
      <c r="AA32" s="182" t="e">
        <f t="shared" si="10"/>
        <v>#N/A</v>
      </c>
      <c r="AB32" s="181" t="e">
        <f>HLOOKUP($AB$3,VaR_Calculo_Historico!$C$2:$ET$103,B32+1,0)</f>
        <v>#N/A</v>
      </c>
      <c r="AC32" s="182" t="e">
        <f t="shared" si="11"/>
        <v>#N/A</v>
      </c>
      <c r="AD32" s="181" t="e">
        <f>HLOOKUP($AD$3,VaR_Calculo_Historico!$C$2:$ET$103,B32+1,0)</f>
        <v>#N/A</v>
      </c>
      <c r="AE32" s="182" t="e">
        <f t="shared" si="12"/>
        <v>#N/A</v>
      </c>
      <c r="AF32" s="181" t="e">
        <f>HLOOKUP($AF$3,VaR_Calculo_Historico!$C$2:$FZS$104,B32+1,0)</f>
        <v>#N/A</v>
      </c>
      <c r="AG32" s="182" t="e">
        <f t="shared" si="13"/>
        <v>#N/A</v>
      </c>
      <c r="AH32" s="181" t="e">
        <f>HLOOKUP($AH$3,VaR_Calculo_Historico!$C$2:$FS$104,B32+1,0)</f>
        <v>#N/A</v>
      </c>
      <c r="AI32" s="182" t="e">
        <f t="shared" si="14"/>
        <v>#N/A</v>
      </c>
      <c r="AJ32" s="181" t="e">
        <f>HLOOKUP($AJ$3,VaR_Calculo_Historico!$C$2:$ET$103,B32+1,0)</f>
        <v>#N/A</v>
      </c>
      <c r="AK32" s="182" t="e">
        <f t="shared" si="15"/>
        <v>#N/A</v>
      </c>
      <c r="AL32" s="181" t="e">
        <f>HLOOKUP($AL$3,VaR_Calculo_Historico!$C$2:$ET$103,B32+1,0)</f>
        <v>#N/A</v>
      </c>
      <c r="AM32" s="182" t="e">
        <f t="shared" si="16"/>
        <v>#N/A</v>
      </c>
      <c r="AN32" s="181" t="e">
        <f>HLOOKUP($AN$3,VaR_Calculo_Historico!$C$2:$ET$103,B32+1,0)</f>
        <v>#N/A</v>
      </c>
      <c r="AO32" s="182" t="e">
        <f t="shared" si="17"/>
        <v>#N/A</v>
      </c>
      <c r="AP32" s="181" t="e">
        <f>HLOOKUP($AP$3,VaR_Calculo_Historico!$C$2:$ET$103,B32+1,0)</f>
        <v>#N/A</v>
      </c>
      <c r="AQ32" s="182" t="e">
        <f t="shared" si="18"/>
        <v>#N/A</v>
      </c>
      <c r="AR32" s="181" t="e">
        <f>HLOOKUP($AR$3,VaR_Calculo_Historico!$C$2:$ET$103,B32+1,0)</f>
        <v>#N/A</v>
      </c>
      <c r="AS32" s="182" t="e">
        <f t="shared" si="19"/>
        <v>#N/A</v>
      </c>
      <c r="AT32" s="181" t="e">
        <f>HLOOKUP($AT$3,VaR_Calculo_Historico!$C$2:$ET$103,B32+1,0)</f>
        <v>#N/A</v>
      </c>
      <c r="AU32" s="182" t="e">
        <f t="shared" si="20"/>
        <v>#N/A</v>
      </c>
      <c r="AV32" s="181" t="e">
        <f>HLOOKUP($AV$3,VaR_Calculo_Historico!$C$2:$ET$103,B32+1,0)</f>
        <v>#N/A</v>
      </c>
      <c r="AW32" s="223" t="e">
        <f t="shared" si="21"/>
        <v>#N/A</v>
      </c>
      <c r="AX32" s="181" t="e">
        <f>HLOOKUP($AX$3,VaR_Calculo_Historico!$C$2:$ET$103,B32+1,0)</f>
        <v>#N/A</v>
      </c>
      <c r="AY32" s="182" t="e">
        <f t="shared" si="22"/>
        <v>#N/A</v>
      </c>
      <c r="AZ32" s="181" t="e">
        <f>HLOOKUP($AZ$3,VaR_Calculo_Historico!$C$2:$ET$103,B32+1,0)</f>
        <v>#N/A</v>
      </c>
      <c r="BA32" s="182" t="e">
        <f t="shared" si="23"/>
        <v>#N/A</v>
      </c>
      <c r="BB32" s="181" t="e">
        <f>HLOOKUP($BB$3,VaR_Calculo_Historico!$C$2:$ET$103,B32+1,0)</f>
        <v>#N/A</v>
      </c>
      <c r="BC32" s="182" t="e">
        <f t="shared" si="24"/>
        <v>#N/A</v>
      </c>
      <c r="BD32" s="181" t="e">
        <f>HLOOKUP($BD$3,VaR_Calculo_Historico!$C$2:$ET$103,B32+1,0)</f>
        <v>#N/A</v>
      </c>
      <c r="BE32" s="182" t="e">
        <f t="shared" si="25"/>
        <v>#N/A</v>
      </c>
      <c r="BF32" s="181" t="e">
        <f>HLOOKUP($BF$3,VaR_Calculo_Historico!$C$2:$ET$103,B32+1,0)</f>
        <v>#N/A</v>
      </c>
      <c r="BG32" s="182" t="e">
        <f t="shared" si="26"/>
        <v>#N/A</v>
      </c>
      <c r="BH32" s="181" t="e">
        <f>HLOOKUP($BH$3,VaR_Calculo_Historico!$C$2:$ET$103,B32+1,0)</f>
        <v>#N/A</v>
      </c>
      <c r="BI32" s="223" t="e">
        <f t="shared" si="27"/>
        <v>#N/A</v>
      </c>
      <c r="BJ32" s="181" t="e">
        <f>HLOOKUP($BJ$3,VaR_Calculo_Historico!$C$2:$ET$103,B32+1,0)</f>
        <v>#N/A</v>
      </c>
      <c r="BK32" s="223" t="e">
        <f t="shared" si="28"/>
        <v>#N/A</v>
      </c>
      <c r="BL32" s="181" t="e">
        <f>HLOOKUP($BL$3,VaR_Calculo_Historico!$C$2:$ET$103,B32+1,0)</f>
        <v>#N/A</v>
      </c>
      <c r="BM32" s="223" t="e">
        <f t="shared" si="29"/>
        <v>#N/A</v>
      </c>
      <c r="BN32" s="181" t="e">
        <f>HLOOKUP($BN$3,VaR_Calculo_Historico!$C$2:$EY$103,B32+1,0)</f>
        <v>#N/A</v>
      </c>
      <c r="BO32" s="223" t="e">
        <f t="shared" si="30"/>
        <v>#N/A</v>
      </c>
    </row>
    <row r="33" spans="2:67" x14ac:dyDescent="0.3">
      <c r="B33" s="166">
        <v>29</v>
      </c>
      <c r="C33" s="208">
        <f>VaR_Calculo_Historico!B30</f>
        <v>42352</v>
      </c>
      <c r="D33" s="181">
        <f>HLOOKUP($D$3,VaR_Calculo_Historico!$C$2:$ET$103,B33+1,0)</f>
        <v>3.298210649</v>
      </c>
      <c r="E33" s="182">
        <f t="shared" si="0"/>
        <v>7.5697612610528466E-4</v>
      </c>
      <c r="F33" s="181">
        <f>HLOOKUP($F$3,VaR_Calculo_Historico!$C$2:$ET$103,B33+1,0)</f>
        <v>1.5854619999999999</v>
      </c>
      <c r="G33" s="182">
        <f t="shared" si="1"/>
        <v>5.406825918050543E-4</v>
      </c>
      <c r="H33" s="181">
        <f>HLOOKUP($H$3,VaR_Calculo_Historico!$C$2:$ET$103,B33+1,0)</f>
        <v>1.0982416290000001</v>
      </c>
      <c r="I33" s="182">
        <f t="shared" si="2"/>
        <v>3.263940135641236E-4</v>
      </c>
      <c r="J33" s="181">
        <f>HLOOKUP($J$3,VaR_Calculo_Historico!$C$2:$ET$103,B33+1,0)</f>
        <v>1.8146260000000001</v>
      </c>
      <c r="K33" s="182">
        <f t="shared" si="31"/>
        <v>6.0967779921709266E-4</v>
      </c>
      <c r="L33" s="181">
        <f>HLOOKUP($L$3,VaR_Calculo_Historico!$C$2:$ET$103,B33+1,0)</f>
        <v>1.0710550000000001</v>
      </c>
      <c r="M33" s="182">
        <f t="shared" si="3"/>
        <v>4.2583910089191777E-4</v>
      </c>
      <c r="N33" s="181">
        <f>HLOOKUP($N$3,VaR_Calculo_Historico!$C$2:$ET$103,B33+1,0)</f>
        <v>2.5793249999999999</v>
      </c>
      <c r="O33" s="182">
        <f t="shared" si="4"/>
        <v>5.2391766733037503E-4</v>
      </c>
      <c r="P33" s="181">
        <f>HLOOKUP($P$3,VaR_Calculo_Historico!$C$2:$ET$103,B33+1,0)</f>
        <v>1.732788</v>
      </c>
      <c r="Q33" s="182">
        <f t="shared" si="5"/>
        <v>6.2115747415014515E-4</v>
      </c>
      <c r="R33" s="181">
        <f>HLOOKUP($R$3,VaR_Calculo_Historico!$C$2:$ET$103,B33+1,0)</f>
        <v>1.24499</v>
      </c>
      <c r="S33" s="182">
        <f t="shared" si="6"/>
        <v>8.4454001095944609E-4</v>
      </c>
      <c r="T33" s="181" t="e">
        <f>HLOOKUP($T$3,VaR_Calculo_Historico!$C$2:$ET$103,B33+1,0)</f>
        <v>#N/A</v>
      </c>
      <c r="U33" s="182" t="e">
        <f t="shared" si="7"/>
        <v>#N/A</v>
      </c>
      <c r="V33" s="181" t="e">
        <f>HLOOKUP($V$3,VaR_Calculo_Historico!$C$2:$ET$103,B33+1,0)</f>
        <v>#N/A</v>
      </c>
      <c r="W33" s="182" t="e">
        <f t="shared" si="8"/>
        <v>#N/A</v>
      </c>
      <c r="X33" s="181" t="e">
        <f>HLOOKUP($X$3,VaR_Calculo_Historico!$C$2:$ET$103,B33+1,0)</f>
        <v>#N/A</v>
      </c>
      <c r="Y33" s="182" t="e">
        <f t="shared" si="9"/>
        <v>#N/A</v>
      </c>
      <c r="Z33" s="181" t="e">
        <f>HLOOKUP($Z$3,VaR_Calculo_Historico!$C$2:$ET$103,B33+1,0)</f>
        <v>#N/A</v>
      </c>
      <c r="AA33" s="182" t="e">
        <f t="shared" si="10"/>
        <v>#N/A</v>
      </c>
      <c r="AB33" s="181" t="e">
        <f>HLOOKUP($AB$3,VaR_Calculo_Historico!$C$2:$ET$103,B33+1,0)</f>
        <v>#N/A</v>
      </c>
      <c r="AC33" s="182" t="e">
        <f t="shared" si="11"/>
        <v>#N/A</v>
      </c>
      <c r="AD33" s="181" t="e">
        <f>HLOOKUP($AD$3,VaR_Calculo_Historico!$C$2:$ET$103,B33+1,0)</f>
        <v>#N/A</v>
      </c>
      <c r="AE33" s="182" t="e">
        <f t="shared" si="12"/>
        <v>#N/A</v>
      </c>
      <c r="AF33" s="181" t="e">
        <f>HLOOKUP($AF$3,VaR_Calculo_Historico!$C$2:$FZS$104,B33+1,0)</f>
        <v>#N/A</v>
      </c>
      <c r="AG33" s="182" t="e">
        <f t="shared" si="13"/>
        <v>#N/A</v>
      </c>
      <c r="AH33" s="181" t="e">
        <f>HLOOKUP($AH$3,VaR_Calculo_Historico!$C$2:$FS$104,B33+1,0)</f>
        <v>#N/A</v>
      </c>
      <c r="AI33" s="182" t="e">
        <f t="shared" si="14"/>
        <v>#N/A</v>
      </c>
      <c r="AJ33" s="181" t="e">
        <f>HLOOKUP($AJ$3,VaR_Calculo_Historico!$C$2:$ET$103,B33+1,0)</f>
        <v>#N/A</v>
      </c>
      <c r="AK33" s="182" t="e">
        <f t="shared" si="15"/>
        <v>#N/A</v>
      </c>
      <c r="AL33" s="181" t="e">
        <f>HLOOKUP($AL$3,VaR_Calculo_Historico!$C$2:$ET$103,B33+1,0)</f>
        <v>#N/A</v>
      </c>
      <c r="AM33" s="182" t="e">
        <f t="shared" si="16"/>
        <v>#N/A</v>
      </c>
      <c r="AN33" s="181" t="e">
        <f>HLOOKUP($AN$3,VaR_Calculo_Historico!$C$2:$ET$103,B33+1,0)</f>
        <v>#N/A</v>
      </c>
      <c r="AO33" s="182" t="e">
        <f t="shared" si="17"/>
        <v>#N/A</v>
      </c>
      <c r="AP33" s="181" t="e">
        <f>HLOOKUP($AP$3,VaR_Calculo_Historico!$C$2:$ET$103,B33+1,0)</f>
        <v>#N/A</v>
      </c>
      <c r="AQ33" s="182" t="e">
        <f t="shared" si="18"/>
        <v>#N/A</v>
      </c>
      <c r="AR33" s="181" t="e">
        <f>HLOOKUP($AR$3,VaR_Calculo_Historico!$C$2:$ET$103,B33+1,0)</f>
        <v>#N/A</v>
      </c>
      <c r="AS33" s="182" t="e">
        <f t="shared" si="19"/>
        <v>#N/A</v>
      </c>
      <c r="AT33" s="181" t="e">
        <f>HLOOKUP($AT$3,VaR_Calculo_Historico!$C$2:$ET$103,B33+1,0)</f>
        <v>#N/A</v>
      </c>
      <c r="AU33" s="182" t="e">
        <f t="shared" si="20"/>
        <v>#N/A</v>
      </c>
      <c r="AV33" s="181" t="e">
        <f>HLOOKUP($AV$3,VaR_Calculo_Historico!$C$2:$ET$103,B33+1,0)</f>
        <v>#N/A</v>
      </c>
      <c r="AW33" s="223" t="e">
        <f t="shared" si="21"/>
        <v>#N/A</v>
      </c>
      <c r="AX33" s="181" t="e">
        <f>HLOOKUP($AX$3,VaR_Calculo_Historico!$C$2:$ET$103,B33+1,0)</f>
        <v>#N/A</v>
      </c>
      <c r="AY33" s="182" t="e">
        <f t="shared" si="22"/>
        <v>#N/A</v>
      </c>
      <c r="AZ33" s="181" t="e">
        <f>HLOOKUP($AZ$3,VaR_Calculo_Historico!$C$2:$ET$103,B33+1,0)</f>
        <v>#N/A</v>
      </c>
      <c r="BA33" s="182" t="e">
        <f t="shared" si="23"/>
        <v>#N/A</v>
      </c>
      <c r="BB33" s="181" t="e">
        <f>HLOOKUP($BB$3,VaR_Calculo_Historico!$C$2:$ET$103,B33+1,0)</f>
        <v>#N/A</v>
      </c>
      <c r="BC33" s="182" t="e">
        <f t="shared" si="24"/>
        <v>#N/A</v>
      </c>
      <c r="BD33" s="181" t="e">
        <f>HLOOKUP($BD$3,VaR_Calculo_Historico!$C$2:$ET$103,B33+1,0)</f>
        <v>#N/A</v>
      </c>
      <c r="BE33" s="182" t="e">
        <f t="shared" si="25"/>
        <v>#N/A</v>
      </c>
      <c r="BF33" s="181" t="e">
        <f>HLOOKUP($BF$3,VaR_Calculo_Historico!$C$2:$ET$103,B33+1,0)</f>
        <v>#N/A</v>
      </c>
      <c r="BG33" s="182" t="e">
        <f t="shared" si="26"/>
        <v>#N/A</v>
      </c>
      <c r="BH33" s="181" t="e">
        <f>HLOOKUP($BH$3,VaR_Calculo_Historico!$C$2:$ET$103,B33+1,0)</f>
        <v>#N/A</v>
      </c>
      <c r="BI33" s="223" t="e">
        <f t="shared" si="27"/>
        <v>#N/A</v>
      </c>
      <c r="BJ33" s="181" t="e">
        <f>HLOOKUP($BJ$3,VaR_Calculo_Historico!$C$2:$ET$103,B33+1,0)</f>
        <v>#N/A</v>
      </c>
      <c r="BK33" s="223" t="e">
        <f t="shared" si="28"/>
        <v>#N/A</v>
      </c>
      <c r="BL33" s="181" t="e">
        <f>HLOOKUP($BL$3,VaR_Calculo_Historico!$C$2:$ET$103,B33+1,0)</f>
        <v>#N/A</v>
      </c>
      <c r="BM33" s="223" t="e">
        <f t="shared" si="29"/>
        <v>#N/A</v>
      </c>
      <c r="BN33" s="181" t="e">
        <f>HLOOKUP($BN$3,VaR_Calculo_Historico!$C$2:$EY$103,B33+1,0)</f>
        <v>#N/A</v>
      </c>
      <c r="BO33" s="223" t="e">
        <f t="shared" si="30"/>
        <v>#N/A</v>
      </c>
    </row>
    <row r="34" spans="2:67" x14ac:dyDescent="0.3">
      <c r="B34" s="166">
        <v>30</v>
      </c>
      <c r="C34" s="208">
        <f>VaR_Calculo_Historico!B31</f>
        <v>42353</v>
      </c>
      <c r="D34" s="181">
        <f>HLOOKUP($D$3,VaR_Calculo_Historico!$C$2:$ET$103,B34+1,0)</f>
        <v>3.2921522009999999</v>
      </c>
      <c r="E34" s="182">
        <f t="shared" si="0"/>
        <v>-1.8385784954617892E-3</v>
      </c>
      <c r="F34" s="181">
        <f>HLOOKUP($F$3,VaR_Calculo_Historico!$C$2:$ET$103,B34+1,0)</f>
        <v>1.5863350000000001</v>
      </c>
      <c r="G34" s="182">
        <f t="shared" si="1"/>
        <v>5.5047660493109311E-4</v>
      </c>
      <c r="H34" s="181">
        <f>HLOOKUP($H$3,VaR_Calculo_Historico!$C$2:$ET$103,B34+1,0)</f>
        <v>1.0986994969999999</v>
      </c>
      <c r="I34" s="182">
        <f t="shared" si="2"/>
        <v>4.1682319221975084E-4</v>
      </c>
      <c r="J34" s="181">
        <f>HLOOKUP($J$3,VaR_Calculo_Historico!$C$2:$ET$103,B34+1,0)</f>
        <v>1.8154729999999999</v>
      </c>
      <c r="K34" s="182">
        <f t="shared" si="31"/>
        <v>4.6665394820932343E-4</v>
      </c>
      <c r="L34" s="181">
        <f>HLOOKUP($L$3,VaR_Calculo_Historico!$C$2:$ET$103,B34+1,0)</f>
        <v>1.0714779999999999</v>
      </c>
      <c r="M34" s="182">
        <f t="shared" si="3"/>
        <v>3.9485973424533495E-4</v>
      </c>
      <c r="N34" s="181">
        <f>HLOOKUP($N$3,VaR_Calculo_Historico!$C$2:$ET$103,B34+1,0)</f>
        <v>2.5806879999999999</v>
      </c>
      <c r="O34" s="182">
        <f t="shared" si="4"/>
        <v>5.2829325495892408E-4</v>
      </c>
      <c r="P34" s="181">
        <f>HLOOKUP($P$3,VaR_Calculo_Historico!$C$2:$ET$103,B34+1,0)</f>
        <v>1.733603</v>
      </c>
      <c r="Q34" s="182">
        <f t="shared" si="5"/>
        <v>4.7022970866092141E-4</v>
      </c>
      <c r="R34" s="181">
        <f>HLOOKUP($R$3,VaR_Calculo_Historico!$C$2:$ET$103,B34+1,0)</f>
        <v>1.2410479999999999</v>
      </c>
      <c r="S34" s="182">
        <f t="shared" si="6"/>
        <v>-3.1713137963297684E-3</v>
      </c>
      <c r="T34" s="181" t="e">
        <f>HLOOKUP($T$3,VaR_Calculo_Historico!$C$2:$ET$103,B34+1,0)</f>
        <v>#N/A</v>
      </c>
      <c r="U34" s="182" t="e">
        <f t="shared" si="7"/>
        <v>#N/A</v>
      </c>
      <c r="V34" s="181" t="e">
        <f>HLOOKUP($V$3,VaR_Calculo_Historico!$C$2:$ET$103,B34+1,0)</f>
        <v>#N/A</v>
      </c>
      <c r="W34" s="182" t="e">
        <f t="shared" si="8"/>
        <v>#N/A</v>
      </c>
      <c r="X34" s="181" t="e">
        <f>HLOOKUP($X$3,VaR_Calculo_Historico!$C$2:$ET$103,B34+1,0)</f>
        <v>#N/A</v>
      </c>
      <c r="Y34" s="182" t="e">
        <f t="shared" si="9"/>
        <v>#N/A</v>
      </c>
      <c r="Z34" s="181" t="e">
        <f>HLOOKUP($Z$3,VaR_Calculo_Historico!$C$2:$ET$103,B34+1,0)</f>
        <v>#N/A</v>
      </c>
      <c r="AA34" s="182" t="e">
        <f t="shared" si="10"/>
        <v>#N/A</v>
      </c>
      <c r="AB34" s="181" t="e">
        <f>HLOOKUP($AB$3,VaR_Calculo_Historico!$C$2:$ET$103,B34+1,0)</f>
        <v>#N/A</v>
      </c>
      <c r="AC34" s="182" t="e">
        <f t="shared" si="11"/>
        <v>#N/A</v>
      </c>
      <c r="AD34" s="181" t="e">
        <f>HLOOKUP($AD$3,VaR_Calculo_Historico!$C$2:$ET$103,B34+1,0)</f>
        <v>#N/A</v>
      </c>
      <c r="AE34" s="182" t="e">
        <f t="shared" si="12"/>
        <v>#N/A</v>
      </c>
      <c r="AF34" s="181" t="e">
        <f>HLOOKUP($AF$3,VaR_Calculo_Historico!$C$2:$FZS$104,B34+1,0)</f>
        <v>#N/A</v>
      </c>
      <c r="AG34" s="182" t="e">
        <f t="shared" si="13"/>
        <v>#N/A</v>
      </c>
      <c r="AH34" s="181" t="e">
        <f>HLOOKUP($AH$3,VaR_Calculo_Historico!$C$2:$FS$104,B34+1,0)</f>
        <v>#N/A</v>
      </c>
      <c r="AI34" s="182" t="e">
        <f t="shared" si="14"/>
        <v>#N/A</v>
      </c>
      <c r="AJ34" s="181" t="e">
        <f>HLOOKUP($AJ$3,VaR_Calculo_Historico!$C$2:$ET$103,B34+1,0)</f>
        <v>#N/A</v>
      </c>
      <c r="AK34" s="182" t="e">
        <f t="shared" si="15"/>
        <v>#N/A</v>
      </c>
      <c r="AL34" s="181" t="e">
        <f>HLOOKUP($AL$3,VaR_Calculo_Historico!$C$2:$ET$103,B34+1,0)</f>
        <v>#N/A</v>
      </c>
      <c r="AM34" s="182" t="e">
        <f t="shared" si="16"/>
        <v>#N/A</v>
      </c>
      <c r="AN34" s="181" t="e">
        <f>HLOOKUP($AN$3,VaR_Calculo_Historico!$C$2:$ET$103,B34+1,0)</f>
        <v>#N/A</v>
      </c>
      <c r="AO34" s="182" t="e">
        <f t="shared" si="17"/>
        <v>#N/A</v>
      </c>
      <c r="AP34" s="181" t="e">
        <f>HLOOKUP($AP$3,VaR_Calculo_Historico!$C$2:$ET$103,B34+1,0)</f>
        <v>#N/A</v>
      </c>
      <c r="AQ34" s="182" t="e">
        <f t="shared" si="18"/>
        <v>#N/A</v>
      </c>
      <c r="AR34" s="181" t="e">
        <f>HLOOKUP($AR$3,VaR_Calculo_Historico!$C$2:$ET$103,B34+1,0)</f>
        <v>#N/A</v>
      </c>
      <c r="AS34" s="182" t="e">
        <f t="shared" si="19"/>
        <v>#N/A</v>
      </c>
      <c r="AT34" s="181" t="e">
        <f>HLOOKUP($AT$3,VaR_Calculo_Historico!$C$2:$ET$103,B34+1,0)</f>
        <v>#N/A</v>
      </c>
      <c r="AU34" s="182" t="e">
        <f t="shared" si="20"/>
        <v>#N/A</v>
      </c>
      <c r="AV34" s="181" t="e">
        <f>HLOOKUP($AV$3,VaR_Calculo_Historico!$C$2:$ET$103,B34+1,0)</f>
        <v>#N/A</v>
      </c>
      <c r="AW34" s="223" t="e">
        <f t="shared" si="21"/>
        <v>#N/A</v>
      </c>
      <c r="AX34" s="181" t="e">
        <f>HLOOKUP($AX$3,VaR_Calculo_Historico!$C$2:$ET$103,B34+1,0)</f>
        <v>#N/A</v>
      </c>
      <c r="AY34" s="182" t="e">
        <f t="shared" si="22"/>
        <v>#N/A</v>
      </c>
      <c r="AZ34" s="181" t="e">
        <f>HLOOKUP($AZ$3,VaR_Calculo_Historico!$C$2:$ET$103,B34+1,0)</f>
        <v>#N/A</v>
      </c>
      <c r="BA34" s="182" t="e">
        <f t="shared" si="23"/>
        <v>#N/A</v>
      </c>
      <c r="BB34" s="181" t="e">
        <f>HLOOKUP($BB$3,VaR_Calculo_Historico!$C$2:$ET$103,B34+1,0)</f>
        <v>#N/A</v>
      </c>
      <c r="BC34" s="182" t="e">
        <f t="shared" si="24"/>
        <v>#N/A</v>
      </c>
      <c r="BD34" s="181" t="e">
        <f>HLOOKUP($BD$3,VaR_Calculo_Historico!$C$2:$ET$103,B34+1,0)</f>
        <v>#N/A</v>
      </c>
      <c r="BE34" s="182" t="e">
        <f t="shared" si="25"/>
        <v>#N/A</v>
      </c>
      <c r="BF34" s="181" t="e">
        <f>HLOOKUP($BF$3,VaR_Calculo_Historico!$C$2:$ET$103,B34+1,0)</f>
        <v>#N/A</v>
      </c>
      <c r="BG34" s="182" t="e">
        <f t="shared" si="26"/>
        <v>#N/A</v>
      </c>
      <c r="BH34" s="181" t="e">
        <f>HLOOKUP($BH$3,VaR_Calculo_Historico!$C$2:$ET$103,B34+1,0)</f>
        <v>#N/A</v>
      </c>
      <c r="BI34" s="223" t="e">
        <f t="shared" si="27"/>
        <v>#N/A</v>
      </c>
      <c r="BJ34" s="181" t="e">
        <f>HLOOKUP($BJ$3,VaR_Calculo_Historico!$C$2:$ET$103,B34+1,0)</f>
        <v>#N/A</v>
      </c>
      <c r="BK34" s="223" t="e">
        <f t="shared" si="28"/>
        <v>#N/A</v>
      </c>
      <c r="BL34" s="181" t="e">
        <f>HLOOKUP($BL$3,VaR_Calculo_Historico!$C$2:$ET$103,B34+1,0)</f>
        <v>#N/A</v>
      </c>
      <c r="BM34" s="223" t="e">
        <f t="shared" si="29"/>
        <v>#N/A</v>
      </c>
      <c r="BN34" s="181" t="e">
        <f>HLOOKUP($BN$3,VaR_Calculo_Historico!$C$2:$EY$103,B34+1,0)</f>
        <v>#N/A</v>
      </c>
      <c r="BO34" s="223" t="e">
        <f t="shared" si="30"/>
        <v>#N/A</v>
      </c>
    </row>
    <row r="35" spans="2:67" x14ac:dyDescent="0.3">
      <c r="B35" s="166">
        <v>31</v>
      </c>
      <c r="C35" s="208">
        <f>VaR_Calculo_Historico!B32</f>
        <v>42354</v>
      </c>
      <c r="D35" s="181">
        <f>HLOOKUP($D$3,VaR_Calculo_Historico!$C$2:$ET$103,B35+1,0)</f>
        <v>3.3029585730000002</v>
      </c>
      <c r="E35" s="182">
        <f t="shared" si="0"/>
        <v>3.2770887529844704E-3</v>
      </c>
      <c r="F35" s="181">
        <f>HLOOKUP($F$3,VaR_Calculo_Historico!$C$2:$ET$103,B35+1,0)</f>
        <v>1.5872040000000001</v>
      </c>
      <c r="G35" s="182">
        <f t="shared" si="1"/>
        <v>5.4765359538326585E-4</v>
      </c>
      <c r="H35" s="181">
        <f>HLOOKUP($H$3,VaR_Calculo_Historico!$C$2:$ET$103,B35+1,0)</f>
        <v>1.099911165</v>
      </c>
      <c r="I35" s="182">
        <f t="shared" si="2"/>
        <v>1.10221254141135E-3</v>
      </c>
      <c r="J35" s="181">
        <f>HLOOKUP($J$3,VaR_Calculo_Historico!$C$2:$ET$103,B35+1,0)</f>
        <v>1.8169329999999999</v>
      </c>
      <c r="K35" s="182">
        <f t="shared" si="31"/>
        <v>8.0387494053401926E-4</v>
      </c>
      <c r="L35" s="181">
        <f>HLOOKUP($L$3,VaR_Calculo_Historico!$C$2:$ET$103,B35+1,0)</f>
        <v>1.072325</v>
      </c>
      <c r="M35" s="182">
        <f t="shared" si="3"/>
        <v>7.9018458699025272E-4</v>
      </c>
      <c r="N35" s="181">
        <f>HLOOKUP($N$3,VaR_Calculo_Historico!$C$2:$ET$103,B35+1,0)</f>
        <v>2.5820289999999999</v>
      </c>
      <c r="O35" s="182">
        <f t="shared" si="4"/>
        <v>5.1949391382808492E-4</v>
      </c>
      <c r="P35" s="181">
        <f>HLOOKUP($P$3,VaR_Calculo_Historico!$C$2:$ET$103,B35+1,0)</f>
        <v>1.7350350000000001</v>
      </c>
      <c r="Q35" s="182">
        <f t="shared" si="5"/>
        <v>8.2568436450048636E-4</v>
      </c>
      <c r="R35" s="181">
        <f>HLOOKUP($R$3,VaR_Calculo_Historico!$C$2:$ET$103,B35+1,0)</f>
        <v>1.2466440000000001</v>
      </c>
      <c r="S35" s="182">
        <f t="shared" si="6"/>
        <v>4.4989568152885078E-3</v>
      </c>
      <c r="T35" s="181" t="e">
        <f>HLOOKUP($T$3,VaR_Calculo_Historico!$C$2:$ET$103,B35+1,0)</f>
        <v>#N/A</v>
      </c>
      <c r="U35" s="182" t="e">
        <f t="shared" si="7"/>
        <v>#N/A</v>
      </c>
      <c r="V35" s="181" t="e">
        <f>HLOOKUP($V$3,VaR_Calculo_Historico!$C$2:$ET$103,B35+1,0)</f>
        <v>#N/A</v>
      </c>
      <c r="W35" s="182" t="e">
        <f t="shared" si="8"/>
        <v>#N/A</v>
      </c>
      <c r="X35" s="181" t="e">
        <f>HLOOKUP($X$3,VaR_Calculo_Historico!$C$2:$ET$103,B35+1,0)</f>
        <v>#N/A</v>
      </c>
      <c r="Y35" s="182" t="e">
        <f t="shared" si="9"/>
        <v>#N/A</v>
      </c>
      <c r="Z35" s="181" t="e">
        <f>HLOOKUP($Z$3,VaR_Calculo_Historico!$C$2:$ET$103,B35+1,0)</f>
        <v>#N/A</v>
      </c>
      <c r="AA35" s="182" t="e">
        <f t="shared" si="10"/>
        <v>#N/A</v>
      </c>
      <c r="AB35" s="181" t="e">
        <f>HLOOKUP($AB$3,VaR_Calculo_Historico!$C$2:$ET$103,B35+1,0)</f>
        <v>#N/A</v>
      </c>
      <c r="AC35" s="182" t="e">
        <f t="shared" si="11"/>
        <v>#N/A</v>
      </c>
      <c r="AD35" s="181" t="e">
        <f>HLOOKUP($AD$3,VaR_Calculo_Historico!$C$2:$ET$103,B35+1,0)</f>
        <v>#N/A</v>
      </c>
      <c r="AE35" s="182" t="e">
        <f t="shared" si="12"/>
        <v>#N/A</v>
      </c>
      <c r="AF35" s="181" t="e">
        <f>HLOOKUP($AF$3,VaR_Calculo_Historico!$C$2:$FZS$104,B35+1,0)</f>
        <v>#N/A</v>
      </c>
      <c r="AG35" s="182" t="e">
        <f t="shared" si="13"/>
        <v>#N/A</v>
      </c>
      <c r="AH35" s="181" t="e">
        <f>HLOOKUP($AH$3,VaR_Calculo_Historico!$C$2:$FS$104,B35+1,0)</f>
        <v>#N/A</v>
      </c>
      <c r="AI35" s="182" t="e">
        <f t="shared" si="14"/>
        <v>#N/A</v>
      </c>
      <c r="AJ35" s="181" t="e">
        <f>HLOOKUP($AJ$3,VaR_Calculo_Historico!$C$2:$ET$103,B35+1,0)</f>
        <v>#N/A</v>
      </c>
      <c r="AK35" s="182" t="e">
        <f t="shared" si="15"/>
        <v>#N/A</v>
      </c>
      <c r="AL35" s="181" t="e">
        <f>HLOOKUP($AL$3,VaR_Calculo_Historico!$C$2:$ET$103,B35+1,0)</f>
        <v>#N/A</v>
      </c>
      <c r="AM35" s="182" t="e">
        <f t="shared" si="16"/>
        <v>#N/A</v>
      </c>
      <c r="AN35" s="181" t="e">
        <f>HLOOKUP($AN$3,VaR_Calculo_Historico!$C$2:$ET$103,B35+1,0)</f>
        <v>#N/A</v>
      </c>
      <c r="AO35" s="182" t="e">
        <f t="shared" si="17"/>
        <v>#N/A</v>
      </c>
      <c r="AP35" s="181" t="e">
        <f>HLOOKUP($AP$3,VaR_Calculo_Historico!$C$2:$ET$103,B35+1,0)</f>
        <v>#N/A</v>
      </c>
      <c r="AQ35" s="182" t="e">
        <f t="shared" si="18"/>
        <v>#N/A</v>
      </c>
      <c r="AR35" s="181" t="e">
        <f>HLOOKUP($AR$3,VaR_Calculo_Historico!$C$2:$ET$103,B35+1,0)</f>
        <v>#N/A</v>
      </c>
      <c r="AS35" s="182" t="e">
        <f t="shared" si="19"/>
        <v>#N/A</v>
      </c>
      <c r="AT35" s="181" t="e">
        <f>HLOOKUP($AT$3,VaR_Calculo_Historico!$C$2:$ET$103,B35+1,0)</f>
        <v>#N/A</v>
      </c>
      <c r="AU35" s="182" t="e">
        <f t="shared" si="20"/>
        <v>#N/A</v>
      </c>
      <c r="AV35" s="181" t="e">
        <f>HLOOKUP($AV$3,VaR_Calculo_Historico!$C$2:$ET$103,B35+1,0)</f>
        <v>#N/A</v>
      </c>
      <c r="AW35" s="223" t="e">
        <f t="shared" si="21"/>
        <v>#N/A</v>
      </c>
      <c r="AX35" s="181" t="e">
        <f>HLOOKUP($AX$3,VaR_Calculo_Historico!$C$2:$ET$103,B35+1,0)</f>
        <v>#N/A</v>
      </c>
      <c r="AY35" s="182" t="e">
        <f t="shared" si="22"/>
        <v>#N/A</v>
      </c>
      <c r="AZ35" s="181" t="e">
        <f>HLOOKUP($AZ$3,VaR_Calculo_Historico!$C$2:$ET$103,B35+1,0)</f>
        <v>#N/A</v>
      </c>
      <c r="BA35" s="182" t="e">
        <f t="shared" si="23"/>
        <v>#N/A</v>
      </c>
      <c r="BB35" s="181" t="e">
        <f>HLOOKUP($BB$3,VaR_Calculo_Historico!$C$2:$ET$103,B35+1,0)</f>
        <v>#N/A</v>
      </c>
      <c r="BC35" s="182" t="e">
        <f t="shared" si="24"/>
        <v>#N/A</v>
      </c>
      <c r="BD35" s="181" t="e">
        <f>HLOOKUP($BD$3,VaR_Calculo_Historico!$C$2:$ET$103,B35+1,0)</f>
        <v>#N/A</v>
      </c>
      <c r="BE35" s="182" t="e">
        <f t="shared" si="25"/>
        <v>#N/A</v>
      </c>
      <c r="BF35" s="181" t="e">
        <f>HLOOKUP($BF$3,VaR_Calculo_Historico!$C$2:$ET$103,B35+1,0)</f>
        <v>#N/A</v>
      </c>
      <c r="BG35" s="182" t="e">
        <f t="shared" si="26"/>
        <v>#N/A</v>
      </c>
      <c r="BH35" s="181" t="e">
        <f>HLOOKUP($BH$3,VaR_Calculo_Historico!$C$2:$ET$103,B35+1,0)</f>
        <v>#N/A</v>
      </c>
      <c r="BI35" s="223" t="e">
        <f t="shared" si="27"/>
        <v>#N/A</v>
      </c>
      <c r="BJ35" s="181" t="e">
        <f>HLOOKUP($BJ$3,VaR_Calculo_Historico!$C$2:$ET$103,B35+1,0)</f>
        <v>#N/A</v>
      </c>
      <c r="BK35" s="223" t="e">
        <f t="shared" si="28"/>
        <v>#N/A</v>
      </c>
      <c r="BL35" s="181" t="e">
        <f>HLOOKUP($BL$3,VaR_Calculo_Historico!$C$2:$ET$103,B35+1,0)</f>
        <v>#N/A</v>
      </c>
      <c r="BM35" s="223" t="e">
        <f t="shared" si="29"/>
        <v>#N/A</v>
      </c>
      <c r="BN35" s="181" t="e">
        <f>HLOOKUP($BN$3,VaR_Calculo_Historico!$C$2:$EY$103,B35+1,0)</f>
        <v>#N/A</v>
      </c>
      <c r="BO35" s="223" t="e">
        <f t="shared" si="30"/>
        <v>#N/A</v>
      </c>
    </row>
    <row r="36" spans="2:67" x14ac:dyDescent="0.3">
      <c r="B36" s="166">
        <v>32</v>
      </c>
      <c r="C36" s="208">
        <f>VaR_Calculo_Historico!B33</f>
        <v>42355</v>
      </c>
      <c r="D36" s="181">
        <f>HLOOKUP($D$3,VaR_Calculo_Historico!$C$2:$ET$103,B36+1,0)</f>
        <v>3.2981633179999998</v>
      </c>
      <c r="E36" s="182">
        <f t="shared" si="0"/>
        <v>-1.4528608690063285E-3</v>
      </c>
      <c r="F36" s="181">
        <f>HLOOKUP($F$3,VaR_Calculo_Historico!$C$2:$ET$103,B36+1,0)</f>
        <v>1.5880479999999999</v>
      </c>
      <c r="G36" s="182">
        <f t="shared" si="1"/>
        <v>5.316113617921702E-4</v>
      </c>
      <c r="H36" s="181">
        <f>HLOOKUP($H$3,VaR_Calculo_Historico!$C$2:$ET$103,B36+1,0)</f>
        <v>1.1009134279999999</v>
      </c>
      <c r="I36" s="182">
        <f t="shared" si="2"/>
        <v>9.1080686073290455E-4</v>
      </c>
      <c r="J36" s="181">
        <f>HLOOKUP($J$3,VaR_Calculo_Historico!$C$2:$ET$103,B36+1,0)</f>
        <v>1.8178829999999999</v>
      </c>
      <c r="K36" s="182">
        <f t="shared" si="31"/>
        <v>5.2272248258595404E-4</v>
      </c>
      <c r="L36" s="181">
        <f>HLOOKUP($L$3,VaR_Calculo_Historico!$C$2:$ET$103,B36+1,0)</f>
        <v>1.073237</v>
      </c>
      <c r="M36" s="182">
        <f t="shared" si="3"/>
        <v>8.5012696433516325E-4</v>
      </c>
      <c r="N36" s="181">
        <f>HLOOKUP($N$3,VaR_Calculo_Historico!$C$2:$ET$103,B36+1,0)</f>
        <v>2.5833879999999998</v>
      </c>
      <c r="O36" s="182">
        <f t="shared" si="4"/>
        <v>5.2619179878646066E-4</v>
      </c>
      <c r="P36" s="181">
        <f>HLOOKUP($P$3,VaR_Calculo_Historico!$C$2:$ET$103,B36+1,0)</f>
        <v>1.7359439999999999</v>
      </c>
      <c r="Q36" s="182">
        <f t="shared" si="5"/>
        <v>5.2377154732464299E-4</v>
      </c>
      <c r="R36" s="181">
        <f>HLOOKUP($R$3,VaR_Calculo_Historico!$C$2:$ET$103,B36+1,0)</f>
        <v>1.243349</v>
      </c>
      <c r="S36" s="182">
        <f t="shared" si="6"/>
        <v>-2.646595330436402E-3</v>
      </c>
      <c r="T36" s="181" t="e">
        <f>HLOOKUP($T$3,VaR_Calculo_Historico!$C$2:$ET$103,B36+1,0)</f>
        <v>#N/A</v>
      </c>
      <c r="U36" s="182" t="e">
        <f t="shared" si="7"/>
        <v>#N/A</v>
      </c>
      <c r="V36" s="181" t="e">
        <f>HLOOKUP($V$3,VaR_Calculo_Historico!$C$2:$ET$103,B36+1,0)</f>
        <v>#N/A</v>
      </c>
      <c r="W36" s="182" t="e">
        <f t="shared" si="8"/>
        <v>#N/A</v>
      </c>
      <c r="X36" s="181" t="e">
        <f>HLOOKUP($X$3,VaR_Calculo_Historico!$C$2:$ET$103,B36+1,0)</f>
        <v>#N/A</v>
      </c>
      <c r="Y36" s="182" t="e">
        <f t="shared" si="9"/>
        <v>#N/A</v>
      </c>
      <c r="Z36" s="181" t="e">
        <f>HLOOKUP($Z$3,VaR_Calculo_Historico!$C$2:$ET$103,B36+1,0)</f>
        <v>#N/A</v>
      </c>
      <c r="AA36" s="182" t="e">
        <f t="shared" si="10"/>
        <v>#N/A</v>
      </c>
      <c r="AB36" s="181" t="e">
        <f>HLOOKUP($AB$3,VaR_Calculo_Historico!$C$2:$ET$103,B36+1,0)</f>
        <v>#N/A</v>
      </c>
      <c r="AC36" s="182" t="e">
        <f t="shared" si="11"/>
        <v>#N/A</v>
      </c>
      <c r="AD36" s="181" t="e">
        <f>HLOOKUP($AD$3,VaR_Calculo_Historico!$C$2:$ET$103,B36+1,0)</f>
        <v>#N/A</v>
      </c>
      <c r="AE36" s="182" t="e">
        <f t="shared" si="12"/>
        <v>#N/A</v>
      </c>
      <c r="AF36" s="181" t="e">
        <f>HLOOKUP($AF$3,VaR_Calculo_Historico!$C$2:$FZS$104,B36+1,0)</f>
        <v>#N/A</v>
      </c>
      <c r="AG36" s="182" t="e">
        <f t="shared" si="13"/>
        <v>#N/A</v>
      </c>
      <c r="AH36" s="181" t="e">
        <f>HLOOKUP($AH$3,VaR_Calculo_Historico!$C$2:$FS$104,B36+1,0)</f>
        <v>#N/A</v>
      </c>
      <c r="AI36" s="182" t="e">
        <f t="shared" si="14"/>
        <v>#N/A</v>
      </c>
      <c r="AJ36" s="181" t="e">
        <f>HLOOKUP($AJ$3,VaR_Calculo_Historico!$C$2:$ET$103,B36+1,0)</f>
        <v>#N/A</v>
      </c>
      <c r="AK36" s="182" t="e">
        <f t="shared" si="15"/>
        <v>#N/A</v>
      </c>
      <c r="AL36" s="181" t="e">
        <f>HLOOKUP($AL$3,VaR_Calculo_Historico!$C$2:$ET$103,B36+1,0)</f>
        <v>#N/A</v>
      </c>
      <c r="AM36" s="182" t="e">
        <f t="shared" si="16"/>
        <v>#N/A</v>
      </c>
      <c r="AN36" s="181" t="e">
        <f>HLOOKUP($AN$3,VaR_Calculo_Historico!$C$2:$ET$103,B36+1,0)</f>
        <v>#N/A</v>
      </c>
      <c r="AO36" s="182" t="e">
        <f t="shared" si="17"/>
        <v>#N/A</v>
      </c>
      <c r="AP36" s="181" t="e">
        <f>HLOOKUP($AP$3,VaR_Calculo_Historico!$C$2:$ET$103,B36+1,0)</f>
        <v>#N/A</v>
      </c>
      <c r="AQ36" s="182" t="e">
        <f t="shared" si="18"/>
        <v>#N/A</v>
      </c>
      <c r="AR36" s="181" t="e">
        <f>HLOOKUP($AR$3,VaR_Calculo_Historico!$C$2:$ET$103,B36+1,0)</f>
        <v>#N/A</v>
      </c>
      <c r="AS36" s="182" t="e">
        <f t="shared" si="19"/>
        <v>#N/A</v>
      </c>
      <c r="AT36" s="181" t="e">
        <f>HLOOKUP($AT$3,VaR_Calculo_Historico!$C$2:$ET$103,B36+1,0)</f>
        <v>#N/A</v>
      </c>
      <c r="AU36" s="182" t="e">
        <f t="shared" si="20"/>
        <v>#N/A</v>
      </c>
      <c r="AV36" s="181" t="e">
        <f>HLOOKUP($AV$3,VaR_Calculo_Historico!$C$2:$ET$103,B36+1,0)</f>
        <v>#N/A</v>
      </c>
      <c r="AW36" s="223" t="e">
        <f t="shared" si="21"/>
        <v>#N/A</v>
      </c>
      <c r="AX36" s="181" t="e">
        <f>HLOOKUP($AX$3,VaR_Calculo_Historico!$C$2:$ET$103,B36+1,0)</f>
        <v>#N/A</v>
      </c>
      <c r="AY36" s="182" t="e">
        <f t="shared" si="22"/>
        <v>#N/A</v>
      </c>
      <c r="AZ36" s="181" t="e">
        <f>HLOOKUP($AZ$3,VaR_Calculo_Historico!$C$2:$ET$103,B36+1,0)</f>
        <v>#N/A</v>
      </c>
      <c r="BA36" s="182" t="e">
        <f t="shared" si="23"/>
        <v>#N/A</v>
      </c>
      <c r="BB36" s="181" t="e">
        <f>HLOOKUP($BB$3,VaR_Calculo_Historico!$C$2:$ET$103,B36+1,0)</f>
        <v>#N/A</v>
      </c>
      <c r="BC36" s="182" t="e">
        <f t="shared" si="24"/>
        <v>#N/A</v>
      </c>
      <c r="BD36" s="181" t="e">
        <f>HLOOKUP($BD$3,VaR_Calculo_Historico!$C$2:$ET$103,B36+1,0)</f>
        <v>#N/A</v>
      </c>
      <c r="BE36" s="182" t="e">
        <f t="shared" si="25"/>
        <v>#N/A</v>
      </c>
      <c r="BF36" s="181" t="e">
        <f>HLOOKUP($BF$3,VaR_Calculo_Historico!$C$2:$ET$103,B36+1,0)</f>
        <v>#N/A</v>
      </c>
      <c r="BG36" s="182" t="e">
        <f t="shared" si="26"/>
        <v>#N/A</v>
      </c>
      <c r="BH36" s="181" t="e">
        <f>HLOOKUP($BH$3,VaR_Calculo_Historico!$C$2:$ET$103,B36+1,0)</f>
        <v>#N/A</v>
      </c>
      <c r="BI36" s="223" t="e">
        <f t="shared" si="27"/>
        <v>#N/A</v>
      </c>
      <c r="BJ36" s="181" t="e">
        <f>HLOOKUP($BJ$3,VaR_Calculo_Historico!$C$2:$ET$103,B36+1,0)</f>
        <v>#N/A</v>
      </c>
      <c r="BK36" s="223" t="e">
        <f t="shared" si="28"/>
        <v>#N/A</v>
      </c>
      <c r="BL36" s="181" t="e">
        <f>HLOOKUP($BL$3,VaR_Calculo_Historico!$C$2:$ET$103,B36+1,0)</f>
        <v>#N/A</v>
      </c>
      <c r="BM36" s="223" t="e">
        <f t="shared" si="29"/>
        <v>#N/A</v>
      </c>
      <c r="BN36" s="181" t="e">
        <f>HLOOKUP($BN$3,VaR_Calculo_Historico!$C$2:$EY$103,B36+1,0)</f>
        <v>#N/A</v>
      </c>
      <c r="BO36" s="223" t="e">
        <f t="shared" si="30"/>
        <v>#N/A</v>
      </c>
    </row>
    <row r="37" spans="2:67" x14ac:dyDescent="0.3">
      <c r="B37" s="166">
        <v>33</v>
      </c>
      <c r="C37" s="208">
        <f>VaR_Calculo_Historico!B34</f>
        <v>42356</v>
      </c>
      <c r="D37" s="181">
        <f>HLOOKUP($D$3,VaR_Calculo_Historico!$C$2:$ET$103,B37+1,0)</f>
        <v>3.2884217910000002</v>
      </c>
      <c r="E37" s="182">
        <f t="shared" si="0"/>
        <v>-2.957992325843047E-3</v>
      </c>
      <c r="F37" s="181">
        <f>HLOOKUP($F$3,VaR_Calculo_Historico!$C$2:$ET$103,B37+1,0)</f>
        <v>1.588878</v>
      </c>
      <c r="G37" s="182">
        <f t="shared" si="1"/>
        <v>5.2251769092794269E-4</v>
      </c>
      <c r="H37" s="181">
        <f>HLOOKUP($H$3,VaR_Calculo_Historico!$C$2:$ET$103,B37+1,0)</f>
        <v>1.1014722020000001</v>
      </c>
      <c r="I37" s="182">
        <f t="shared" si="2"/>
        <v>5.0742613316965082E-4</v>
      </c>
      <c r="J37" s="181">
        <f>HLOOKUP($J$3,VaR_Calculo_Historico!$C$2:$ET$103,B37+1,0)</f>
        <v>1.818335</v>
      </c>
      <c r="K37" s="182">
        <f t="shared" si="31"/>
        <v>2.486099581092515E-4</v>
      </c>
      <c r="L37" s="181">
        <f>HLOOKUP($L$3,VaR_Calculo_Historico!$C$2:$ET$103,B37+1,0)</f>
        <v>1.0738220000000001</v>
      </c>
      <c r="M37" s="182">
        <f t="shared" si="3"/>
        <v>5.4493147554537697E-4</v>
      </c>
      <c r="N37" s="181">
        <f>HLOOKUP($N$3,VaR_Calculo_Historico!$C$2:$ET$103,B37+1,0)</f>
        <v>2.584765</v>
      </c>
      <c r="O37" s="182">
        <f t="shared" si="4"/>
        <v>5.3287897343002406E-4</v>
      </c>
      <c r="P37" s="181">
        <f>HLOOKUP($P$3,VaR_Calculo_Historico!$C$2:$ET$103,B37+1,0)</f>
        <v>1.7363500000000001</v>
      </c>
      <c r="Q37" s="182">
        <f t="shared" si="5"/>
        <v>2.3385116689457393E-4</v>
      </c>
      <c r="R37" s="181">
        <f>HLOOKUP($R$3,VaR_Calculo_Historico!$C$2:$ET$103,B37+1,0)</f>
        <v>1.237438</v>
      </c>
      <c r="S37" s="182">
        <f t="shared" si="6"/>
        <v>-4.7654322489115988E-3</v>
      </c>
      <c r="T37" s="181" t="e">
        <f>HLOOKUP($T$3,VaR_Calculo_Historico!$C$2:$ET$103,B37+1,0)</f>
        <v>#N/A</v>
      </c>
      <c r="U37" s="182" t="e">
        <f t="shared" si="7"/>
        <v>#N/A</v>
      </c>
      <c r="V37" s="181" t="e">
        <f>HLOOKUP($V$3,VaR_Calculo_Historico!$C$2:$ET$103,B37+1,0)</f>
        <v>#N/A</v>
      </c>
      <c r="W37" s="182" t="e">
        <f t="shared" si="8"/>
        <v>#N/A</v>
      </c>
      <c r="X37" s="181" t="e">
        <f>HLOOKUP($X$3,VaR_Calculo_Historico!$C$2:$ET$103,B37+1,0)</f>
        <v>#N/A</v>
      </c>
      <c r="Y37" s="182" t="e">
        <f t="shared" si="9"/>
        <v>#N/A</v>
      </c>
      <c r="Z37" s="181" t="e">
        <f>HLOOKUP($Z$3,VaR_Calculo_Historico!$C$2:$ET$103,B37+1,0)</f>
        <v>#N/A</v>
      </c>
      <c r="AA37" s="182" t="e">
        <f t="shared" si="10"/>
        <v>#N/A</v>
      </c>
      <c r="AB37" s="181" t="e">
        <f>HLOOKUP($AB$3,VaR_Calculo_Historico!$C$2:$ET$103,B37+1,0)</f>
        <v>#N/A</v>
      </c>
      <c r="AC37" s="182" t="e">
        <f t="shared" si="11"/>
        <v>#N/A</v>
      </c>
      <c r="AD37" s="181" t="e">
        <f>HLOOKUP($AD$3,VaR_Calculo_Historico!$C$2:$ET$103,B37+1,0)</f>
        <v>#N/A</v>
      </c>
      <c r="AE37" s="182" t="e">
        <f t="shared" si="12"/>
        <v>#N/A</v>
      </c>
      <c r="AF37" s="181" t="e">
        <f>HLOOKUP($AF$3,VaR_Calculo_Historico!$C$2:$FZS$104,B37+1,0)</f>
        <v>#N/A</v>
      </c>
      <c r="AG37" s="182" t="e">
        <f t="shared" si="13"/>
        <v>#N/A</v>
      </c>
      <c r="AH37" s="181" t="e">
        <f>HLOOKUP($AH$3,VaR_Calculo_Historico!$C$2:$FS$104,B37+1,0)</f>
        <v>#N/A</v>
      </c>
      <c r="AI37" s="182" t="e">
        <f t="shared" si="14"/>
        <v>#N/A</v>
      </c>
      <c r="AJ37" s="181" t="e">
        <f>HLOOKUP($AJ$3,VaR_Calculo_Historico!$C$2:$ET$103,B37+1,0)</f>
        <v>#N/A</v>
      </c>
      <c r="AK37" s="182" t="e">
        <f t="shared" si="15"/>
        <v>#N/A</v>
      </c>
      <c r="AL37" s="181" t="e">
        <f>HLOOKUP($AL$3,VaR_Calculo_Historico!$C$2:$ET$103,B37+1,0)</f>
        <v>#N/A</v>
      </c>
      <c r="AM37" s="182" t="e">
        <f t="shared" si="16"/>
        <v>#N/A</v>
      </c>
      <c r="AN37" s="181" t="e">
        <f>HLOOKUP($AN$3,VaR_Calculo_Historico!$C$2:$ET$103,B37+1,0)</f>
        <v>#N/A</v>
      </c>
      <c r="AO37" s="182" t="e">
        <f t="shared" si="17"/>
        <v>#N/A</v>
      </c>
      <c r="AP37" s="181" t="e">
        <f>HLOOKUP($AP$3,VaR_Calculo_Historico!$C$2:$ET$103,B37+1,0)</f>
        <v>#N/A</v>
      </c>
      <c r="AQ37" s="182" t="e">
        <f t="shared" si="18"/>
        <v>#N/A</v>
      </c>
      <c r="AR37" s="181" t="e">
        <f>HLOOKUP($AR$3,VaR_Calculo_Historico!$C$2:$ET$103,B37+1,0)</f>
        <v>#N/A</v>
      </c>
      <c r="AS37" s="182" t="e">
        <f t="shared" si="19"/>
        <v>#N/A</v>
      </c>
      <c r="AT37" s="181" t="e">
        <f>HLOOKUP($AT$3,VaR_Calculo_Historico!$C$2:$ET$103,B37+1,0)</f>
        <v>#N/A</v>
      </c>
      <c r="AU37" s="182" t="e">
        <f t="shared" si="20"/>
        <v>#N/A</v>
      </c>
      <c r="AV37" s="181" t="e">
        <f>HLOOKUP($AV$3,VaR_Calculo_Historico!$C$2:$ET$103,B37+1,0)</f>
        <v>#N/A</v>
      </c>
      <c r="AW37" s="223" t="e">
        <f t="shared" si="21"/>
        <v>#N/A</v>
      </c>
      <c r="AX37" s="181" t="e">
        <f>HLOOKUP($AX$3,VaR_Calculo_Historico!$C$2:$ET$103,B37+1,0)</f>
        <v>#N/A</v>
      </c>
      <c r="AY37" s="182" t="e">
        <f t="shared" si="22"/>
        <v>#N/A</v>
      </c>
      <c r="AZ37" s="181" t="e">
        <f>HLOOKUP($AZ$3,VaR_Calculo_Historico!$C$2:$ET$103,B37+1,0)</f>
        <v>#N/A</v>
      </c>
      <c r="BA37" s="182" t="e">
        <f t="shared" si="23"/>
        <v>#N/A</v>
      </c>
      <c r="BB37" s="181" t="e">
        <f>HLOOKUP($BB$3,VaR_Calculo_Historico!$C$2:$ET$103,B37+1,0)</f>
        <v>#N/A</v>
      </c>
      <c r="BC37" s="182" t="e">
        <f t="shared" si="24"/>
        <v>#N/A</v>
      </c>
      <c r="BD37" s="181" t="e">
        <f>HLOOKUP($BD$3,VaR_Calculo_Historico!$C$2:$ET$103,B37+1,0)</f>
        <v>#N/A</v>
      </c>
      <c r="BE37" s="182" t="e">
        <f t="shared" si="25"/>
        <v>#N/A</v>
      </c>
      <c r="BF37" s="181" t="e">
        <f>HLOOKUP($BF$3,VaR_Calculo_Historico!$C$2:$ET$103,B37+1,0)</f>
        <v>#N/A</v>
      </c>
      <c r="BG37" s="182" t="e">
        <f t="shared" si="26"/>
        <v>#N/A</v>
      </c>
      <c r="BH37" s="181" t="e">
        <f>HLOOKUP($BH$3,VaR_Calculo_Historico!$C$2:$ET$103,B37+1,0)</f>
        <v>#N/A</v>
      </c>
      <c r="BI37" s="223" t="e">
        <f t="shared" si="27"/>
        <v>#N/A</v>
      </c>
      <c r="BJ37" s="181" t="e">
        <f>HLOOKUP($BJ$3,VaR_Calculo_Historico!$C$2:$ET$103,B37+1,0)</f>
        <v>#N/A</v>
      </c>
      <c r="BK37" s="223" t="e">
        <f t="shared" si="28"/>
        <v>#N/A</v>
      </c>
      <c r="BL37" s="181" t="e">
        <f>HLOOKUP($BL$3,VaR_Calculo_Historico!$C$2:$ET$103,B37+1,0)</f>
        <v>#N/A</v>
      </c>
      <c r="BM37" s="223" t="e">
        <f t="shared" si="29"/>
        <v>#N/A</v>
      </c>
      <c r="BN37" s="181" t="e">
        <f>HLOOKUP($BN$3,VaR_Calculo_Historico!$C$2:$EY$103,B37+1,0)</f>
        <v>#N/A</v>
      </c>
      <c r="BO37" s="223" t="e">
        <f t="shared" si="30"/>
        <v>#N/A</v>
      </c>
    </row>
    <row r="38" spans="2:67" x14ac:dyDescent="0.3">
      <c r="B38" s="166">
        <v>34</v>
      </c>
      <c r="C38" s="208">
        <f>VaR_Calculo_Historico!B35</f>
        <v>42359</v>
      </c>
      <c r="D38" s="181">
        <f>HLOOKUP($D$3,VaR_Calculo_Historico!$C$2:$ET$103,B38+1,0)</f>
        <v>3.291857673</v>
      </c>
      <c r="E38" s="182">
        <f t="shared" si="0"/>
        <v>1.0442967752506789E-3</v>
      </c>
      <c r="F38" s="181">
        <f>HLOOKUP($F$3,VaR_Calculo_Historico!$C$2:$ET$103,B38+1,0)</f>
        <v>1.5897060000000001</v>
      </c>
      <c r="G38" s="182">
        <f t="shared" si="1"/>
        <v>5.209867152973568E-4</v>
      </c>
      <c r="H38" s="181">
        <f>HLOOKUP($H$3,VaR_Calculo_Historico!$C$2:$ET$103,B38+1,0)</f>
        <v>1.1028689599999999</v>
      </c>
      <c r="I38" s="182">
        <f t="shared" si="2"/>
        <v>1.2672795037453571E-3</v>
      </c>
      <c r="J38" s="181">
        <f>HLOOKUP($J$3,VaR_Calculo_Historico!$C$2:$ET$103,B38+1,0)</f>
        <v>1.8195680000000001</v>
      </c>
      <c r="K38" s="182">
        <f t="shared" si="31"/>
        <v>6.7786306958359541E-4</v>
      </c>
      <c r="L38" s="181">
        <f>HLOOKUP($L$3,VaR_Calculo_Historico!$C$2:$ET$103,B38+1,0)</f>
        <v>1.075059</v>
      </c>
      <c r="M38" s="182">
        <f t="shared" si="3"/>
        <v>1.151297011454152E-3</v>
      </c>
      <c r="N38" s="181">
        <f>HLOOKUP($N$3,VaR_Calculo_Historico!$C$2:$ET$103,B38+1,0)</f>
        <v>2.5861149999999999</v>
      </c>
      <c r="O38" s="182">
        <f t="shared" si="4"/>
        <v>5.2215484817762171E-4</v>
      </c>
      <c r="P38" s="181">
        <f>HLOOKUP($P$3,VaR_Calculo_Historico!$C$2:$ET$103,B38+1,0)</f>
        <v>1.7375529999999999</v>
      </c>
      <c r="Q38" s="182">
        <f t="shared" si="5"/>
        <v>6.9259276847290631E-4</v>
      </c>
      <c r="R38" s="181">
        <f>HLOOKUP($R$3,VaR_Calculo_Historico!$C$2:$ET$103,B38+1,0)</f>
        <v>1.2390209999999999</v>
      </c>
      <c r="S38" s="182">
        <f t="shared" si="6"/>
        <v>1.2784384604027311E-3</v>
      </c>
      <c r="T38" s="181" t="e">
        <f>HLOOKUP($T$3,VaR_Calculo_Historico!$C$2:$ET$103,B38+1,0)</f>
        <v>#N/A</v>
      </c>
      <c r="U38" s="182" t="e">
        <f t="shared" si="7"/>
        <v>#N/A</v>
      </c>
      <c r="V38" s="181" t="e">
        <f>HLOOKUP($V$3,VaR_Calculo_Historico!$C$2:$ET$103,B38+1,0)</f>
        <v>#N/A</v>
      </c>
      <c r="W38" s="182" t="e">
        <f t="shared" si="8"/>
        <v>#N/A</v>
      </c>
      <c r="X38" s="181" t="e">
        <f>HLOOKUP($X$3,VaR_Calculo_Historico!$C$2:$ET$103,B38+1,0)</f>
        <v>#N/A</v>
      </c>
      <c r="Y38" s="182" t="e">
        <f t="shared" si="9"/>
        <v>#N/A</v>
      </c>
      <c r="Z38" s="181" t="e">
        <f>HLOOKUP($Z$3,VaR_Calculo_Historico!$C$2:$ET$103,B38+1,0)</f>
        <v>#N/A</v>
      </c>
      <c r="AA38" s="182" t="e">
        <f t="shared" si="10"/>
        <v>#N/A</v>
      </c>
      <c r="AB38" s="181" t="e">
        <f>HLOOKUP($AB$3,VaR_Calculo_Historico!$C$2:$ET$103,B38+1,0)</f>
        <v>#N/A</v>
      </c>
      <c r="AC38" s="182" t="e">
        <f t="shared" si="11"/>
        <v>#N/A</v>
      </c>
      <c r="AD38" s="181" t="e">
        <f>HLOOKUP($AD$3,VaR_Calculo_Historico!$C$2:$ET$103,B38+1,0)</f>
        <v>#N/A</v>
      </c>
      <c r="AE38" s="182" t="e">
        <f t="shared" si="12"/>
        <v>#N/A</v>
      </c>
      <c r="AF38" s="181" t="e">
        <f>HLOOKUP($AF$3,VaR_Calculo_Historico!$C$2:$FZS$104,B38+1,0)</f>
        <v>#N/A</v>
      </c>
      <c r="AG38" s="182" t="e">
        <f t="shared" si="13"/>
        <v>#N/A</v>
      </c>
      <c r="AH38" s="181" t="e">
        <f>HLOOKUP($AH$3,VaR_Calculo_Historico!$C$2:$FS$104,B38+1,0)</f>
        <v>#N/A</v>
      </c>
      <c r="AI38" s="182" t="e">
        <f t="shared" si="14"/>
        <v>#N/A</v>
      </c>
      <c r="AJ38" s="181" t="e">
        <f>HLOOKUP($AJ$3,VaR_Calculo_Historico!$C$2:$ET$103,B38+1,0)</f>
        <v>#N/A</v>
      </c>
      <c r="AK38" s="182" t="e">
        <f t="shared" si="15"/>
        <v>#N/A</v>
      </c>
      <c r="AL38" s="181" t="e">
        <f>HLOOKUP($AL$3,VaR_Calculo_Historico!$C$2:$ET$103,B38+1,0)</f>
        <v>#N/A</v>
      </c>
      <c r="AM38" s="182" t="e">
        <f t="shared" si="16"/>
        <v>#N/A</v>
      </c>
      <c r="AN38" s="181" t="e">
        <f>HLOOKUP($AN$3,VaR_Calculo_Historico!$C$2:$ET$103,B38+1,0)</f>
        <v>#N/A</v>
      </c>
      <c r="AO38" s="182" t="e">
        <f t="shared" si="17"/>
        <v>#N/A</v>
      </c>
      <c r="AP38" s="181" t="e">
        <f>HLOOKUP($AP$3,VaR_Calculo_Historico!$C$2:$ET$103,B38+1,0)</f>
        <v>#N/A</v>
      </c>
      <c r="AQ38" s="182" t="e">
        <f t="shared" si="18"/>
        <v>#N/A</v>
      </c>
      <c r="AR38" s="181" t="e">
        <f>HLOOKUP($AR$3,VaR_Calculo_Historico!$C$2:$ET$103,B38+1,0)</f>
        <v>#N/A</v>
      </c>
      <c r="AS38" s="182" t="e">
        <f t="shared" si="19"/>
        <v>#N/A</v>
      </c>
      <c r="AT38" s="181" t="e">
        <f>HLOOKUP($AT$3,VaR_Calculo_Historico!$C$2:$ET$103,B38+1,0)</f>
        <v>#N/A</v>
      </c>
      <c r="AU38" s="182" t="e">
        <f t="shared" si="20"/>
        <v>#N/A</v>
      </c>
      <c r="AV38" s="181" t="e">
        <f>HLOOKUP($AV$3,VaR_Calculo_Historico!$C$2:$ET$103,B38+1,0)</f>
        <v>#N/A</v>
      </c>
      <c r="AW38" s="223" t="e">
        <f t="shared" si="21"/>
        <v>#N/A</v>
      </c>
      <c r="AX38" s="181" t="e">
        <f>HLOOKUP($AX$3,VaR_Calculo_Historico!$C$2:$ET$103,B38+1,0)</f>
        <v>#N/A</v>
      </c>
      <c r="AY38" s="182" t="e">
        <f t="shared" si="22"/>
        <v>#N/A</v>
      </c>
      <c r="AZ38" s="181" t="e">
        <f>HLOOKUP($AZ$3,VaR_Calculo_Historico!$C$2:$ET$103,B38+1,0)</f>
        <v>#N/A</v>
      </c>
      <c r="BA38" s="182" t="e">
        <f t="shared" si="23"/>
        <v>#N/A</v>
      </c>
      <c r="BB38" s="181" t="e">
        <f>HLOOKUP($BB$3,VaR_Calculo_Historico!$C$2:$ET$103,B38+1,0)</f>
        <v>#N/A</v>
      </c>
      <c r="BC38" s="182" t="e">
        <f t="shared" si="24"/>
        <v>#N/A</v>
      </c>
      <c r="BD38" s="181" t="e">
        <f>HLOOKUP($BD$3,VaR_Calculo_Historico!$C$2:$ET$103,B38+1,0)</f>
        <v>#N/A</v>
      </c>
      <c r="BE38" s="182" t="e">
        <f t="shared" si="25"/>
        <v>#N/A</v>
      </c>
      <c r="BF38" s="181" t="e">
        <f>HLOOKUP($BF$3,VaR_Calculo_Historico!$C$2:$ET$103,B38+1,0)</f>
        <v>#N/A</v>
      </c>
      <c r="BG38" s="182" t="e">
        <f t="shared" si="26"/>
        <v>#N/A</v>
      </c>
      <c r="BH38" s="181" t="e">
        <f>HLOOKUP($BH$3,VaR_Calculo_Historico!$C$2:$ET$103,B38+1,0)</f>
        <v>#N/A</v>
      </c>
      <c r="BI38" s="223" t="e">
        <f t="shared" si="27"/>
        <v>#N/A</v>
      </c>
      <c r="BJ38" s="181" t="e">
        <f>HLOOKUP($BJ$3,VaR_Calculo_Historico!$C$2:$ET$103,B38+1,0)</f>
        <v>#N/A</v>
      </c>
      <c r="BK38" s="223" t="e">
        <f t="shared" si="28"/>
        <v>#N/A</v>
      </c>
      <c r="BL38" s="181" t="e">
        <f>HLOOKUP($BL$3,VaR_Calculo_Historico!$C$2:$ET$103,B38+1,0)</f>
        <v>#N/A</v>
      </c>
      <c r="BM38" s="223" t="e">
        <f t="shared" si="29"/>
        <v>#N/A</v>
      </c>
      <c r="BN38" s="181" t="e">
        <f>HLOOKUP($BN$3,VaR_Calculo_Historico!$C$2:$EY$103,B38+1,0)</f>
        <v>#N/A</v>
      </c>
      <c r="BO38" s="223" t="e">
        <f t="shared" si="30"/>
        <v>#N/A</v>
      </c>
    </row>
    <row r="39" spans="2:67" x14ac:dyDescent="0.3">
      <c r="B39" s="166">
        <v>35</v>
      </c>
      <c r="C39" s="208">
        <f>VaR_Calculo_Historico!B36</f>
        <v>42360</v>
      </c>
      <c r="D39" s="181">
        <f>HLOOKUP($D$3,VaR_Calculo_Historico!$C$2:$ET$103,B39+1,0)</f>
        <v>3.2983079960000001</v>
      </c>
      <c r="E39" s="182">
        <f t="shared" si="0"/>
        <v>1.9575608213216957E-3</v>
      </c>
      <c r="F39" s="181">
        <f>HLOOKUP($F$3,VaR_Calculo_Historico!$C$2:$ET$103,B39+1,0)</f>
        <v>1.5904849999999999</v>
      </c>
      <c r="G39" s="182">
        <f t="shared" si="1"/>
        <v>4.8990769144407662E-4</v>
      </c>
      <c r="H39" s="181">
        <f>HLOOKUP($H$3,VaR_Calculo_Historico!$C$2:$ET$103,B39+1,0)</f>
        <v>1.104069857</v>
      </c>
      <c r="I39" s="182">
        <f t="shared" si="2"/>
        <v>1.0882921712882913E-3</v>
      </c>
      <c r="J39" s="181">
        <f>HLOOKUP($J$3,VaR_Calculo_Historico!$C$2:$ET$103,B39+1,0)</f>
        <v>1.8205990000000001</v>
      </c>
      <c r="K39" s="182">
        <f t="shared" si="31"/>
        <v>5.6645754305696824E-4</v>
      </c>
      <c r="L39" s="181">
        <f>HLOOKUP($L$3,VaR_Calculo_Historico!$C$2:$ET$103,B39+1,0)</f>
        <v>1.076076</v>
      </c>
      <c r="M39" s="182">
        <f t="shared" si="3"/>
        <v>9.455474210327599E-4</v>
      </c>
      <c r="N39" s="181">
        <f>HLOOKUP($N$3,VaR_Calculo_Historico!$C$2:$ET$103,B39+1,0)</f>
        <v>2.5873910000000002</v>
      </c>
      <c r="O39" s="182">
        <f t="shared" si="4"/>
        <v>4.9328251513538449E-4</v>
      </c>
      <c r="P39" s="181">
        <f>HLOOKUP($P$3,VaR_Calculo_Historico!$C$2:$ET$103,B39+1,0)</f>
        <v>1.738553</v>
      </c>
      <c r="Q39" s="182">
        <f t="shared" si="5"/>
        <v>5.7535646357530831E-4</v>
      </c>
      <c r="R39" s="181">
        <f>HLOOKUP($R$3,VaR_Calculo_Historico!$C$2:$ET$103,B39+1,0)</f>
        <v>1.2424249999999999</v>
      </c>
      <c r="S39" s="182">
        <f t="shared" si="6"/>
        <v>2.7435633378266864E-3</v>
      </c>
      <c r="T39" s="181" t="e">
        <f>HLOOKUP($T$3,VaR_Calculo_Historico!$C$2:$ET$103,B39+1,0)</f>
        <v>#N/A</v>
      </c>
      <c r="U39" s="182" t="e">
        <f t="shared" si="7"/>
        <v>#N/A</v>
      </c>
      <c r="V39" s="181" t="e">
        <f>HLOOKUP($V$3,VaR_Calculo_Historico!$C$2:$ET$103,B39+1,0)</f>
        <v>#N/A</v>
      </c>
      <c r="W39" s="182" t="e">
        <f t="shared" si="8"/>
        <v>#N/A</v>
      </c>
      <c r="X39" s="181" t="e">
        <f>HLOOKUP($X$3,VaR_Calculo_Historico!$C$2:$ET$103,B39+1,0)</f>
        <v>#N/A</v>
      </c>
      <c r="Y39" s="182" t="e">
        <f t="shared" si="9"/>
        <v>#N/A</v>
      </c>
      <c r="Z39" s="181" t="e">
        <f>HLOOKUP($Z$3,VaR_Calculo_Historico!$C$2:$ET$103,B39+1,0)</f>
        <v>#N/A</v>
      </c>
      <c r="AA39" s="182" t="e">
        <f t="shared" si="10"/>
        <v>#N/A</v>
      </c>
      <c r="AB39" s="181" t="e">
        <f>HLOOKUP($AB$3,VaR_Calculo_Historico!$C$2:$ET$103,B39+1,0)</f>
        <v>#N/A</v>
      </c>
      <c r="AC39" s="182" t="e">
        <f t="shared" si="11"/>
        <v>#N/A</v>
      </c>
      <c r="AD39" s="181" t="e">
        <f>HLOOKUP($AD$3,VaR_Calculo_Historico!$C$2:$ET$103,B39+1,0)</f>
        <v>#N/A</v>
      </c>
      <c r="AE39" s="182" t="e">
        <f t="shared" si="12"/>
        <v>#N/A</v>
      </c>
      <c r="AF39" s="181" t="e">
        <f>HLOOKUP($AF$3,VaR_Calculo_Historico!$C$2:$FZS$104,B39+1,0)</f>
        <v>#N/A</v>
      </c>
      <c r="AG39" s="182" t="e">
        <f t="shared" si="13"/>
        <v>#N/A</v>
      </c>
      <c r="AH39" s="181" t="e">
        <f>HLOOKUP($AH$3,VaR_Calculo_Historico!$C$2:$FS$104,B39+1,0)</f>
        <v>#N/A</v>
      </c>
      <c r="AI39" s="182" t="e">
        <f t="shared" si="14"/>
        <v>#N/A</v>
      </c>
      <c r="AJ39" s="181" t="e">
        <f>HLOOKUP($AJ$3,VaR_Calculo_Historico!$C$2:$ET$103,B39+1,0)</f>
        <v>#N/A</v>
      </c>
      <c r="AK39" s="182" t="e">
        <f t="shared" si="15"/>
        <v>#N/A</v>
      </c>
      <c r="AL39" s="181" t="e">
        <f>HLOOKUP($AL$3,VaR_Calculo_Historico!$C$2:$ET$103,B39+1,0)</f>
        <v>#N/A</v>
      </c>
      <c r="AM39" s="182" t="e">
        <f t="shared" si="16"/>
        <v>#N/A</v>
      </c>
      <c r="AN39" s="181" t="e">
        <f>HLOOKUP($AN$3,VaR_Calculo_Historico!$C$2:$ET$103,B39+1,0)</f>
        <v>#N/A</v>
      </c>
      <c r="AO39" s="182" t="e">
        <f t="shared" si="17"/>
        <v>#N/A</v>
      </c>
      <c r="AP39" s="181" t="e">
        <f>HLOOKUP($AP$3,VaR_Calculo_Historico!$C$2:$ET$103,B39+1,0)</f>
        <v>#N/A</v>
      </c>
      <c r="AQ39" s="182" t="e">
        <f t="shared" si="18"/>
        <v>#N/A</v>
      </c>
      <c r="AR39" s="181" t="e">
        <f>HLOOKUP($AR$3,VaR_Calculo_Historico!$C$2:$ET$103,B39+1,0)</f>
        <v>#N/A</v>
      </c>
      <c r="AS39" s="182" t="e">
        <f t="shared" si="19"/>
        <v>#N/A</v>
      </c>
      <c r="AT39" s="181" t="e">
        <f>HLOOKUP($AT$3,VaR_Calculo_Historico!$C$2:$ET$103,B39+1,0)</f>
        <v>#N/A</v>
      </c>
      <c r="AU39" s="182" t="e">
        <f t="shared" si="20"/>
        <v>#N/A</v>
      </c>
      <c r="AV39" s="181" t="e">
        <f>HLOOKUP($AV$3,VaR_Calculo_Historico!$C$2:$ET$103,B39+1,0)</f>
        <v>#N/A</v>
      </c>
      <c r="AW39" s="223" t="e">
        <f t="shared" si="21"/>
        <v>#N/A</v>
      </c>
      <c r="AX39" s="181" t="e">
        <f>HLOOKUP($AX$3,VaR_Calculo_Historico!$C$2:$ET$103,B39+1,0)</f>
        <v>#N/A</v>
      </c>
      <c r="AY39" s="182" t="e">
        <f t="shared" si="22"/>
        <v>#N/A</v>
      </c>
      <c r="AZ39" s="181" t="e">
        <f>HLOOKUP($AZ$3,VaR_Calculo_Historico!$C$2:$ET$103,B39+1,0)</f>
        <v>#N/A</v>
      </c>
      <c r="BA39" s="182" t="e">
        <f t="shared" si="23"/>
        <v>#N/A</v>
      </c>
      <c r="BB39" s="181" t="e">
        <f>HLOOKUP($BB$3,VaR_Calculo_Historico!$C$2:$ET$103,B39+1,0)</f>
        <v>#N/A</v>
      </c>
      <c r="BC39" s="182" t="e">
        <f t="shared" si="24"/>
        <v>#N/A</v>
      </c>
      <c r="BD39" s="181" t="e">
        <f>HLOOKUP($BD$3,VaR_Calculo_Historico!$C$2:$ET$103,B39+1,0)</f>
        <v>#N/A</v>
      </c>
      <c r="BE39" s="182" t="e">
        <f t="shared" si="25"/>
        <v>#N/A</v>
      </c>
      <c r="BF39" s="181" t="e">
        <f>HLOOKUP($BF$3,VaR_Calculo_Historico!$C$2:$ET$103,B39+1,0)</f>
        <v>#N/A</v>
      </c>
      <c r="BG39" s="182" t="e">
        <f t="shared" si="26"/>
        <v>#N/A</v>
      </c>
      <c r="BH39" s="181" t="e">
        <f>HLOOKUP($BH$3,VaR_Calculo_Historico!$C$2:$ET$103,B39+1,0)</f>
        <v>#N/A</v>
      </c>
      <c r="BI39" s="223" t="e">
        <f t="shared" si="27"/>
        <v>#N/A</v>
      </c>
      <c r="BJ39" s="181" t="e">
        <f>HLOOKUP($BJ$3,VaR_Calculo_Historico!$C$2:$ET$103,B39+1,0)</f>
        <v>#N/A</v>
      </c>
      <c r="BK39" s="223" t="e">
        <f t="shared" si="28"/>
        <v>#N/A</v>
      </c>
      <c r="BL39" s="181" t="e">
        <f>HLOOKUP($BL$3,VaR_Calculo_Historico!$C$2:$ET$103,B39+1,0)</f>
        <v>#N/A</v>
      </c>
      <c r="BM39" s="223" t="e">
        <f t="shared" si="29"/>
        <v>#N/A</v>
      </c>
      <c r="BN39" s="181" t="e">
        <f>HLOOKUP($BN$3,VaR_Calculo_Historico!$C$2:$EY$103,B39+1,0)</f>
        <v>#N/A</v>
      </c>
      <c r="BO39" s="223" t="e">
        <f t="shared" si="30"/>
        <v>#N/A</v>
      </c>
    </row>
    <row r="40" spans="2:67" x14ac:dyDescent="0.3">
      <c r="B40" s="166">
        <v>36</v>
      </c>
      <c r="C40" s="208">
        <f>VaR_Calculo_Historico!B37</f>
        <v>42361</v>
      </c>
      <c r="D40" s="181">
        <f>HLOOKUP($D$3,VaR_Calculo_Historico!$C$2:$ET$103,B40+1,0)</f>
        <v>3.300129466</v>
      </c>
      <c r="E40" s="182">
        <f t="shared" si="0"/>
        <v>5.520913266983859E-4</v>
      </c>
      <c r="F40" s="181">
        <f>HLOOKUP($F$3,VaR_Calculo_Historico!$C$2:$ET$103,B40+1,0)</f>
        <v>1.591329</v>
      </c>
      <c r="G40" s="182">
        <f t="shared" si="1"/>
        <v>5.3051499540525393E-4</v>
      </c>
      <c r="H40" s="181">
        <f>HLOOKUP($H$3,VaR_Calculo_Historico!$C$2:$ET$103,B40+1,0)</f>
        <v>1.1048522999999999</v>
      </c>
      <c r="I40" s="182">
        <f t="shared" si="2"/>
        <v>7.0843875620071114E-4</v>
      </c>
      <c r="J40" s="181">
        <f>HLOOKUP($J$3,VaR_Calculo_Historico!$C$2:$ET$103,B40+1,0)</f>
        <v>1.821537</v>
      </c>
      <c r="K40" s="182">
        <f t="shared" si="31"/>
        <v>5.1508236965253226E-4</v>
      </c>
      <c r="L40" s="181">
        <f>HLOOKUP($L$3,VaR_Calculo_Historico!$C$2:$ET$103,B40+1,0)</f>
        <v>1.0768340000000001</v>
      </c>
      <c r="M40" s="182">
        <f t="shared" si="3"/>
        <v>7.0416323145965282E-4</v>
      </c>
      <c r="N40" s="181">
        <f>HLOOKUP($N$3,VaR_Calculo_Historico!$C$2:$ET$103,B40+1,0)</f>
        <v>2.588749</v>
      </c>
      <c r="O40" s="182">
        <f t="shared" si="4"/>
        <v>5.2471534044956018E-4</v>
      </c>
      <c r="P40" s="181">
        <f>HLOOKUP($P$3,VaR_Calculo_Historico!$C$2:$ET$103,B40+1,0)</f>
        <v>1.7394590000000001</v>
      </c>
      <c r="Q40" s="182">
        <f t="shared" si="5"/>
        <v>5.2098728842399475E-4</v>
      </c>
      <c r="R40" s="181">
        <f>HLOOKUP($R$3,VaR_Calculo_Historico!$C$2:$ET$103,B40+1,0)</f>
        <v>1.2430890000000001</v>
      </c>
      <c r="S40" s="182">
        <f t="shared" si="6"/>
        <v>5.3429593701445415E-4</v>
      </c>
      <c r="T40" s="181" t="e">
        <f>HLOOKUP($T$3,VaR_Calculo_Historico!$C$2:$ET$103,B40+1,0)</f>
        <v>#N/A</v>
      </c>
      <c r="U40" s="182" t="e">
        <f t="shared" si="7"/>
        <v>#N/A</v>
      </c>
      <c r="V40" s="181" t="e">
        <f>HLOOKUP($V$3,VaR_Calculo_Historico!$C$2:$ET$103,B40+1,0)</f>
        <v>#N/A</v>
      </c>
      <c r="W40" s="182" t="e">
        <f t="shared" si="8"/>
        <v>#N/A</v>
      </c>
      <c r="X40" s="181" t="e">
        <f>HLOOKUP($X$3,VaR_Calculo_Historico!$C$2:$ET$103,B40+1,0)</f>
        <v>#N/A</v>
      </c>
      <c r="Y40" s="182" t="e">
        <f t="shared" si="9"/>
        <v>#N/A</v>
      </c>
      <c r="Z40" s="181" t="e">
        <f>HLOOKUP($Z$3,VaR_Calculo_Historico!$C$2:$ET$103,B40+1,0)</f>
        <v>#N/A</v>
      </c>
      <c r="AA40" s="182" t="e">
        <f t="shared" si="10"/>
        <v>#N/A</v>
      </c>
      <c r="AB40" s="181" t="e">
        <f>HLOOKUP($AB$3,VaR_Calculo_Historico!$C$2:$ET$103,B40+1,0)</f>
        <v>#N/A</v>
      </c>
      <c r="AC40" s="182" t="e">
        <f t="shared" si="11"/>
        <v>#N/A</v>
      </c>
      <c r="AD40" s="181" t="e">
        <f>HLOOKUP($AD$3,VaR_Calculo_Historico!$C$2:$ET$103,B40+1,0)</f>
        <v>#N/A</v>
      </c>
      <c r="AE40" s="182" t="e">
        <f t="shared" si="12"/>
        <v>#N/A</v>
      </c>
      <c r="AF40" s="181" t="e">
        <f>HLOOKUP($AF$3,VaR_Calculo_Historico!$C$2:$FZS$104,B40+1,0)</f>
        <v>#N/A</v>
      </c>
      <c r="AG40" s="182" t="e">
        <f t="shared" si="13"/>
        <v>#N/A</v>
      </c>
      <c r="AH40" s="181" t="e">
        <f>HLOOKUP($AH$3,VaR_Calculo_Historico!$C$2:$FS$104,B40+1,0)</f>
        <v>#N/A</v>
      </c>
      <c r="AI40" s="182" t="e">
        <f t="shared" si="14"/>
        <v>#N/A</v>
      </c>
      <c r="AJ40" s="181" t="e">
        <f>HLOOKUP($AJ$3,VaR_Calculo_Historico!$C$2:$ET$103,B40+1,0)</f>
        <v>#N/A</v>
      </c>
      <c r="AK40" s="182" t="e">
        <f t="shared" si="15"/>
        <v>#N/A</v>
      </c>
      <c r="AL40" s="181" t="e">
        <f>HLOOKUP($AL$3,VaR_Calculo_Historico!$C$2:$ET$103,B40+1,0)</f>
        <v>#N/A</v>
      </c>
      <c r="AM40" s="182" t="e">
        <f t="shared" si="16"/>
        <v>#N/A</v>
      </c>
      <c r="AN40" s="181" t="e">
        <f>HLOOKUP($AN$3,VaR_Calculo_Historico!$C$2:$ET$103,B40+1,0)</f>
        <v>#N/A</v>
      </c>
      <c r="AO40" s="182" t="e">
        <f t="shared" si="17"/>
        <v>#N/A</v>
      </c>
      <c r="AP40" s="181" t="e">
        <f>HLOOKUP($AP$3,VaR_Calculo_Historico!$C$2:$ET$103,B40+1,0)</f>
        <v>#N/A</v>
      </c>
      <c r="AQ40" s="182" t="e">
        <f t="shared" si="18"/>
        <v>#N/A</v>
      </c>
      <c r="AR40" s="181" t="e">
        <f>HLOOKUP($AR$3,VaR_Calculo_Historico!$C$2:$ET$103,B40+1,0)</f>
        <v>#N/A</v>
      </c>
      <c r="AS40" s="182" t="e">
        <f t="shared" si="19"/>
        <v>#N/A</v>
      </c>
      <c r="AT40" s="181" t="e">
        <f>HLOOKUP($AT$3,VaR_Calculo_Historico!$C$2:$ET$103,B40+1,0)</f>
        <v>#N/A</v>
      </c>
      <c r="AU40" s="182" t="e">
        <f t="shared" si="20"/>
        <v>#N/A</v>
      </c>
      <c r="AV40" s="181" t="e">
        <f>HLOOKUP($AV$3,VaR_Calculo_Historico!$C$2:$ET$103,B40+1,0)</f>
        <v>#N/A</v>
      </c>
      <c r="AW40" s="223" t="e">
        <f t="shared" si="21"/>
        <v>#N/A</v>
      </c>
      <c r="AX40" s="181" t="e">
        <f>HLOOKUP($AX$3,VaR_Calculo_Historico!$C$2:$ET$103,B40+1,0)</f>
        <v>#N/A</v>
      </c>
      <c r="AY40" s="182" t="e">
        <f t="shared" si="22"/>
        <v>#N/A</v>
      </c>
      <c r="AZ40" s="181" t="e">
        <f>HLOOKUP($AZ$3,VaR_Calculo_Historico!$C$2:$ET$103,B40+1,0)</f>
        <v>#N/A</v>
      </c>
      <c r="BA40" s="182" t="e">
        <f t="shared" si="23"/>
        <v>#N/A</v>
      </c>
      <c r="BB40" s="181" t="e">
        <f>HLOOKUP($BB$3,VaR_Calculo_Historico!$C$2:$ET$103,B40+1,0)</f>
        <v>#N/A</v>
      </c>
      <c r="BC40" s="182" t="e">
        <f t="shared" si="24"/>
        <v>#N/A</v>
      </c>
      <c r="BD40" s="181" t="e">
        <f>HLOOKUP($BD$3,VaR_Calculo_Historico!$C$2:$ET$103,B40+1,0)</f>
        <v>#N/A</v>
      </c>
      <c r="BE40" s="182" t="e">
        <f t="shared" si="25"/>
        <v>#N/A</v>
      </c>
      <c r="BF40" s="181" t="e">
        <f>HLOOKUP($BF$3,VaR_Calculo_Historico!$C$2:$ET$103,B40+1,0)</f>
        <v>#N/A</v>
      </c>
      <c r="BG40" s="182" t="e">
        <f t="shared" si="26"/>
        <v>#N/A</v>
      </c>
      <c r="BH40" s="181" t="e">
        <f>HLOOKUP($BH$3,VaR_Calculo_Historico!$C$2:$ET$103,B40+1,0)</f>
        <v>#N/A</v>
      </c>
      <c r="BI40" s="223" t="e">
        <f t="shared" si="27"/>
        <v>#N/A</v>
      </c>
      <c r="BJ40" s="181" t="e">
        <f>HLOOKUP($BJ$3,VaR_Calculo_Historico!$C$2:$ET$103,B40+1,0)</f>
        <v>#N/A</v>
      </c>
      <c r="BK40" s="223" t="e">
        <f t="shared" si="28"/>
        <v>#N/A</v>
      </c>
      <c r="BL40" s="181" t="e">
        <f>HLOOKUP($BL$3,VaR_Calculo_Historico!$C$2:$ET$103,B40+1,0)</f>
        <v>#N/A</v>
      </c>
      <c r="BM40" s="223" t="e">
        <f t="shared" si="29"/>
        <v>#N/A</v>
      </c>
      <c r="BN40" s="181" t="e">
        <f>HLOOKUP($BN$3,VaR_Calculo_Historico!$C$2:$EY$103,B40+1,0)</f>
        <v>#N/A</v>
      </c>
      <c r="BO40" s="223" t="e">
        <f t="shared" si="30"/>
        <v>#N/A</v>
      </c>
    </row>
    <row r="41" spans="2:67" x14ac:dyDescent="0.3">
      <c r="B41" s="166">
        <v>37</v>
      </c>
      <c r="C41" s="208">
        <f>VaR_Calculo_Historico!B38</f>
        <v>42362</v>
      </c>
      <c r="D41" s="181">
        <f>HLOOKUP($D$3,VaR_Calculo_Historico!$C$2:$ET$103,B41+1,0)</f>
        <v>3.3020984929999999</v>
      </c>
      <c r="E41" s="182">
        <f t="shared" si="0"/>
        <v>5.9647351488186482E-4</v>
      </c>
      <c r="F41" s="181">
        <f>HLOOKUP($F$3,VaR_Calculo_Historico!$C$2:$ET$103,B41+1,0)</f>
        <v>1.592174</v>
      </c>
      <c r="G41" s="182">
        <f t="shared" si="1"/>
        <v>5.308617707251033E-4</v>
      </c>
      <c r="H41" s="181">
        <f>HLOOKUP($H$3,VaR_Calculo_Historico!$C$2:$ET$103,B41+1,0)</f>
        <v>1.1056570100000001</v>
      </c>
      <c r="I41" s="182">
        <f t="shared" si="2"/>
        <v>7.2807658570583596E-4</v>
      </c>
      <c r="J41" s="181">
        <f>HLOOKUP($J$3,VaR_Calculo_Historico!$C$2:$ET$103,B41+1,0)</f>
        <v>1.8227530000000001</v>
      </c>
      <c r="K41" s="182">
        <f t="shared" si="31"/>
        <v>6.6734537873168259E-4</v>
      </c>
      <c r="L41" s="181">
        <f>HLOOKUP($L$3,VaR_Calculo_Historico!$C$2:$ET$103,B41+1,0)</f>
        <v>1.077591</v>
      </c>
      <c r="M41" s="182">
        <f t="shared" si="3"/>
        <v>7.0273973905156915E-4</v>
      </c>
      <c r="N41" s="181">
        <f>HLOOKUP($N$3,VaR_Calculo_Historico!$C$2:$ET$103,B41+1,0)</f>
        <v>2.5901019999999999</v>
      </c>
      <c r="O41" s="182">
        <f t="shared" si="4"/>
        <v>5.2250973460426587E-4</v>
      </c>
      <c r="P41" s="181">
        <f>HLOOKUP($P$3,VaR_Calculo_Historico!$C$2:$ET$103,B41+1,0)</f>
        <v>1.740632</v>
      </c>
      <c r="Q41" s="182">
        <f t="shared" si="5"/>
        <v>6.7412032870467736E-4</v>
      </c>
      <c r="R41" s="181">
        <f>HLOOKUP($R$3,VaR_Calculo_Historico!$C$2:$ET$103,B41+1,0)</f>
        <v>1.243824</v>
      </c>
      <c r="S41" s="182">
        <f t="shared" si="6"/>
        <v>5.910942774436642E-4</v>
      </c>
      <c r="T41" s="181" t="e">
        <f>HLOOKUP($T$3,VaR_Calculo_Historico!$C$2:$ET$103,B41+1,0)</f>
        <v>#N/A</v>
      </c>
      <c r="U41" s="182" t="e">
        <f t="shared" si="7"/>
        <v>#N/A</v>
      </c>
      <c r="V41" s="181" t="e">
        <f>HLOOKUP($V$3,VaR_Calculo_Historico!$C$2:$ET$103,B41+1,0)</f>
        <v>#N/A</v>
      </c>
      <c r="W41" s="182" t="e">
        <f t="shared" si="8"/>
        <v>#N/A</v>
      </c>
      <c r="X41" s="181" t="e">
        <f>HLOOKUP($X$3,VaR_Calculo_Historico!$C$2:$ET$103,B41+1,0)</f>
        <v>#N/A</v>
      </c>
      <c r="Y41" s="182" t="e">
        <f t="shared" si="9"/>
        <v>#N/A</v>
      </c>
      <c r="Z41" s="181" t="e">
        <f>HLOOKUP($Z$3,VaR_Calculo_Historico!$C$2:$ET$103,B41+1,0)</f>
        <v>#N/A</v>
      </c>
      <c r="AA41" s="182" t="e">
        <f t="shared" si="10"/>
        <v>#N/A</v>
      </c>
      <c r="AB41" s="181" t="e">
        <f>HLOOKUP($AB$3,VaR_Calculo_Historico!$C$2:$ET$103,B41+1,0)</f>
        <v>#N/A</v>
      </c>
      <c r="AC41" s="182" t="e">
        <f t="shared" si="11"/>
        <v>#N/A</v>
      </c>
      <c r="AD41" s="181" t="e">
        <f>HLOOKUP($AD$3,VaR_Calculo_Historico!$C$2:$ET$103,B41+1,0)</f>
        <v>#N/A</v>
      </c>
      <c r="AE41" s="182" t="e">
        <f t="shared" si="12"/>
        <v>#N/A</v>
      </c>
      <c r="AF41" s="181" t="e">
        <f>HLOOKUP($AF$3,VaR_Calculo_Historico!$C$2:$FZS$104,B41+1,0)</f>
        <v>#N/A</v>
      </c>
      <c r="AG41" s="182" t="e">
        <f t="shared" si="13"/>
        <v>#N/A</v>
      </c>
      <c r="AH41" s="181" t="e">
        <f>HLOOKUP($AH$3,VaR_Calculo_Historico!$C$2:$FS$104,B41+1,0)</f>
        <v>#N/A</v>
      </c>
      <c r="AI41" s="182" t="e">
        <f t="shared" si="14"/>
        <v>#N/A</v>
      </c>
      <c r="AJ41" s="181" t="e">
        <f>HLOOKUP($AJ$3,VaR_Calculo_Historico!$C$2:$ET$103,B41+1,0)</f>
        <v>#N/A</v>
      </c>
      <c r="AK41" s="182" t="e">
        <f t="shared" si="15"/>
        <v>#N/A</v>
      </c>
      <c r="AL41" s="181" t="e">
        <f>HLOOKUP($AL$3,VaR_Calculo_Historico!$C$2:$ET$103,B41+1,0)</f>
        <v>#N/A</v>
      </c>
      <c r="AM41" s="182" t="e">
        <f t="shared" si="16"/>
        <v>#N/A</v>
      </c>
      <c r="AN41" s="181" t="e">
        <f>HLOOKUP($AN$3,VaR_Calculo_Historico!$C$2:$ET$103,B41+1,0)</f>
        <v>#N/A</v>
      </c>
      <c r="AO41" s="182" t="e">
        <f t="shared" si="17"/>
        <v>#N/A</v>
      </c>
      <c r="AP41" s="181" t="e">
        <f>HLOOKUP($AP$3,VaR_Calculo_Historico!$C$2:$ET$103,B41+1,0)</f>
        <v>#N/A</v>
      </c>
      <c r="AQ41" s="182" t="e">
        <f t="shared" si="18"/>
        <v>#N/A</v>
      </c>
      <c r="AR41" s="181" t="e">
        <f>HLOOKUP($AR$3,VaR_Calculo_Historico!$C$2:$ET$103,B41+1,0)</f>
        <v>#N/A</v>
      </c>
      <c r="AS41" s="182" t="e">
        <f t="shared" si="19"/>
        <v>#N/A</v>
      </c>
      <c r="AT41" s="181" t="e">
        <f>HLOOKUP($AT$3,VaR_Calculo_Historico!$C$2:$ET$103,B41+1,0)</f>
        <v>#N/A</v>
      </c>
      <c r="AU41" s="182" t="e">
        <f t="shared" si="20"/>
        <v>#N/A</v>
      </c>
      <c r="AV41" s="181" t="e">
        <f>HLOOKUP($AV$3,VaR_Calculo_Historico!$C$2:$ET$103,B41+1,0)</f>
        <v>#N/A</v>
      </c>
      <c r="AW41" s="223" t="e">
        <f t="shared" si="21"/>
        <v>#N/A</v>
      </c>
      <c r="AX41" s="181" t="e">
        <f>HLOOKUP($AX$3,VaR_Calculo_Historico!$C$2:$ET$103,B41+1,0)</f>
        <v>#N/A</v>
      </c>
      <c r="AY41" s="182" t="e">
        <f t="shared" si="22"/>
        <v>#N/A</v>
      </c>
      <c r="AZ41" s="181" t="e">
        <f>HLOOKUP($AZ$3,VaR_Calculo_Historico!$C$2:$ET$103,B41+1,0)</f>
        <v>#N/A</v>
      </c>
      <c r="BA41" s="182" t="e">
        <f t="shared" si="23"/>
        <v>#N/A</v>
      </c>
      <c r="BB41" s="181" t="e">
        <f>HLOOKUP($BB$3,VaR_Calculo_Historico!$C$2:$ET$103,B41+1,0)</f>
        <v>#N/A</v>
      </c>
      <c r="BC41" s="182" t="e">
        <f t="shared" si="24"/>
        <v>#N/A</v>
      </c>
      <c r="BD41" s="181" t="e">
        <f>HLOOKUP($BD$3,VaR_Calculo_Historico!$C$2:$ET$103,B41+1,0)</f>
        <v>#N/A</v>
      </c>
      <c r="BE41" s="182" t="e">
        <f t="shared" si="25"/>
        <v>#N/A</v>
      </c>
      <c r="BF41" s="181" t="e">
        <f>HLOOKUP($BF$3,VaR_Calculo_Historico!$C$2:$ET$103,B41+1,0)</f>
        <v>#N/A</v>
      </c>
      <c r="BG41" s="182" t="e">
        <f t="shared" si="26"/>
        <v>#N/A</v>
      </c>
      <c r="BH41" s="181" t="e">
        <f>HLOOKUP($BH$3,VaR_Calculo_Historico!$C$2:$ET$103,B41+1,0)</f>
        <v>#N/A</v>
      </c>
      <c r="BI41" s="223" t="e">
        <f t="shared" si="27"/>
        <v>#N/A</v>
      </c>
      <c r="BJ41" s="181" t="e">
        <f>HLOOKUP($BJ$3,VaR_Calculo_Historico!$C$2:$ET$103,B41+1,0)</f>
        <v>#N/A</v>
      </c>
      <c r="BK41" s="223" t="e">
        <f t="shared" si="28"/>
        <v>#N/A</v>
      </c>
      <c r="BL41" s="181" t="e">
        <f>HLOOKUP($BL$3,VaR_Calculo_Historico!$C$2:$ET$103,B41+1,0)</f>
        <v>#N/A</v>
      </c>
      <c r="BM41" s="223" t="e">
        <f t="shared" si="29"/>
        <v>#N/A</v>
      </c>
      <c r="BN41" s="181" t="e">
        <f>HLOOKUP($BN$3,VaR_Calculo_Historico!$C$2:$EY$103,B41+1,0)</f>
        <v>#N/A</v>
      </c>
      <c r="BO41" s="223" t="e">
        <f t="shared" si="30"/>
        <v>#N/A</v>
      </c>
    </row>
    <row r="42" spans="2:67" x14ac:dyDescent="0.3">
      <c r="B42" s="166">
        <v>38</v>
      </c>
      <c r="C42" s="208">
        <f>VaR_Calculo_Historico!B39</f>
        <v>42366</v>
      </c>
      <c r="D42" s="181">
        <f>HLOOKUP($D$3,VaR_Calculo_Historico!$C$2:$ET$103,B42+1,0)</f>
        <v>3.3022213460000001</v>
      </c>
      <c r="E42" s="182">
        <f t="shared" si="0"/>
        <v>3.7203831131552798E-5</v>
      </c>
      <c r="F42" s="181">
        <f>HLOOKUP($F$3,VaR_Calculo_Historico!$C$2:$ET$103,B42+1,0)</f>
        <v>1.5930420000000001</v>
      </c>
      <c r="G42" s="182">
        <f t="shared" si="1"/>
        <v>5.4501799657314439E-4</v>
      </c>
      <c r="H42" s="181">
        <f>HLOOKUP($H$3,VaR_Calculo_Historico!$C$2:$ET$103,B42+1,0)</f>
        <v>1.106545372</v>
      </c>
      <c r="I42" s="182">
        <f t="shared" si="2"/>
        <v>8.0314717584720587E-4</v>
      </c>
      <c r="J42" s="181">
        <f>HLOOKUP($J$3,VaR_Calculo_Historico!$C$2:$ET$103,B42+1,0)</f>
        <v>1.823542</v>
      </c>
      <c r="K42" s="182">
        <f t="shared" si="31"/>
        <v>4.327680630963755E-4</v>
      </c>
      <c r="L42" s="181">
        <f>HLOOKUP($L$3,VaR_Calculo_Historico!$C$2:$ET$103,B42+1,0)</f>
        <v>1.0782830000000001</v>
      </c>
      <c r="M42" s="182">
        <f t="shared" si="3"/>
        <v>6.4196703867271771E-4</v>
      </c>
      <c r="N42" s="181">
        <f>HLOOKUP($N$3,VaR_Calculo_Historico!$C$2:$ET$103,B42+1,0)</f>
        <v>2.5915140000000001</v>
      </c>
      <c r="O42" s="182">
        <f t="shared" si="4"/>
        <v>5.4500373433716384E-4</v>
      </c>
      <c r="P42" s="181">
        <f>HLOOKUP($P$3,VaR_Calculo_Historico!$C$2:$ET$103,B42+1,0)</f>
        <v>1.7413829999999999</v>
      </c>
      <c r="Q42" s="182">
        <f t="shared" si="5"/>
        <v>4.3135943506549066E-4</v>
      </c>
      <c r="R42" s="181">
        <f>HLOOKUP($R$3,VaR_Calculo_Historico!$C$2:$ET$103,B42+1,0)</f>
        <v>1.243514</v>
      </c>
      <c r="S42" s="182">
        <f t="shared" si="6"/>
        <v>-2.4926246582094669E-4</v>
      </c>
      <c r="T42" s="181" t="e">
        <f>HLOOKUP($T$3,VaR_Calculo_Historico!$C$2:$ET$103,B42+1,0)</f>
        <v>#N/A</v>
      </c>
      <c r="U42" s="182" t="e">
        <f t="shared" si="7"/>
        <v>#N/A</v>
      </c>
      <c r="V42" s="181" t="e">
        <f>HLOOKUP($V$3,VaR_Calculo_Historico!$C$2:$ET$103,B42+1,0)</f>
        <v>#N/A</v>
      </c>
      <c r="W42" s="182" t="e">
        <f t="shared" si="8"/>
        <v>#N/A</v>
      </c>
      <c r="X42" s="181" t="e">
        <f>HLOOKUP($X$3,VaR_Calculo_Historico!$C$2:$ET$103,B42+1,0)</f>
        <v>#N/A</v>
      </c>
      <c r="Y42" s="182" t="e">
        <f t="shared" si="9"/>
        <v>#N/A</v>
      </c>
      <c r="Z42" s="181" t="e">
        <f>HLOOKUP($Z$3,VaR_Calculo_Historico!$C$2:$ET$103,B42+1,0)</f>
        <v>#N/A</v>
      </c>
      <c r="AA42" s="182" t="e">
        <f t="shared" si="10"/>
        <v>#N/A</v>
      </c>
      <c r="AB42" s="181" t="e">
        <f>HLOOKUP($AB$3,VaR_Calculo_Historico!$C$2:$ET$103,B42+1,0)</f>
        <v>#N/A</v>
      </c>
      <c r="AC42" s="182" t="e">
        <f t="shared" si="11"/>
        <v>#N/A</v>
      </c>
      <c r="AD42" s="181" t="e">
        <f>HLOOKUP($AD$3,VaR_Calculo_Historico!$C$2:$ET$103,B42+1,0)</f>
        <v>#N/A</v>
      </c>
      <c r="AE42" s="182" t="e">
        <f t="shared" si="12"/>
        <v>#N/A</v>
      </c>
      <c r="AF42" s="181" t="e">
        <f>HLOOKUP($AF$3,VaR_Calculo_Historico!$C$2:$FZS$104,B42+1,0)</f>
        <v>#N/A</v>
      </c>
      <c r="AG42" s="182" t="e">
        <f t="shared" si="13"/>
        <v>#N/A</v>
      </c>
      <c r="AH42" s="181" t="e">
        <f>HLOOKUP($AH$3,VaR_Calculo_Historico!$C$2:$FS$104,B42+1,0)</f>
        <v>#N/A</v>
      </c>
      <c r="AI42" s="182" t="e">
        <f t="shared" si="14"/>
        <v>#N/A</v>
      </c>
      <c r="AJ42" s="181" t="e">
        <f>HLOOKUP($AJ$3,VaR_Calculo_Historico!$C$2:$ET$103,B42+1,0)</f>
        <v>#N/A</v>
      </c>
      <c r="AK42" s="182" t="e">
        <f t="shared" si="15"/>
        <v>#N/A</v>
      </c>
      <c r="AL42" s="181" t="e">
        <f>HLOOKUP($AL$3,VaR_Calculo_Historico!$C$2:$ET$103,B42+1,0)</f>
        <v>#N/A</v>
      </c>
      <c r="AM42" s="182" t="e">
        <f t="shared" si="16"/>
        <v>#N/A</v>
      </c>
      <c r="AN42" s="181" t="e">
        <f>HLOOKUP($AN$3,VaR_Calculo_Historico!$C$2:$ET$103,B42+1,0)</f>
        <v>#N/A</v>
      </c>
      <c r="AO42" s="182" t="e">
        <f t="shared" si="17"/>
        <v>#N/A</v>
      </c>
      <c r="AP42" s="181" t="e">
        <f>HLOOKUP($AP$3,VaR_Calculo_Historico!$C$2:$ET$103,B42+1,0)</f>
        <v>#N/A</v>
      </c>
      <c r="AQ42" s="182" t="e">
        <f t="shared" si="18"/>
        <v>#N/A</v>
      </c>
      <c r="AR42" s="181" t="e">
        <f>HLOOKUP($AR$3,VaR_Calculo_Historico!$C$2:$ET$103,B42+1,0)</f>
        <v>#N/A</v>
      </c>
      <c r="AS42" s="182" t="e">
        <f t="shared" si="19"/>
        <v>#N/A</v>
      </c>
      <c r="AT42" s="181" t="e">
        <f>HLOOKUP($AT$3,VaR_Calculo_Historico!$C$2:$ET$103,B42+1,0)</f>
        <v>#N/A</v>
      </c>
      <c r="AU42" s="182" t="e">
        <f t="shared" si="20"/>
        <v>#N/A</v>
      </c>
      <c r="AV42" s="181" t="e">
        <f>HLOOKUP($AV$3,VaR_Calculo_Historico!$C$2:$ET$103,B42+1,0)</f>
        <v>#N/A</v>
      </c>
      <c r="AW42" s="223" t="e">
        <f t="shared" si="21"/>
        <v>#N/A</v>
      </c>
      <c r="AX42" s="181" t="e">
        <f>HLOOKUP($AX$3,VaR_Calculo_Historico!$C$2:$ET$103,B42+1,0)</f>
        <v>#N/A</v>
      </c>
      <c r="AY42" s="182" t="e">
        <f t="shared" si="22"/>
        <v>#N/A</v>
      </c>
      <c r="AZ42" s="181" t="e">
        <f>HLOOKUP($AZ$3,VaR_Calculo_Historico!$C$2:$ET$103,B42+1,0)</f>
        <v>#N/A</v>
      </c>
      <c r="BA42" s="182" t="e">
        <f t="shared" si="23"/>
        <v>#N/A</v>
      </c>
      <c r="BB42" s="181" t="e">
        <f>HLOOKUP($BB$3,VaR_Calculo_Historico!$C$2:$ET$103,B42+1,0)</f>
        <v>#N/A</v>
      </c>
      <c r="BC42" s="182" t="e">
        <f t="shared" si="24"/>
        <v>#N/A</v>
      </c>
      <c r="BD42" s="181" t="e">
        <f>HLOOKUP($BD$3,VaR_Calculo_Historico!$C$2:$ET$103,B42+1,0)</f>
        <v>#N/A</v>
      </c>
      <c r="BE42" s="182" t="e">
        <f t="shared" si="25"/>
        <v>#N/A</v>
      </c>
      <c r="BF42" s="181" t="e">
        <f>HLOOKUP($BF$3,VaR_Calculo_Historico!$C$2:$ET$103,B42+1,0)</f>
        <v>#N/A</v>
      </c>
      <c r="BG42" s="182" t="e">
        <f t="shared" si="26"/>
        <v>#N/A</v>
      </c>
      <c r="BH42" s="181" t="e">
        <f>HLOOKUP($BH$3,VaR_Calculo_Historico!$C$2:$ET$103,B42+1,0)</f>
        <v>#N/A</v>
      </c>
      <c r="BI42" s="223" t="e">
        <f t="shared" si="27"/>
        <v>#N/A</v>
      </c>
      <c r="BJ42" s="181" t="e">
        <f>HLOOKUP($BJ$3,VaR_Calculo_Historico!$C$2:$ET$103,B42+1,0)</f>
        <v>#N/A</v>
      </c>
      <c r="BK42" s="223" t="e">
        <f t="shared" si="28"/>
        <v>#N/A</v>
      </c>
      <c r="BL42" s="181" t="e">
        <f>HLOOKUP($BL$3,VaR_Calculo_Historico!$C$2:$ET$103,B42+1,0)</f>
        <v>#N/A</v>
      </c>
      <c r="BM42" s="223" t="e">
        <f t="shared" si="29"/>
        <v>#N/A</v>
      </c>
      <c r="BN42" s="181" t="e">
        <f>HLOOKUP($BN$3,VaR_Calculo_Historico!$C$2:$EY$103,B42+1,0)</f>
        <v>#N/A</v>
      </c>
      <c r="BO42" s="223" t="e">
        <f t="shared" si="30"/>
        <v>#N/A</v>
      </c>
    </row>
    <row r="43" spans="2:67" x14ac:dyDescent="0.3">
      <c r="B43" s="166">
        <v>39</v>
      </c>
      <c r="C43" s="208">
        <f>VaR_Calculo_Historico!B40</f>
        <v>42367</v>
      </c>
      <c r="D43" s="181">
        <f>HLOOKUP($D$3,VaR_Calculo_Historico!$C$2:$ET$103,B43+1,0)</f>
        <v>3.3011996319999999</v>
      </c>
      <c r="E43" s="182">
        <f t="shared" si="0"/>
        <v>-3.0944990833008367E-4</v>
      </c>
      <c r="F43" s="181">
        <f>HLOOKUP($F$3,VaR_Calculo_Historico!$C$2:$ET$103,B43+1,0)</f>
        <v>1.5938889999999999</v>
      </c>
      <c r="G43" s="182">
        <f t="shared" si="1"/>
        <v>5.3154587905570954E-4</v>
      </c>
      <c r="H43" s="181">
        <f>HLOOKUP($H$3,VaR_Calculo_Historico!$C$2:$ET$103,B43+1,0)</f>
        <v>1.1071280670000001</v>
      </c>
      <c r="I43" s="182">
        <f t="shared" si="2"/>
        <v>5.2645074308809261E-4</v>
      </c>
      <c r="J43" s="181">
        <f>HLOOKUP($J$3,VaR_Calculo_Historico!$C$2:$ET$103,B43+1,0)</f>
        <v>1.8244009999999999</v>
      </c>
      <c r="K43" s="182">
        <f t="shared" si="31"/>
        <v>4.7095034975961188E-4</v>
      </c>
      <c r="L43" s="181">
        <f>HLOOKUP($L$3,VaR_Calculo_Historico!$C$2:$ET$103,B43+1,0)</f>
        <v>1.0789230000000001</v>
      </c>
      <c r="M43" s="182">
        <f t="shared" si="3"/>
        <v>5.9336013229824834E-4</v>
      </c>
      <c r="N43" s="181">
        <f>HLOOKUP($N$3,VaR_Calculo_Historico!$C$2:$ET$103,B43+1,0)</f>
        <v>2.5928779999999998</v>
      </c>
      <c r="O43" s="182">
        <f t="shared" si="4"/>
        <v>5.2619479062217104E-4</v>
      </c>
      <c r="P43" s="181">
        <f>HLOOKUP($P$3,VaR_Calculo_Historico!$C$2:$ET$103,B43+1,0)</f>
        <v>1.7421949999999999</v>
      </c>
      <c r="Q43" s="182">
        <f t="shared" si="5"/>
        <v>4.6618735949426808E-4</v>
      </c>
      <c r="R43" s="181">
        <f>HLOOKUP($R$3,VaR_Calculo_Historico!$C$2:$ET$103,B43+1,0)</f>
        <v>1.2425759999999999</v>
      </c>
      <c r="S43" s="182">
        <f t="shared" si="6"/>
        <v>-7.5459862234251887E-4</v>
      </c>
      <c r="T43" s="181" t="e">
        <f>HLOOKUP($T$3,VaR_Calculo_Historico!$C$2:$ET$103,B43+1,0)</f>
        <v>#N/A</v>
      </c>
      <c r="U43" s="182" t="e">
        <f t="shared" si="7"/>
        <v>#N/A</v>
      </c>
      <c r="V43" s="181" t="e">
        <f>HLOOKUP($V$3,VaR_Calculo_Historico!$C$2:$ET$103,B43+1,0)</f>
        <v>#N/A</v>
      </c>
      <c r="W43" s="182" t="e">
        <f t="shared" si="8"/>
        <v>#N/A</v>
      </c>
      <c r="X43" s="181" t="e">
        <f>HLOOKUP($X$3,VaR_Calculo_Historico!$C$2:$ET$103,B43+1,0)</f>
        <v>#N/A</v>
      </c>
      <c r="Y43" s="182" t="e">
        <f t="shared" si="9"/>
        <v>#N/A</v>
      </c>
      <c r="Z43" s="181" t="e">
        <f>HLOOKUP($Z$3,VaR_Calculo_Historico!$C$2:$ET$103,B43+1,0)</f>
        <v>#N/A</v>
      </c>
      <c r="AA43" s="182" t="e">
        <f t="shared" si="10"/>
        <v>#N/A</v>
      </c>
      <c r="AB43" s="181" t="e">
        <f>HLOOKUP($AB$3,VaR_Calculo_Historico!$C$2:$ET$103,B43+1,0)</f>
        <v>#N/A</v>
      </c>
      <c r="AC43" s="182" t="e">
        <f t="shared" si="11"/>
        <v>#N/A</v>
      </c>
      <c r="AD43" s="181" t="e">
        <f>HLOOKUP($AD$3,VaR_Calculo_Historico!$C$2:$ET$103,B43+1,0)</f>
        <v>#N/A</v>
      </c>
      <c r="AE43" s="182" t="e">
        <f t="shared" si="12"/>
        <v>#N/A</v>
      </c>
      <c r="AF43" s="181" t="e">
        <f>HLOOKUP($AF$3,VaR_Calculo_Historico!$C$2:$FZS$104,B43+1,0)</f>
        <v>#N/A</v>
      </c>
      <c r="AG43" s="182" t="e">
        <f t="shared" si="13"/>
        <v>#N/A</v>
      </c>
      <c r="AH43" s="181" t="e">
        <f>HLOOKUP($AH$3,VaR_Calculo_Historico!$C$2:$FS$104,B43+1,0)</f>
        <v>#N/A</v>
      </c>
      <c r="AI43" s="182" t="e">
        <f t="shared" si="14"/>
        <v>#N/A</v>
      </c>
      <c r="AJ43" s="181" t="e">
        <f>HLOOKUP($AJ$3,VaR_Calculo_Historico!$C$2:$ET$103,B43+1,0)</f>
        <v>#N/A</v>
      </c>
      <c r="AK43" s="182" t="e">
        <f t="shared" si="15"/>
        <v>#N/A</v>
      </c>
      <c r="AL43" s="181" t="e">
        <f>HLOOKUP($AL$3,VaR_Calculo_Historico!$C$2:$ET$103,B43+1,0)</f>
        <v>#N/A</v>
      </c>
      <c r="AM43" s="182" t="e">
        <f t="shared" si="16"/>
        <v>#N/A</v>
      </c>
      <c r="AN43" s="181" t="e">
        <f>HLOOKUP($AN$3,VaR_Calculo_Historico!$C$2:$ET$103,B43+1,0)</f>
        <v>#N/A</v>
      </c>
      <c r="AO43" s="182" t="e">
        <f t="shared" si="17"/>
        <v>#N/A</v>
      </c>
      <c r="AP43" s="181" t="e">
        <f>HLOOKUP($AP$3,VaR_Calculo_Historico!$C$2:$ET$103,B43+1,0)</f>
        <v>#N/A</v>
      </c>
      <c r="AQ43" s="182" t="e">
        <f t="shared" si="18"/>
        <v>#N/A</v>
      </c>
      <c r="AR43" s="181" t="e">
        <f>HLOOKUP($AR$3,VaR_Calculo_Historico!$C$2:$ET$103,B43+1,0)</f>
        <v>#N/A</v>
      </c>
      <c r="AS43" s="182" t="e">
        <f t="shared" si="19"/>
        <v>#N/A</v>
      </c>
      <c r="AT43" s="181" t="e">
        <f>HLOOKUP($AT$3,VaR_Calculo_Historico!$C$2:$ET$103,B43+1,0)</f>
        <v>#N/A</v>
      </c>
      <c r="AU43" s="182" t="e">
        <f t="shared" si="20"/>
        <v>#N/A</v>
      </c>
      <c r="AV43" s="181" t="e">
        <f>HLOOKUP($AV$3,VaR_Calculo_Historico!$C$2:$ET$103,B43+1,0)</f>
        <v>#N/A</v>
      </c>
      <c r="AW43" s="223" t="e">
        <f t="shared" si="21"/>
        <v>#N/A</v>
      </c>
      <c r="AX43" s="181" t="e">
        <f>HLOOKUP($AX$3,VaR_Calculo_Historico!$C$2:$ET$103,B43+1,0)</f>
        <v>#N/A</v>
      </c>
      <c r="AY43" s="182" t="e">
        <f t="shared" si="22"/>
        <v>#N/A</v>
      </c>
      <c r="AZ43" s="181" t="e">
        <f>HLOOKUP($AZ$3,VaR_Calculo_Historico!$C$2:$ET$103,B43+1,0)</f>
        <v>#N/A</v>
      </c>
      <c r="BA43" s="182" t="e">
        <f t="shared" si="23"/>
        <v>#N/A</v>
      </c>
      <c r="BB43" s="181" t="e">
        <f>HLOOKUP($BB$3,VaR_Calculo_Historico!$C$2:$ET$103,B43+1,0)</f>
        <v>#N/A</v>
      </c>
      <c r="BC43" s="182" t="e">
        <f t="shared" si="24"/>
        <v>#N/A</v>
      </c>
      <c r="BD43" s="181" t="e">
        <f>HLOOKUP($BD$3,VaR_Calculo_Historico!$C$2:$ET$103,B43+1,0)</f>
        <v>#N/A</v>
      </c>
      <c r="BE43" s="182" t="e">
        <f t="shared" si="25"/>
        <v>#N/A</v>
      </c>
      <c r="BF43" s="181" t="e">
        <f>HLOOKUP($BF$3,VaR_Calculo_Historico!$C$2:$ET$103,B43+1,0)</f>
        <v>#N/A</v>
      </c>
      <c r="BG43" s="182" t="e">
        <f t="shared" si="26"/>
        <v>#N/A</v>
      </c>
      <c r="BH43" s="181" t="e">
        <f>HLOOKUP($BH$3,VaR_Calculo_Historico!$C$2:$ET$103,B43+1,0)</f>
        <v>#N/A</v>
      </c>
      <c r="BI43" s="223" t="e">
        <f t="shared" si="27"/>
        <v>#N/A</v>
      </c>
      <c r="BJ43" s="181" t="e">
        <f>HLOOKUP($BJ$3,VaR_Calculo_Historico!$C$2:$ET$103,B43+1,0)</f>
        <v>#N/A</v>
      </c>
      <c r="BK43" s="223" t="e">
        <f t="shared" si="28"/>
        <v>#N/A</v>
      </c>
      <c r="BL43" s="181" t="e">
        <f>HLOOKUP($BL$3,VaR_Calculo_Historico!$C$2:$ET$103,B43+1,0)</f>
        <v>#N/A</v>
      </c>
      <c r="BM43" s="223" t="e">
        <f t="shared" si="29"/>
        <v>#N/A</v>
      </c>
      <c r="BN43" s="181" t="e">
        <f>HLOOKUP($BN$3,VaR_Calculo_Historico!$C$2:$EY$103,B43+1,0)</f>
        <v>#N/A</v>
      </c>
      <c r="BO43" s="223" t="e">
        <f t="shared" si="30"/>
        <v>#N/A</v>
      </c>
    </row>
    <row r="44" spans="2:67" x14ac:dyDescent="0.3">
      <c r="B44" s="166">
        <v>40</v>
      </c>
      <c r="C44" s="208">
        <f>VaR_Calculo_Historico!B41</f>
        <v>42368</v>
      </c>
      <c r="D44" s="181">
        <f>HLOOKUP($D$3,VaR_Calculo_Historico!$C$2:$ET$103,B44+1,0)</f>
        <v>3.3030281449999999</v>
      </c>
      <c r="E44" s="182">
        <f t="shared" si="0"/>
        <v>5.5374015205560416E-4</v>
      </c>
      <c r="F44" s="181">
        <f>HLOOKUP($F$3,VaR_Calculo_Historico!$C$2:$ET$103,B44+1,0)</f>
        <v>1.5947340000000001</v>
      </c>
      <c r="G44" s="182">
        <f t="shared" si="1"/>
        <v>5.3000936127031207E-4</v>
      </c>
      <c r="H44" s="181">
        <f>HLOOKUP($H$3,VaR_Calculo_Historico!$C$2:$ET$103,B44+1,0)</f>
        <v>1.107913393</v>
      </c>
      <c r="I44" s="182">
        <f t="shared" si="2"/>
        <v>7.0908472557900109E-4</v>
      </c>
      <c r="J44" s="181">
        <f>HLOOKUP($J$3,VaR_Calculo_Historico!$C$2:$ET$103,B44+1,0)</f>
        <v>1.82534</v>
      </c>
      <c r="K44" s="182">
        <f t="shared" si="31"/>
        <v>5.1455707170358557E-4</v>
      </c>
      <c r="L44" s="181">
        <f>HLOOKUP($L$3,VaR_Calculo_Historico!$C$2:$ET$103,B44+1,0)</f>
        <v>1.0796840000000001</v>
      </c>
      <c r="M44" s="182">
        <f t="shared" si="3"/>
        <v>7.0508437295640776E-4</v>
      </c>
      <c r="N44" s="181">
        <f>HLOOKUP($N$3,VaR_Calculo_Historico!$C$2:$ET$103,B44+1,0)</f>
        <v>2.5942400000000001</v>
      </c>
      <c r="O44" s="182">
        <f t="shared" si="4"/>
        <v>5.2514711687727989E-4</v>
      </c>
      <c r="P44" s="181">
        <f>HLOOKUP($P$3,VaR_Calculo_Historico!$C$2:$ET$103,B44+1,0)</f>
        <v>1.743107</v>
      </c>
      <c r="Q44" s="182">
        <f t="shared" si="5"/>
        <v>5.2334060050772608E-4</v>
      </c>
      <c r="R44" s="181">
        <f>HLOOKUP($R$3,VaR_Calculo_Historico!$C$2:$ET$103,B44+1,0)</f>
        <v>1.243242</v>
      </c>
      <c r="S44" s="182">
        <f t="shared" si="6"/>
        <v>5.3583972433664565E-4</v>
      </c>
      <c r="T44" s="181" t="e">
        <f>HLOOKUP($T$3,VaR_Calculo_Historico!$C$2:$ET$103,B44+1,0)</f>
        <v>#N/A</v>
      </c>
      <c r="U44" s="182" t="e">
        <f t="shared" si="7"/>
        <v>#N/A</v>
      </c>
      <c r="V44" s="181" t="e">
        <f>HLOOKUP($V$3,VaR_Calculo_Historico!$C$2:$ET$103,B44+1,0)</f>
        <v>#N/A</v>
      </c>
      <c r="W44" s="182" t="e">
        <f t="shared" si="8"/>
        <v>#N/A</v>
      </c>
      <c r="X44" s="181" t="e">
        <f>HLOOKUP($X$3,VaR_Calculo_Historico!$C$2:$ET$103,B44+1,0)</f>
        <v>#N/A</v>
      </c>
      <c r="Y44" s="182" t="e">
        <f t="shared" si="9"/>
        <v>#N/A</v>
      </c>
      <c r="Z44" s="181" t="e">
        <f>HLOOKUP($Z$3,VaR_Calculo_Historico!$C$2:$ET$103,B44+1,0)</f>
        <v>#N/A</v>
      </c>
      <c r="AA44" s="182" t="e">
        <f t="shared" si="10"/>
        <v>#N/A</v>
      </c>
      <c r="AB44" s="181" t="e">
        <f>HLOOKUP($AB$3,VaR_Calculo_Historico!$C$2:$ET$103,B44+1,0)</f>
        <v>#N/A</v>
      </c>
      <c r="AC44" s="182" t="e">
        <f t="shared" si="11"/>
        <v>#N/A</v>
      </c>
      <c r="AD44" s="181" t="e">
        <f>HLOOKUP($AD$3,VaR_Calculo_Historico!$C$2:$ET$103,B44+1,0)</f>
        <v>#N/A</v>
      </c>
      <c r="AE44" s="182" t="e">
        <f t="shared" si="12"/>
        <v>#N/A</v>
      </c>
      <c r="AF44" s="181" t="e">
        <f>HLOOKUP($AF$3,VaR_Calculo_Historico!$C$2:$FZS$104,B44+1,0)</f>
        <v>#N/A</v>
      </c>
      <c r="AG44" s="182" t="e">
        <f t="shared" si="13"/>
        <v>#N/A</v>
      </c>
      <c r="AH44" s="181" t="e">
        <f>HLOOKUP($AH$3,VaR_Calculo_Historico!$C$2:$FS$104,B44+1,0)</f>
        <v>#N/A</v>
      </c>
      <c r="AI44" s="182" t="e">
        <f t="shared" si="14"/>
        <v>#N/A</v>
      </c>
      <c r="AJ44" s="181" t="e">
        <f>HLOOKUP($AJ$3,VaR_Calculo_Historico!$C$2:$ET$103,B44+1,0)</f>
        <v>#N/A</v>
      </c>
      <c r="AK44" s="182" t="e">
        <f t="shared" si="15"/>
        <v>#N/A</v>
      </c>
      <c r="AL44" s="181" t="e">
        <f>HLOOKUP($AL$3,VaR_Calculo_Historico!$C$2:$ET$103,B44+1,0)</f>
        <v>#N/A</v>
      </c>
      <c r="AM44" s="182" t="e">
        <f t="shared" si="16"/>
        <v>#N/A</v>
      </c>
      <c r="AN44" s="181" t="e">
        <f>HLOOKUP($AN$3,VaR_Calculo_Historico!$C$2:$ET$103,B44+1,0)</f>
        <v>#N/A</v>
      </c>
      <c r="AO44" s="182" t="e">
        <f t="shared" si="17"/>
        <v>#N/A</v>
      </c>
      <c r="AP44" s="181" t="e">
        <f>HLOOKUP($AP$3,VaR_Calculo_Historico!$C$2:$ET$103,B44+1,0)</f>
        <v>#N/A</v>
      </c>
      <c r="AQ44" s="182" t="e">
        <f t="shared" si="18"/>
        <v>#N/A</v>
      </c>
      <c r="AR44" s="181" t="e">
        <f>HLOOKUP($AR$3,VaR_Calculo_Historico!$C$2:$ET$103,B44+1,0)</f>
        <v>#N/A</v>
      </c>
      <c r="AS44" s="182" t="e">
        <f t="shared" si="19"/>
        <v>#N/A</v>
      </c>
      <c r="AT44" s="181" t="e">
        <f>HLOOKUP($AT$3,VaR_Calculo_Historico!$C$2:$ET$103,B44+1,0)</f>
        <v>#N/A</v>
      </c>
      <c r="AU44" s="182" t="e">
        <f t="shared" si="20"/>
        <v>#N/A</v>
      </c>
      <c r="AV44" s="181" t="e">
        <f>HLOOKUP($AV$3,VaR_Calculo_Historico!$C$2:$ET$103,B44+1,0)</f>
        <v>#N/A</v>
      </c>
      <c r="AW44" s="223" t="e">
        <f t="shared" si="21"/>
        <v>#N/A</v>
      </c>
      <c r="AX44" s="181" t="e">
        <f>HLOOKUP($AX$3,VaR_Calculo_Historico!$C$2:$ET$103,B44+1,0)</f>
        <v>#N/A</v>
      </c>
      <c r="AY44" s="182" t="e">
        <f t="shared" si="22"/>
        <v>#N/A</v>
      </c>
      <c r="AZ44" s="181" t="e">
        <f>HLOOKUP($AZ$3,VaR_Calculo_Historico!$C$2:$ET$103,B44+1,0)</f>
        <v>#N/A</v>
      </c>
      <c r="BA44" s="182" t="e">
        <f t="shared" si="23"/>
        <v>#N/A</v>
      </c>
      <c r="BB44" s="181" t="e">
        <f>HLOOKUP($BB$3,VaR_Calculo_Historico!$C$2:$ET$103,B44+1,0)</f>
        <v>#N/A</v>
      </c>
      <c r="BC44" s="182" t="e">
        <f t="shared" si="24"/>
        <v>#N/A</v>
      </c>
      <c r="BD44" s="181" t="e">
        <f>HLOOKUP($BD$3,VaR_Calculo_Historico!$C$2:$ET$103,B44+1,0)</f>
        <v>#N/A</v>
      </c>
      <c r="BE44" s="182" t="e">
        <f t="shared" si="25"/>
        <v>#N/A</v>
      </c>
      <c r="BF44" s="181" t="e">
        <f>HLOOKUP($BF$3,VaR_Calculo_Historico!$C$2:$ET$103,B44+1,0)</f>
        <v>#N/A</v>
      </c>
      <c r="BG44" s="182" t="e">
        <f t="shared" si="26"/>
        <v>#N/A</v>
      </c>
      <c r="BH44" s="181" t="e">
        <f>HLOOKUP($BH$3,VaR_Calculo_Historico!$C$2:$ET$103,B44+1,0)</f>
        <v>#N/A</v>
      </c>
      <c r="BI44" s="223" t="e">
        <f t="shared" si="27"/>
        <v>#N/A</v>
      </c>
      <c r="BJ44" s="181" t="e">
        <f>HLOOKUP($BJ$3,VaR_Calculo_Historico!$C$2:$ET$103,B44+1,0)</f>
        <v>#N/A</v>
      </c>
      <c r="BK44" s="223" t="e">
        <f t="shared" si="28"/>
        <v>#N/A</v>
      </c>
      <c r="BL44" s="181" t="e">
        <f>HLOOKUP($BL$3,VaR_Calculo_Historico!$C$2:$ET$103,B44+1,0)</f>
        <v>#N/A</v>
      </c>
      <c r="BM44" s="223" t="e">
        <f t="shared" si="29"/>
        <v>#N/A</v>
      </c>
      <c r="BN44" s="181" t="e">
        <f>HLOOKUP($BN$3,VaR_Calculo_Historico!$C$2:$EY$103,B44+1,0)</f>
        <v>#N/A</v>
      </c>
      <c r="BO44" s="223" t="e">
        <f t="shared" si="30"/>
        <v>#N/A</v>
      </c>
    </row>
    <row r="45" spans="2:67" x14ac:dyDescent="0.3">
      <c r="B45" s="166">
        <v>41</v>
      </c>
      <c r="C45" s="208">
        <f>VaR_Calculo_Historico!B42</f>
        <v>42369</v>
      </c>
      <c r="D45" s="181">
        <f>HLOOKUP($D$3,VaR_Calculo_Historico!$C$2:$ET$103,B45+1,0)</f>
        <v>3.307716154</v>
      </c>
      <c r="E45" s="182">
        <f t="shared" si="0"/>
        <v>1.4183001410495413E-3</v>
      </c>
      <c r="F45" s="181">
        <f>HLOOKUP($F$3,VaR_Calculo_Historico!$C$2:$ET$103,B45+1,0)</f>
        <v>1.5955159999999999</v>
      </c>
      <c r="G45" s="182">
        <f t="shared" si="1"/>
        <v>4.9024372112649458E-4</v>
      </c>
      <c r="H45" s="181">
        <f>HLOOKUP($H$3,VaR_Calculo_Historico!$C$2:$ET$103,B45+1,0)</f>
        <v>1.108970864</v>
      </c>
      <c r="I45" s="182">
        <f t="shared" si="2"/>
        <v>9.5401559812193426E-4</v>
      </c>
      <c r="J45" s="181">
        <f>HLOOKUP($J$3,VaR_Calculo_Historico!$C$2:$ET$103,B45+1,0)</f>
        <v>1.8266720000000001</v>
      </c>
      <c r="K45" s="182">
        <f t="shared" si="31"/>
        <v>7.2946094320871829E-4</v>
      </c>
      <c r="L45" s="181">
        <f>HLOOKUP($L$3,VaR_Calculo_Historico!$C$2:$ET$103,B45+1,0)</f>
        <v>1.080676</v>
      </c>
      <c r="M45" s="182">
        <f t="shared" si="3"/>
        <v>9.1836552215431315E-4</v>
      </c>
      <c r="N45" s="181">
        <f>HLOOKUP($N$3,VaR_Calculo_Historico!$C$2:$ET$103,B45+1,0)</f>
        <v>2.595596</v>
      </c>
      <c r="O45" s="182">
        <f t="shared" si="4"/>
        <v>5.2255987698134596E-4</v>
      </c>
      <c r="P45" s="181">
        <f>HLOOKUP($P$3,VaR_Calculo_Historico!$C$2:$ET$103,B45+1,0)</f>
        <v>1.7441949999999999</v>
      </c>
      <c r="Q45" s="182">
        <f t="shared" si="5"/>
        <v>6.2397809842729016E-4</v>
      </c>
      <c r="R45" s="181">
        <f>HLOOKUP($R$3,VaR_Calculo_Historico!$C$2:$ET$103,B45+1,0)</f>
        <v>1.245503</v>
      </c>
      <c r="S45" s="182">
        <f t="shared" si="6"/>
        <v>1.8169805440430085E-3</v>
      </c>
      <c r="T45" s="181" t="e">
        <f>HLOOKUP($T$3,VaR_Calculo_Historico!$C$2:$ET$103,B45+1,0)</f>
        <v>#N/A</v>
      </c>
      <c r="U45" s="182" t="e">
        <f t="shared" si="7"/>
        <v>#N/A</v>
      </c>
      <c r="V45" s="181" t="e">
        <f>HLOOKUP($V$3,VaR_Calculo_Historico!$C$2:$ET$103,B45+1,0)</f>
        <v>#N/A</v>
      </c>
      <c r="W45" s="182" t="e">
        <f t="shared" si="8"/>
        <v>#N/A</v>
      </c>
      <c r="X45" s="181" t="e">
        <f>HLOOKUP($X$3,VaR_Calculo_Historico!$C$2:$ET$103,B45+1,0)</f>
        <v>#N/A</v>
      </c>
      <c r="Y45" s="182" t="e">
        <f t="shared" si="9"/>
        <v>#N/A</v>
      </c>
      <c r="Z45" s="181" t="e">
        <f>HLOOKUP($Z$3,VaR_Calculo_Historico!$C$2:$ET$103,B45+1,0)</f>
        <v>#N/A</v>
      </c>
      <c r="AA45" s="182" t="e">
        <f t="shared" si="10"/>
        <v>#N/A</v>
      </c>
      <c r="AB45" s="181" t="e">
        <f>HLOOKUP($AB$3,VaR_Calculo_Historico!$C$2:$ET$103,B45+1,0)</f>
        <v>#N/A</v>
      </c>
      <c r="AC45" s="182" t="e">
        <f t="shared" si="11"/>
        <v>#N/A</v>
      </c>
      <c r="AD45" s="181" t="e">
        <f>HLOOKUP($AD$3,VaR_Calculo_Historico!$C$2:$ET$103,B45+1,0)</f>
        <v>#N/A</v>
      </c>
      <c r="AE45" s="182" t="e">
        <f t="shared" si="12"/>
        <v>#N/A</v>
      </c>
      <c r="AF45" s="181" t="e">
        <f>HLOOKUP($AF$3,VaR_Calculo_Historico!$C$2:$FZS$104,B45+1,0)</f>
        <v>#N/A</v>
      </c>
      <c r="AG45" s="182" t="e">
        <f t="shared" si="13"/>
        <v>#N/A</v>
      </c>
      <c r="AH45" s="181" t="e">
        <f>HLOOKUP($AH$3,VaR_Calculo_Historico!$C$2:$FS$104,B45+1,0)</f>
        <v>#N/A</v>
      </c>
      <c r="AI45" s="182" t="e">
        <f t="shared" si="14"/>
        <v>#N/A</v>
      </c>
      <c r="AJ45" s="181" t="e">
        <f>HLOOKUP($AJ$3,VaR_Calculo_Historico!$C$2:$ET$103,B45+1,0)</f>
        <v>#N/A</v>
      </c>
      <c r="AK45" s="182" t="e">
        <f t="shared" si="15"/>
        <v>#N/A</v>
      </c>
      <c r="AL45" s="181" t="e">
        <f>HLOOKUP($AL$3,VaR_Calculo_Historico!$C$2:$ET$103,B45+1,0)</f>
        <v>#N/A</v>
      </c>
      <c r="AM45" s="182" t="e">
        <f t="shared" si="16"/>
        <v>#N/A</v>
      </c>
      <c r="AN45" s="181" t="e">
        <f>HLOOKUP($AN$3,VaR_Calculo_Historico!$C$2:$ET$103,B45+1,0)</f>
        <v>#N/A</v>
      </c>
      <c r="AO45" s="182" t="e">
        <f t="shared" si="17"/>
        <v>#N/A</v>
      </c>
      <c r="AP45" s="181" t="e">
        <f>HLOOKUP($AP$3,VaR_Calculo_Historico!$C$2:$ET$103,B45+1,0)</f>
        <v>#N/A</v>
      </c>
      <c r="AQ45" s="182" t="e">
        <f t="shared" si="18"/>
        <v>#N/A</v>
      </c>
      <c r="AR45" s="181" t="e">
        <f>HLOOKUP($AR$3,VaR_Calculo_Historico!$C$2:$ET$103,B45+1,0)</f>
        <v>#N/A</v>
      </c>
      <c r="AS45" s="182" t="e">
        <f t="shared" si="19"/>
        <v>#N/A</v>
      </c>
      <c r="AT45" s="181" t="e">
        <f>HLOOKUP($AT$3,VaR_Calculo_Historico!$C$2:$ET$103,B45+1,0)</f>
        <v>#N/A</v>
      </c>
      <c r="AU45" s="182" t="e">
        <f t="shared" si="20"/>
        <v>#N/A</v>
      </c>
      <c r="AV45" s="181" t="e">
        <f>HLOOKUP($AV$3,VaR_Calculo_Historico!$C$2:$ET$103,B45+1,0)</f>
        <v>#N/A</v>
      </c>
      <c r="AW45" s="223" t="e">
        <f t="shared" si="21"/>
        <v>#N/A</v>
      </c>
      <c r="AX45" s="181" t="e">
        <f>HLOOKUP($AX$3,VaR_Calculo_Historico!$C$2:$ET$103,B45+1,0)</f>
        <v>#N/A</v>
      </c>
      <c r="AY45" s="182" t="e">
        <f t="shared" si="22"/>
        <v>#N/A</v>
      </c>
      <c r="AZ45" s="181" t="e">
        <f>HLOOKUP($AZ$3,VaR_Calculo_Historico!$C$2:$ET$103,B45+1,0)</f>
        <v>#N/A</v>
      </c>
      <c r="BA45" s="182" t="e">
        <f t="shared" si="23"/>
        <v>#N/A</v>
      </c>
      <c r="BB45" s="181" t="e">
        <f>HLOOKUP($BB$3,VaR_Calculo_Historico!$C$2:$ET$103,B45+1,0)</f>
        <v>#N/A</v>
      </c>
      <c r="BC45" s="182" t="e">
        <f t="shared" si="24"/>
        <v>#N/A</v>
      </c>
      <c r="BD45" s="181" t="e">
        <f>HLOOKUP($BD$3,VaR_Calculo_Historico!$C$2:$ET$103,B45+1,0)</f>
        <v>#N/A</v>
      </c>
      <c r="BE45" s="182" t="e">
        <f t="shared" si="25"/>
        <v>#N/A</v>
      </c>
      <c r="BF45" s="181" t="e">
        <f>HLOOKUP($BF$3,VaR_Calculo_Historico!$C$2:$ET$103,B45+1,0)</f>
        <v>#N/A</v>
      </c>
      <c r="BG45" s="182" t="e">
        <f t="shared" si="26"/>
        <v>#N/A</v>
      </c>
      <c r="BH45" s="181" t="e">
        <f>HLOOKUP($BH$3,VaR_Calculo_Historico!$C$2:$ET$103,B45+1,0)</f>
        <v>#N/A</v>
      </c>
      <c r="BI45" s="223" t="e">
        <f t="shared" si="27"/>
        <v>#N/A</v>
      </c>
      <c r="BJ45" s="181" t="e">
        <f>HLOOKUP($BJ$3,VaR_Calculo_Historico!$C$2:$ET$103,B45+1,0)</f>
        <v>#N/A</v>
      </c>
      <c r="BK45" s="223" t="e">
        <f t="shared" si="28"/>
        <v>#N/A</v>
      </c>
      <c r="BL45" s="181" t="e">
        <f>HLOOKUP($BL$3,VaR_Calculo_Historico!$C$2:$ET$103,B45+1,0)</f>
        <v>#N/A</v>
      </c>
      <c r="BM45" s="223" t="e">
        <f t="shared" si="29"/>
        <v>#N/A</v>
      </c>
      <c r="BN45" s="181" t="e">
        <f>HLOOKUP($BN$3,VaR_Calculo_Historico!$C$2:$EY$103,B45+1,0)</f>
        <v>#N/A</v>
      </c>
      <c r="BO45" s="223" t="e">
        <f t="shared" si="30"/>
        <v>#N/A</v>
      </c>
    </row>
    <row r="46" spans="2:67" x14ac:dyDescent="0.3">
      <c r="B46" s="166">
        <v>42</v>
      </c>
      <c r="C46" s="208">
        <f>VaR_Calculo_Historico!B43</f>
        <v>42373</v>
      </c>
      <c r="D46" s="181">
        <f>HLOOKUP($D$3,VaR_Calculo_Historico!$C$2:$ET$103,B46+1,0)</f>
        <v>3.326217218</v>
      </c>
      <c r="E46" s="182">
        <f t="shared" si="0"/>
        <v>5.5777201632910859E-3</v>
      </c>
      <c r="F46" s="181">
        <f>HLOOKUP($F$3,VaR_Calculo_Historico!$C$2:$ET$103,B46+1,0)</f>
        <v>1.596401</v>
      </c>
      <c r="G46" s="182">
        <f t="shared" si="1"/>
        <v>5.5452571146318887E-4</v>
      </c>
      <c r="H46" s="181">
        <f>HLOOKUP($H$3,VaR_Calculo_Historico!$C$2:$ET$103,B46+1,0)</f>
        <v>1.1105479659999999</v>
      </c>
      <c r="I46" s="182">
        <f t="shared" si="2"/>
        <v>1.4211208700800138E-3</v>
      </c>
      <c r="J46" s="181">
        <f>HLOOKUP($J$3,VaR_Calculo_Historico!$C$2:$ET$103,B46+1,0)</f>
        <v>1.829005</v>
      </c>
      <c r="K46" s="182">
        <f t="shared" si="31"/>
        <v>1.2763711436917155E-3</v>
      </c>
      <c r="L46" s="181">
        <f>HLOOKUP($L$3,VaR_Calculo_Historico!$C$2:$ET$103,B46+1,0)</f>
        <v>1.0816269999999999</v>
      </c>
      <c r="M46" s="182">
        <f t="shared" si="3"/>
        <v>8.7961776061720232E-4</v>
      </c>
      <c r="N46" s="181">
        <f>HLOOKUP($N$3,VaR_Calculo_Historico!$C$2:$ET$103,B46+1,0)</f>
        <v>2.59694</v>
      </c>
      <c r="O46" s="182">
        <f t="shared" si="4"/>
        <v>5.1766613847789762E-4</v>
      </c>
      <c r="P46" s="181">
        <f>HLOOKUP($P$3,VaR_Calculo_Historico!$C$2:$ET$103,B46+1,0)</f>
        <v>1.7464299999999999</v>
      </c>
      <c r="Q46" s="182">
        <f t="shared" si="5"/>
        <v>1.2805731382920834E-3</v>
      </c>
      <c r="R46" s="181">
        <f>HLOOKUP($R$3,VaR_Calculo_Historico!$C$2:$ET$103,B46+1,0)</f>
        <v>1.2568239999999999</v>
      </c>
      <c r="S46" s="182">
        <f t="shared" si="6"/>
        <v>9.0484395056550163E-3</v>
      </c>
      <c r="T46" s="181" t="e">
        <f>HLOOKUP($T$3,VaR_Calculo_Historico!$C$2:$ET$103,B46+1,0)</f>
        <v>#N/A</v>
      </c>
      <c r="U46" s="182" t="e">
        <f t="shared" si="7"/>
        <v>#N/A</v>
      </c>
      <c r="V46" s="181" t="e">
        <f>HLOOKUP($V$3,VaR_Calculo_Historico!$C$2:$ET$103,B46+1,0)</f>
        <v>#N/A</v>
      </c>
      <c r="W46" s="182" t="e">
        <f t="shared" si="8"/>
        <v>#N/A</v>
      </c>
      <c r="X46" s="181" t="e">
        <f>HLOOKUP($X$3,VaR_Calculo_Historico!$C$2:$ET$103,B46+1,0)</f>
        <v>#N/A</v>
      </c>
      <c r="Y46" s="182" t="e">
        <f t="shared" si="9"/>
        <v>#N/A</v>
      </c>
      <c r="Z46" s="181" t="e">
        <f>HLOOKUP($Z$3,VaR_Calculo_Historico!$C$2:$ET$103,B46+1,0)</f>
        <v>#N/A</v>
      </c>
      <c r="AA46" s="182" t="e">
        <f t="shared" si="10"/>
        <v>#N/A</v>
      </c>
      <c r="AB46" s="181" t="e">
        <f>HLOOKUP($AB$3,VaR_Calculo_Historico!$C$2:$ET$103,B46+1,0)</f>
        <v>#N/A</v>
      </c>
      <c r="AC46" s="182" t="e">
        <f t="shared" si="11"/>
        <v>#N/A</v>
      </c>
      <c r="AD46" s="181" t="e">
        <f>HLOOKUP($AD$3,VaR_Calculo_Historico!$C$2:$ET$103,B46+1,0)</f>
        <v>#N/A</v>
      </c>
      <c r="AE46" s="182" t="e">
        <f t="shared" si="12"/>
        <v>#N/A</v>
      </c>
      <c r="AF46" s="181" t="e">
        <f>HLOOKUP($AF$3,VaR_Calculo_Historico!$C$2:$FZS$104,B46+1,0)</f>
        <v>#N/A</v>
      </c>
      <c r="AG46" s="182" t="e">
        <f t="shared" si="13"/>
        <v>#N/A</v>
      </c>
      <c r="AH46" s="181" t="e">
        <f>HLOOKUP($AH$3,VaR_Calculo_Historico!$C$2:$FS$104,B46+1,0)</f>
        <v>#N/A</v>
      </c>
      <c r="AI46" s="182" t="e">
        <f t="shared" si="14"/>
        <v>#N/A</v>
      </c>
      <c r="AJ46" s="181" t="e">
        <f>HLOOKUP($AJ$3,VaR_Calculo_Historico!$C$2:$ET$103,B46+1,0)</f>
        <v>#N/A</v>
      </c>
      <c r="AK46" s="182" t="e">
        <f t="shared" si="15"/>
        <v>#N/A</v>
      </c>
      <c r="AL46" s="181" t="e">
        <f>HLOOKUP($AL$3,VaR_Calculo_Historico!$C$2:$ET$103,B46+1,0)</f>
        <v>#N/A</v>
      </c>
      <c r="AM46" s="182" t="e">
        <f t="shared" si="16"/>
        <v>#N/A</v>
      </c>
      <c r="AN46" s="181" t="e">
        <f>HLOOKUP($AN$3,VaR_Calculo_Historico!$C$2:$ET$103,B46+1,0)</f>
        <v>#N/A</v>
      </c>
      <c r="AO46" s="182" t="e">
        <f t="shared" si="17"/>
        <v>#N/A</v>
      </c>
      <c r="AP46" s="181" t="e">
        <f>HLOOKUP($AP$3,VaR_Calculo_Historico!$C$2:$ET$103,B46+1,0)</f>
        <v>#N/A</v>
      </c>
      <c r="AQ46" s="182" t="e">
        <f t="shared" si="18"/>
        <v>#N/A</v>
      </c>
      <c r="AR46" s="181" t="e">
        <f>HLOOKUP($AR$3,VaR_Calculo_Historico!$C$2:$ET$103,B46+1,0)</f>
        <v>#N/A</v>
      </c>
      <c r="AS46" s="182" t="e">
        <f t="shared" si="19"/>
        <v>#N/A</v>
      </c>
      <c r="AT46" s="181" t="e">
        <f>HLOOKUP($AT$3,VaR_Calculo_Historico!$C$2:$ET$103,B46+1,0)</f>
        <v>#N/A</v>
      </c>
      <c r="AU46" s="182" t="e">
        <f t="shared" si="20"/>
        <v>#N/A</v>
      </c>
      <c r="AV46" s="181" t="e">
        <f>HLOOKUP($AV$3,VaR_Calculo_Historico!$C$2:$ET$103,B46+1,0)</f>
        <v>#N/A</v>
      </c>
      <c r="AW46" s="223" t="e">
        <f t="shared" si="21"/>
        <v>#N/A</v>
      </c>
      <c r="AX46" s="181" t="e">
        <f>HLOOKUP($AX$3,VaR_Calculo_Historico!$C$2:$ET$103,B46+1,0)</f>
        <v>#N/A</v>
      </c>
      <c r="AY46" s="182" t="e">
        <f t="shared" si="22"/>
        <v>#N/A</v>
      </c>
      <c r="AZ46" s="181" t="e">
        <f>HLOOKUP($AZ$3,VaR_Calculo_Historico!$C$2:$ET$103,B46+1,0)</f>
        <v>#N/A</v>
      </c>
      <c r="BA46" s="182" t="e">
        <f t="shared" si="23"/>
        <v>#N/A</v>
      </c>
      <c r="BB46" s="181" t="e">
        <f>HLOOKUP($BB$3,VaR_Calculo_Historico!$C$2:$ET$103,B46+1,0)</f>
        <v>#N/A</v>
      </c>
      <c r="BC46" s="182" t="e">
        <f t="shared" si="24"/>
        <v>#N/A</v>
      </c>
      <c r="BD46" s="181" t="e">
        <f>HLOOKUP($BD$3,VaR_Calculo_Historico!$C$2:$ET$103,B46+1,0)</f>
        <v>#N/A</v>
      </c>
      <c r="BE46" s="182" t="e">
        <f t="shared" si="25"/>
        <v>#N/A</v>
      </c>
      <c r="BF46" s="181" t="e">
        <f>HLOOKUP($BF$3,VaR_Calculo_Historico!$C$2:$ET$103,B46+1,0)</f>
        <v>#N/A</v>
      </c>
      <c r="BG46" s="182" t="e">
        <f t="shared" si="26"/>
        <v>#N/A</v>
      </c>
      <c r="BH46" s="181" t="e">
        <f>HLOOKUP($BH$3,VaR_Calculo_Historico!$C$2:$ET$103,B46+1,0)</f>
        <v>#N/A</v>
      </c>
      <c r="BI46" s="223" t="e">
        <f t="shared" si="27"/>
        <v>#N/A</v>
      </c>
      <c r="BJ46" s="181" t="e">
        <f>HLOOKUP($BJ$3,VaR_Calculo_Historico!$C$2:$ET$103,B46+1,0)</f>
        <v>#N/A</v>
      </c>
      <c r="BK46" s="223" t="e">
        <f t="shared" si="28"/>
        <v>#N/A</v>
      </c>
      <c r="BL46" s="181" t="e">
        <f>HLOOKUP($BL$3,VaR_Calculo_Historico!$C$2:$ET$103,B46+1,0)</f>
        <v>#N/A</v>
      </c>
      <c r="BM46" s="223" t="e">
        <f t="shared" si="29"/>
        <v>#N/A</v>
      </c>
      <c r="BN46" s="181" t="e">
        <f>HLOOKUP($BN$3,VaR_Calculo_Historico!$C$2:$EY$103,B46+1,0)</f>
        <v>#N/A</v>
      </c>
      <c r="BO46" s="223" t="e">
        <f t="shared" si="30"/>
        <v>#N/A</v>
      </c>
    </row>
    <row r="47" spans="2:67" x14ac:dyDescent="0.3">
      <c r="B47" s="166">
        <v>43</v>
      </c>
      <c r="C47" s="208">
        <f>VaR_Calculo_Historico!B44</f>
        <v>42374</v>
      </c>
      <c r="D47" s="181">
        <f>HLOOKUP($D$3,VaR_Calculo_Historico!$C$2:$ET$103,B47+1,0)</f>
        <v>3.335265283</v>
      </c>
      <c r="E47" s="182">
        <f t="shared" si="0"/>
        <v>2.7165336133107105E-3</v>
      </c>
      <c r="F47" s="181">
        <f>HLOOKUP($F$3,VaR_Calculo_Historico!$C$2:$ET$103,B47+1,0)</f>
        <v>1.5973329999999999</v>
      </c>
      <c r="G47" s="182">
        <f t="shared" si="1"/>
        <v>5.8364286221473125E-4</v>
      </c>
      <c r="H47" s="181">
        <f>HLOOKUP($H$3,VaR_Calculo_Historico!$C$2:$ET$103,B47+1,0)</f>
        <v>1.1118387519999999</v>
      </c>
      <c r="I47" s="182">
        <f t="shared" si="2"/>
        <v>1.1616215438028203E-3</v>
      </c>
      <c r="J47" s="181">
        <f>HLOOKUP($J$3,VaR_Calculo_Historico!$C$2:$ET$103,B47+1,0)</f>
        <v>1.830622</v>
      </c>
      <c r="K47" s="182">
        <f t="shared" si="31"/>
        <v>8.8369667467687112E-4</v>
      </c>
      <c r="L47" s="181">
        <f>HLOOKUP($L$3,VaR_Calculo_Historico!$C$2:$ET$103,B47+1,0)</f>
        <v>1.0825709999999999</v>
      </c>
      <c r="M47" s="182">
        <f t="shared" si="3"/>
        <v>8.7237864545566118E-4</v>
      </c>
      <c r="N47" s="181">
        <f>HLOOKUP($N$3,VaR_Calculo_Historico!$C$2:$ET$103,B47+1,0)</f>
        <v>2.5982949999999998</v>
      </c>
      <c r="O47" s="182">
        <f t="shared" si="4"/>
        <v>5.2163185331337736E-4</v>
      </c>
      <c r="P47" s="181">
        <f>HLOOKUP($P$3,VaR_Calculo_Historico!$C$2:$ET$103,B47+1,0)</f>
        <v>1.7479849999999999</v>
      </c>
      <c r="Q47" s="182">
        <f t="shared" si="5"/>
        <v>8.8999165962894481E-4</v>
      </c>
      <c r="R47" s="181">
        <f>HLOOKUP($R$3,VaR_Calculo_Historico!$C$2:$ET$103,B47+1,0)</f>
        <v>1.262135</v>
      </c>
      <c r="S47" s="182">
        <f t="shared" si="6"/>
        <v>4.216827562380311E-3</v>
      </c>
      <c r="T47" s="181" t="e">
        <f>HLOOKUP($T$3,VaR_Calculo_Historico!$C$2:$ET$103,B47+1,0)</f>
        <v>#N/A</v>
      </c>
      <c r="U47" s="182" t="e">
        <f t="shared" si="7"/>
        <v>#N/A</v>
      </c>
      <c r="V47" s="181" t="e">
        <f>HLOOKUP($V$3,VaR_Calculo_Historico!$C$2:$ET$103,B47+1,0)</f>
        <v>#N/A</v>
      </c>
      <c r="W47" s="182" t="e">
        <f t="shared" si="8"/>
        <v>#N/A</v>
      </c>
      <c r="X47" s="181" t="e">
        <f>HLOOKUP($X$3,VaR_Calculo_Historico!$C$2:$ET$103,B47+1,0)</f>
        <v>#N/A</v>
      </c>
      <c r="Y47" s="182" t="e">
        <f t="shared" si="9"/>
        <v>#N/A</v>
      </c>
      <c r="Z47" s="181" t="e">
        <f>HLOOKUP($Z$3,VaR_Calculo_Historico!$C$2:$ET$103,B47+1,0)</f>
        <v>#N/A</v>
      </c>
      <c r="AA47" s="182" t="e">
        <f t="shared" si="10"/>
        <v>#N/A</v>
      </c>
      <c r="AB47" s="181" t="e">
        <f>HLOOKUP($AB$3,VaR_Calculo_Historico!$C$2:$ET$103,B47+1,0)</f>
        <v>#N/A</v>
      </c>
      <c r="AC47" s="182" t="e">
        <f t="shared" si="11"/>
        <v>#N/A</v>
      </c>
      <c r="AD47" s="181" t="e">
        <f>HLOOKUP($AD$3,VaR_Calculo_Historico!$C$2:$ET$103,B47+1,0)</f>
        <v>#N/A</v>
      </c>
      <c r="AE47" s="182" t="e">
        <f t="shared" si="12"/>
        <v>#N/A</v>
      </c>
      <c r="AF47" s="181" t="e">
        <f>HLOOKUP($AF$3,VaR_Calculo_Historico!$C$2:$FZS$104,B47+1,0)</f>
        <v>#N/A</v>
      </c>
      <c r="AG47" s="182" t="e">
        <f t="shared" si="13"/>
        <v>#N/A</v>
      </c>
      <c r="AH47" s="181" t="e">
        <f>HLOOKUP($AH$3,VaR_Calculo_Historico!$C$2:$FS$104,B47+1,0)</f>
        <v>#N/A</v>
      </c>
      <c r="AI47" s="182" t="e">
        <f t="shared" si="14"/>
        <v>#N/A</v>
      </c>
      <c r="AJ47" s="181" t="e">
        <f>HLOOKUP($AJ$3,VaR_Calculo_Historico!$C$2:$ET$103,B47+1,0)</f>
        <v>#N/A</v>
      </c>
      <c r="AK47" s="182" t="e">
        <f t="shared" si="15"/>
        <v>#N/A</v>
      </c>
      <c r="AL47" s="181" t="e">
        <f>HLOOKUP($AL$3,VaR_Calculo_Historico!$C$2:$ET$103,B47+1,0)</f>
        <v>#N/A</v>
      </c>
      <c r="AM47" s="182" t="e">
        <f t="shared" si="16"/>
        <v>#N/A</v>
      </c>
      <c r="AN47" s="181" t="e">
        <f>HLOOKUP($AN$3,VaR_Calculo_Historico!$C$2:$ET$103,B47+1,0)</f>
        <v>#N/A</v>
      </c>
      <c r="AO47" s="182" t="e">
        <f t="shared" si="17"/>
        <v>#N/A</v>
      </c>
      <c r="AP47" s="181" t="e">
        <f>HLOOKUP($AP$3,VaR_Calculo_Historico!$C$2:$ET$103,B47+1,0)</f>
        <v>#N/A</v>
      </c>
      <c r="AQ47" s="182" t="e">
        <f t="shared" si="18"/>
        <v>#N/A</v>
      </c>
      <c r="AR47" s="181" t="e">
        <f>HLOOKUP($AR$3,VaR_Calculo_Historico!$C$2:$ET$103,B47+1,0)</f>
        <v>#N/A</v>
      </c>
      <c r="AS47" s="182" t="e">
        <f t="shared" si="19"/>
        <v>#N/A</v>
      </c>
      <c r="AT47" s="181" t="e">
        <f>HLOOKUP($AT$3,VaR_Calculo_Historico!$C$2:$ET$103,B47+1,0)</f>
        <v>#N/A</v>
      </c>
      <c r="AU47" s="182" t="e">
        <f t="shared" si="20"/>
        <v>#N/A</v>
      </c>
      <c r="AV47" s="181" t="e">
        <f>HLOOKUP($AV$3,VaR_Calculo_Historico!$C$2:$ET$103,B47+1,0)</f>
        <v>#N/A</v>
      </c>
      <c r="AW47" s="223" t="e">
        <f t="shared" si="21"/>
        <v>#N/A</v>
      </c>
      <c r="AX47" s="181" t="e">
        <f>HLOOKUP($AX$3,VaR_Calculo_Historico!$C$2:$ET$103,B47+1,0)</f>
        <v>#N/A</v>
      </c>
      <c r="AY47" s="182" t="e">
        <f t="shared" si="22"/>
        <v>#N/A</v>
      </c>
      <c r="AZ47" s="181" t="e">
        <f>HLOOKUP($AZ$3,VaR_Calculo_Historico!$C$2:$ET$103,B47+1,0)</f>
        <v>#N/A</v>
      </c>
      <c r="BA47" s="182" t="e">
        <f t="shared" si="23"/>
        <v>#N/A</v>
      </c>
      <c r="BB47" s="181" t="e">
        <f>HLOOKUP($BB$3,VaR_Calculo_Historico!$C$2:$ET$103,B47+1,0)</f>
        <v>#N/A</v>
      </c>
      <c r="BC47" s="182" t="e">
        <f t="shared" si="24"/>
        <v>#N/A</v>
      </c>
      <c r="BD47" s="181" t="e">
        <f>HLOOKUP($BD$3,VaR_Calculo_Historico!$C$2:$ET$103,B47+1,0)</f>
        <v>#N/A</v>
      </c>
      <c r="BE47" s="182" t="e">
        <f t="shared" si="25"/>
        <v>#N/A</v>
      </c>
      <c r="BF47" s="181" t="e">
        <f>HLOOKUP($BF$3,VaR_Calculo_Historico!$C$2:$ET$103,B47+1,0)</f>
        <v>#N/A</v>
      </c>
      <c r="BG47" s="182" t="e">
        <f t="shared" si="26"/>
        <v>#N/A</v>
      </c>
      <c r="BH47" s="181" t="e">
        <f>HLOOKUP($BH$3,VaR_Calculo_Historico!$C$2:$ET$103,B47+1,0)</f>
        <v>#N/A</v>
      </c>
      <c r="BI47" s="223" t="e">
        <f t="shared" si="27"/>
        <v>#N/A</v>
      </c>
      <c r="BJ47" s="181" t="e">
        <f>HLOOKUP($BJ$3,VaR_Calculo_Historico!$C$2:$ET$103,B47+1,0)</f>
        <v>#N/A</v>
      </c>
      <c r="BK47" s="223" t="e">
        <f t="shared" si="28"/>
        <v>#N/A</v>
      </c>
      <c r="BL47" s="181" t="e">
        <f>HLOOKUP($BL$3,VaR_Calculo_Historico!$C$2:$ET$103,B47+1,0)</f>
        <v>#N/A</v>
      </c>
      <c r="BM47" s="223" t="e">
        <f t="shared" si="29"/>
        <v>#N/A</v>
      </c>
      <c r="BN47" s="181" t="e">
        <f>HLOOKUP($BN$3,VaR_Calculo_Historico!$C$2:$EY$103,B47+1,0)</f>
        <v>#N/A</v>
      </c>
      <c r="BO47" s="223" t="e">
        <f t="shared" si="30"/>
        <v>#N/A</v>
      </c>
    </row>
    <row r="48" spans="2:67" x14ac:dyDescent="0.3">
      <c r="B48" s="166">
        <v>44</v>
      </c>
      <c r="C48" s="208">
        <f>VaR_Calculo_Historico!B45</f>
        <v>42375</v>
      </c>
      <c r="D48" s="181">
        <f>HLOOKUP($D$3,VaR_Calculo_Historico!$C$2:$ET$103,B48+1,0)</f>
        <v>3.330080336</v>
      </c>
      <c r="E48" s="182">
        <f t="shared" si="0"/>
        <v>-1.555792705201439E-3</v>
      </c>
      <c r="F48" s="181">
        <f>HLOOKUP($F$3,VaR_Calculo_Historico!$C$2:$ET$103,B48+1,0)</f>
        <v>1.598169</v>
      </c>
      <c r="G48" s="182">
        <f t="shared" si="1"/>
        <v>5.2323548479889953E-4</v>
      </c>
      <c r="H48" s="181">
        <f>HLOOKUP($H$3,VaR_Calculo_Historico!$C$2:$ET$103,B48+1,0)</f>
        <v>1.1126509760000001</v>
      </c>
      <c r="I48" s="182">
        <f t="shared" si="2"/>
        <v>7.302564951155514E-4</v>
      </c>
      <c r="J48" s="181">
        <f>HLOOKUP($J$3,VaR_Calculo_Historico!$C$2:$ET$103,B48+1,0)</f>
        <v>1.831539</v>
      </c>
      <c r="K48" s="182">
        <f t="shared" si="31"/>
        <v>5.0079721736167541E-4</v>
      </c>
      <c r="L48" s="181">
        <f>HLOOKUP($L$3,VaR_Calculo_Historico!$C$2:$ET$103,B48+1,0)</f>
        <v>1.0833299999999999</v>
      </c>
      <c r="M48" s="182">
        <f t="shared" si="3"/>
        <v>7.0086308752711829E-4</v>
      </c>
      <c r="N48" s="181">
        <f>HLOOKUP($N$3,VaR_Calculo_Historico!$C$2:$ET$103,B48+1,0)</f>
        <v>2.5996640000000002</v>
      </c>
      <c r="O48" s="182">
        <f t="shared" si="4"/>
        <v>5.2674522121236625E-4</v>
      </c>
      <c r="P48" s="181">
        <f>HLOOKUP($P$3,VaR_Calculo_Historico!$C$2:$ET$103,B48+1,0)</f>
        <v>1.7488630000000001</v>
      </c>
      <c r="Q48" s="182">
        <f t="shared" si="5"/>
        <v>5.021665330896002E-4</v>
      </c>
      <c r="R48" s="181">
        <f>HLOOKUP($R$3,VaR_Calculo_Historico!$C$2:$ET$103,B48+1,0)</f>
        <v>1.2577929999999999</v>
      </c>
      <c r="S48" s="182">
        <f t="shared" si="6"/>
        <v>-3.4461336173675786E-3</v>
      </c>
      <c r="T48" s="181" t="e">
        <f>HLOOKUP($T$3,VaR_Calculo_Historico!$C$2:$ET$103,B48+1,0)</f>
        <v>#N/A</v>
      </c>
      <c r="U48" s="182" t="e">
        <f t="shared" si="7"/>
        <v>#N/A</v>
      </c>
      <c r="V48" s="181" t="e">
        <f>HLOOKUP($V$3,VaR_Calculo_Historico!$C$2:$ET$103,B48+1,0)</f>
        <v>#N/A</v>
      </c>
      <c r="W48" s="182" t="e">
        <f t="shared" si="8"/>
        <v>#N/A</v>
      </c>
      <c r="X48" s="181" t="e">
        <f>HLOOKUP($X$3,VaR_Calculo_Historico!$C$2:$ET$103,B48+1,0)</f>
        <v>#N/A</v>
      </c>
      <c r="Y48" s="182" t="e">
        <f t="shared" si="9"/>
        <v>#N/A</v>
      </c>
      <c r="Z48" s="181" t="e">
        <f>HLOOKUP($Z$3,VaR_Calculo_Historico!$C$2:$ET$103,B48+1,0)</f>
        <v>#N/A</v>
      </c>
      <c r="AA48" s="182" t="e">
        <f t="shared" si="10"/>
        <v>#N/A</v>
      </c>
      <c r="AB48" s="181" t="e">
        <f>HLOOKUP($AB$3,VaR_Calculo_Historico!$C$2:$ET$103,B48+1,0)</f>
        <v>#N/A</v>
      </c>
      <c r="AC48" s="182" t="e">
        <f t="shared" si="11"/>
        <v>#N/A</v>
      </c>
      <c r="AD48" s="181" t="e">
        <f>HLOOKUP($AD$3,VaR_Calculo_Historico!$C$2:$ET$103,B48+1,0)</f>
        <v>#N/A</v>
      </c>
      <c r="AE48" s="182" t="e">
        <f t="shared" si="12"/>
        <v>#N/A</v>
      </c>
      <c r="AF48" s="181" t="e">
        <f>HLOOKUP($AF$3,VaR_Calculo_Historico!$C$2:$FZS$104,B48+1,0)</f>
        <v>#N/A</v>
      </c>
      <c r="AG48" s="182" t="e">
        <f t="shared" si="13"/>
        <v>#N/A</v>
      </c>
      <c r="AH48" s="181" t="e">
        <f>HLOOKUP($AH$3,VaR_Calculo_Historico!$C$2:$FS$104,B48+1,0)</f>
        <v>#N/A</v>
      </c>
      <c r="AI48" s="182" t="e">
        <f t="shared" si="14"/>
        <v>#N/A</v>
      </c>
      <c r="AJ48" s="181" t="e">
        <f>HLOOKUP($AJ$3,VaR_Calculo_Historico!$C$2:$ET$103,B48+1,0)</f>
        <v>#N/A</v>
      </c>
      <c r="AK48" s="182" t="e">
        <f t="shared" si="15"/>
        <v>#N/A</v>
      </c>
      <c r="AL48" s="181" t="e">
        <f>HLOOKUP($AL$3,VaR_Calculo_Historico!$C$2:$ET$103,B48+1,0)</f>
        <v>#N/A</v>
      </c>
      <c r="AM48" s="182" t="e">
        <f t="shared" si="16"/>
        <v>#N/A</v>
      </c>
      <c r="AN48" s="181" t="e">
        <f>HLOOKUP($AN$3,VaR_Calculo_Historico!$C$2:$ET$103,B48+1,0)</f>
        <v>#N/A</v>
      </c>
      <c r="AO48" s="182" t="e">
        <f t="shared" si="17"/>
        <v>#N/A</v>
      </c>
      <c r="AP48" s="181" t="e">
        <f>HLOOKUP($AP$3,VaR_Calculo_Historico!$C$2:$ET$103,B48+1,0)</f>
        <v>#N/A</v>
      </c>
      <c r="AQ48" s="182" t="e">
        <f t="shared" si="18"/>
        <v>#N/A</v>
      </c>
      <c r="AR48" s="181" t="e">
        <f>HLOOKUP($AR$3,VaR_Calculo_Historico!$C$2:$ET$103,B48+1,0)</f>
        <v>#N/A</v>
      </c>
      <c r="AS48" s="182" t="e">
        <f t="shared" si="19"/>
        <v>#N/A</v>
      </c>
      <c r="AT48" s="181" t="e">
        <f>HLOOKUP($AT$3,VaR_Calculo_Historico!$C$2:$ET$103,B48+1,0)</f>
        <v>#N/A</v>
      </c>
      <c r="AU48" s="182" t="e">
        <f t="shared" si="20"/>
        <v>#N/A</v>
      </c>
      <c r="AV48" s="181" t="e">
        <f>HLOOKUP($AV$3,VaR_Calculo_Historico!$C$2:$ET$103,B48+1,0)</f>
        <v>#N/A</v>
      </c>
      <c r="AW48" s="223" t="e">
        <f t="shared" si="21"/>
        <v>#N/A</v>
      </c>
      <c r="AX48" s="181" t="e">
        <f>HLOOKUP($AX$3,VaR_Calculo_Historico!$C$2:$ET$103,B48+1,0)</f>
        <v>#N/A</v>
      </c>
      <c r="AY48" s="182" t="e">
        <f t="shared" si="22"/>
        <v>#N/A</v>
      </c>
      <c r="AZ48" s="181" t="e">
        <f>HLOOKUP($AZ$3,VaR_Calculo_Historico!$C$2:$ET$103,B48+1,0)</f>
        <v>#N/A</v>
      </c>
      <c r="BA48" s="182" t="e">
        <f t="shared" si="23"/>
        <v>#N/A</v>
      </c>
      <c r="BB48" s="181" t="e">
        <f>HLOOKUP($BB$3,VaR_Calculo_Historico!$C$2:$ET$103,B48+1,0)</f>
        <v>#N/A</v>
      </c>
      <c r="BC48" s="182" t="e">
        <f t="shared" si="24"/>
        <v>#N/A</v>
      </c>
      <c r="BD48" s="181" t="e">
        <f>HLOOKUP($BD$3,VaR_Calculo_Historico!$C$2:$ET$103,B48+1,0)</f>
        <v>#N/A</v>
      </c>
      <c r="BE48" s="182" t="e">
        <f t="shared" si="25"/>
        <v>#N/A</v>
      </c>
      <c r="BF48" s="181" t="e">
        <f>HLOOKUP($BF$3,VaR_Calculo_Historico!$C$2:$ET$103,B48+1,0)</f>
        <v>#N/A</v>
      </c>
      <c r="BG48" s="182" t="e">
        <f t="shared" si="26"/>
        <v>#N/A</v>
      </c>
      <c r="BH48" s="181" t="e">
        <f>HLOOKUP($BH$3,VaR_Calculo_Historico!$C$2:$ET$103,B48+1,0)</f>
        <v>#N/A</v>
      </c>
      <c r="BI48" s="223" t="e">
        <f t="shared" si="27"/>
        <v>#N/A</v>
      </c>
      <c r="BJ48" s="181" t="e">
        <f>HLOOKUP($BJ$3,VaR_Calculo_Historico!$C$2:$ET$103,B48+1,0)</f>
        <v>#N/A</v>
      </c>
      <c r="BK48" s="223" t="e">
        <f t="shared" si="28"/>
        <v>#N/A</v>
      </c>
      <c r="BL48" s="181" t="e">
        <f>HLOOKUP($BL$3,VaR_Calculo_Historico!$C$2:$ET$103,B48+1,0)</f>
        <v>#N/A</v>
      </c>
      <c r="BM48" s="223" t="e">
        <f t="shared" si="29"/>
        <v>#N/A</v>
      </c>
      <c r="BN48" s="181" t="e">
        <f>HLOOKUP($BN$3,VaR_Calculo_Historico!$C$2:$EY$103,B48+1,0)</f>
        <v>#N/A</v>
      </c>
      <c r="BO48" s="223" t="e">
        <f t="shared" si="30"/>
        <v>#N/A</v>
      </c>
    </row>
    <row r="49" spans="2:67" x14ac:dyDescent="0.3">
      <c r="B49" s="166">
        <v>45</v>
      </c>
      <c r="C49" s="208">
        <f>VaR_Calculo_Historico!B46</f>
        <v>42376</v>
      </c>
      <c r="D49" s="181">
        <f>HLOOKUP($D$3,VaR_Calculo_Historico!$C$2:$ET$103,B49+1,0)</f>
        <v>3.3304686590000001</v>
      </c>
      <c r="E49" s="182">
        <f t="shared" si="0"/>
        <v>1.1660390179003488E-4</v>
      </c>
      <c r="F49" s="181">
        <f>HLOOKUP($F$3,VaR_Calculo_Historico!$C$2:$ET$103,B49+1,0)</f>
        <v>1.5990089999999999</v>
      </c>
      <c r="G49" s="182">
        <f t="shared" si="1"/>
        <v>5.2546340512018978E-4</v>
      </c>
      <c r="H49" s="181">
        <f>HLOOKUP($H$3,VaR_Calculo_Historico!$C$2:$ET$103,B49+1,0)</f>
        <v>1.112636961</v>
      </c>
      <c r="I49" s="182">
        <f t="shared" si="2"/>
        <v>-1.2596122746456839E-5</v>
      </c>
      <c r="J49" s="181">
        <f>HLOOKUP($J$3,VaR_Calculo_Historico!$C$2:$ET$103,B49+1,0)</f>
        <v>1.832508</v>
      </c>
      <c r="K49" s="182">
        <f t="shared" si="31"/>
        <v>5.2892335856543813E-4</v>
      </c>
      <c r="L49" s="181">
        <f>HLOOKUP($L$3,VaR_Calculo_Historico!$C$2:$ET$103,B49+1,0)</f>
        <v>1.083324</v>
      </c>
      <c r="M49" s="182">
        <f t="shared" si="3"/>
        <v>-5.5384939172986751E-6</v>
      </c>
      <c r="N49" s="181">
        <f>HLOOKUP($N$3,VaR_Calculo_Historico!$C$2:$ET$103,B49+1,0)</f>
        <v>2.6010740000000001</v>
      </c>
      <c r="O49" s="182">
        <f t="shared" si="4"/>
        <v>5.4223075053835487E-4</v>
      </c>
      <c r="P49" s="181">
        <f>HLOOKUP($P$3,VaR_Calculo_Historico!$C$2:$ET$103,B49+1,0)</f>
        <v>1.749797</v>
      </c>
      <c r="Q49" s="182">
        <f t="shared" si="5"/>
        <v>5.3391871298602534E-4</v>
      </c>
      <c r="R49" s="181">
        <f>HLOOKUP($R$3,VaR_Calculo_Historico!$C$2:$ET$103,B49+1,0)</f>
        <v>1.2572909999999999</v>
      </c>
      <c r="S49" s="182">
        <f t="shared" si="6"/>
        <v>-3.9919144383751743E-4</v>
      </c>
      <c r="T49" s="181" t="e">
        <f>HLOOKUP($T$3,VaR_Calculo_Historico!$C$2:$ET$103,B49+1,0)</f>
        <v>#N/A</v>
      </c>
      <c r="U49" s="182" t="e">
        <f t="shared" si="7"/>
        <v>#N/A</v>
      </c>
      <c r="V49" s="181" t="e">
        <f>HLOOKUP($V$3,VaR_Calculo_Historico!$C$2:$ET$103,B49+1,0)</f>
        <v>#N/A</v>
      </c>
      <c r="W49" s="182" t="e">
        <f t="shared" si="8"/>
        <v>#N/A</v>
      </c>
      <c r="X49" s="181" t="e">
        <f>HLOOKUP($X$3,VaR_Calculo_Historico!$C$2:$ET$103,B49+1,0)</f>
        <v>#N/A</v>
      </c>
      <c r="Y49" s="182" t="e">
        <f t="shared" si="9"/>
        <v>#N/A</v>
      </c>
      <c r="Z49" s="181" t="e">
        <f>HLOOKUP($Z$3,VaR_Calculo_Historico!$C$2:$ET$103,B49+1,0)</f>
        <v>#N/A</v>
      </c>
      <c r="AA49" s="182" t="e">
        <f t="shared" si="10"/>
        <v>#N/A</v>
      </c>
      <c r="AB49" s="181" t="e">
        <f>HLOOKUP($AB$3,VaR_Calculo_Historico!$C$2:$ET$103,B49+1,0)</f>
        <v>#N/A</v>
      </c>
      <c r="AC49" s="182" t="e">
        <f t="shared" si="11"/>
        <v>#N/A</v>
      </c>
      <c r="AD49" s="181" t="e">
        <f>HLOOKUP($AD$3,VaR_Calculo_Historico!$C$2:$ET$103,B49+1,0)</f>
        <v>#N/A</v>
      </c>
      <c r="AE49" s="182" t="e">
        <f t="shared" si="12"/>
        <v>#N/A</v>
      </c>
      <c r="AF49" s="181" t="e">
        <f>HLOOKUP($AF$3,VaR_Calculo_Historico!$C$2:$FZS$104,B49+1,0)</f>
        <v>#N/A</v>
      </c>
      <c r="AG49" s="182" t="e">
        <f t="shared" si="13"/>
        <v>#N/A</v>
      </c>
      <c r="AH49" s="181" t="e">
        <f>HLOOKUP($AH$3,VaR_Calculo_Historico!$C$2:$FS$104,B49+1,0)</f>
        <v>#N/A</v>
      </c>
      <c r="AI49" s="182" t="e">
        <f t="shared" si="14"/>
        <v>#N/A</v>
      </c>
      <c r="AJ49" s="181" t="e">
        <f>HLOOKUP($AJ$3,VaR_Calculo_Historico!$C$2:$ET$103,B49+1,0)</f>
        <v>#N/A</v>
      </c>
      <c r="AK49" s="182" t="e">
        <f t="shared" si="15"/>
        <v>#N/A</v>
      </c>
      <c r="AL49" s="181" t="e">
        <f>HLOOKUP($AL$3,VaR_Calculo_Historico!$C$2:$ET$103,B49+1,0)</f>
        <v>#N/A</v>
      </c>
      <c r="AM49" s="182" t="e">
        <f t="shared" si="16"/>
        <v>#N/A</v>
      </c>
      <c r="AN49" s="181" t="e">
        <f>HLOOKUP($AN$3,VaR_Calculo_Historico!$C$2:$ET$103,B49+1,0)</f>
        <v>#N/A</v>
      </c>
      <c r="AO49" s="182" t="e">
        <f t="shared" si="17"/>
        <v>#N/A</v>
      </c>
      <c r="AP49" s="181" t="e">
        <f>HLOOKUP($AP$3,VaR_Calculo_Historico!$C$2:$ET$103,B49+1,0)</f>
        <v>#N/A</v>
      </c>
      <c r="AQ49" s="182" t="e">
        <f t="shared" si="18"/>
        <v>#N/A</v>
      </c>
      <c r="AR49" s="181" t="e">
        <f>HLOOKUP($AR$3,VaR_Calculo_Historico!$C$2:$ET$103,B49+1,0)</f>
        <v>#N/A</v>
      </c>
      <c r="AS49" s="182" t="e">
        <f t="shared" si="19"/>
        <v>#N/A</v>
      </c>
      <c r="AT49" s="181" t="e">
        <f>HLOOKUP($AT$3,VaR_Calculo_Historico!$C$2:$ET$103,B49+1,0)</f>
        <v>#N/A</v>
      </c>
      <c r="AU49" s="182" t="e">
        <f t="shared" si="20"/>
        <v>#N/A</v>
      </c>
      <c r="AV49" s="181" t="e">
        <f>HLOOKUP($AV$3,VaR_Calculo_Historico!$C$2:$ET$103,B49+1,0)</f>
        <v>#N/A</v>
      </c>
      <c r="AW49" s="223" t="e">
        <f t="shared" si="21"/>
        <v>#N/A</v>
      </c>
      <c r="AX49" s="181" t="e">
        <f>HLOOKUP($AX$3,VaR_Calculo_Historico!$C$2:$ET$103,B49+1,0)</f>
        <v>#N/A</v>
      </c>
      <c r="AY49" s="182" t="e">
        <f t="shared" si="22"/>
        <v>#N/A</v>
      </c>
      <c r="AZ49" s="181" t="e">
        <f>HLOOKUP($AZ$3,VaR_Calculo_Historico!$C$2:$ET$103,B49+1,0)</f>
        <v>#N/A</v>
      </c>
      <c r="BA49" s="182" t="e">
        <f t="shared" si="23"/>
        <v>#N/A</v>
      </c>
      <c r="BB49" s="181" t="e">
        <f>HLOOKUP($BB$3,VaR_Calculo_Historico!$C$2:$ET$103,B49+1,0)</f>
        <v>#N/A</v>
      </c>
      <c r="BC49" s="182" t="e">
        <f t="shared" si="24"/>
        <v>#N/A</v>
      </c>
      <c r="BD49" s="181" t="e">
        <f>HLOOKUP($BD$3,VaR_Calculo_Historico!$C$2:$ET$103,B49+1,0)</f>
        <v>#N/A</v>
      </c>
      <c r="BE49" s="182" t="e">
        <f t="shared" si="25"/>
        <v>#N/A</v>
      </c>
      <c r="BF49" s="181" t="e">
        <f>HLOOKUP($BF$3,VaR_Calculo_Historico!$C$2:$ET$103,B49+1,0)</f>
        <v>#N/A</v>
      </c>
      <c r="BG49" s="182" t="e">
        <f t="shared" si="26"/>
        <v>#N/A</v>
      </c>
      <c r="BH49" s="181" t="e">
        <f>HLOOKUP($BH$3,VaR_Calculo_Historico!$C$2:$ET$103,B49+1,0)</f>
        <v>#N/A</v>
      </c>
      <c r="BI49" s="223" t="e">
        <f t="shared" si="27"/>
        <v>#N/A</v>
      </c>
      <c r="BJ49" s="181" t="e">
        <f>HLOOKUP($BJ$3,VaR_Calculo_Historico!$C$2:$ET$103,B49+1,0)</f>
        <v>#N/A</v>
      </c>
      <c r="BK49" s="223" t="e">
        <f t="shared" si="28"/>
        <v>#N/A</v>
      </c>
      <c r="BL49" s="181" t="e">
        <f>HLOOKUP($BL$3,VaR_Calculo_Historico!$C$2:$ET$103,B49+1,0)</f>
        <v>#N/A</v>
      </c>
      <c r="BM49" s="223" t="e">
        <f t="shared" si="29"/>
        <v>#N/A</v>
      </c>
      <c r="BN49" s="181" t="e">
        <f>HLOOKUP($BN$3,VaR_Calculo_Historico!$C$2:$EY$103,B49+1,0)</f>
        <v>#N/A</v>
      </c>
      <c r="BO49" s="223" t="e">
        <f t="shared" si="30"/>
        <v>#N/A</v>
      </c>
    </row>
    <row r="50" spans="2:67" x14ac:dyDescent="0.3">
      <c r="B50" s="166">
        <v>46</v>
      </c>
      <c r="C50" s="208">
        <f>VaR_Calculo_Historico!B47</f>
        <v>42377</v>
      </c>
      <c r="D50" s="181">
        <f>HLOOKUP($D$3,VaR_Calculo_Historico!$C$2:$ET$103,B50+1,0)</f>
        <v>3.3309107099999999</v>
      </c>
      <c r="E50" s="182">
        <f t="shared" si="0"/>
        <v>1.327205601608807E-4</v>
      </c>
      <c r="F50" s="181">
        <f>HLOOKUP($F$3,VaR_Calculo_Historico!$C$2:$ET$103,B50+1,0)</f>
        <v>1.599864</v>
      </c>
      <c r="G50" s="182">
        <f t="shared" si="1"/>
        <v>5.3456327923005265E-4</v>
      </c>
      <c r="H50" s="181">
        <f>HLOOKUP($H$3,VaR_Calculo_Historico!$C$2:$ET$103,B50+1,0)</f>
        <v>1.1131770480000001</v>
      </c>
      <c r="I50" s="182">
        <f t="shared" si="2"/>
        <v>4.8529392700008274E-4</v>
      </c>
      <c r="J50" s="181">
        <f>HLOOKUP($J$3,VaR_Calculo_Historico!$C$2:$ET$103,B50+1,0)</f>
        <v>1.832956</v>
      </c>
      <c r="K50" s="182">
        <f t="shared" si="31"/>
        <v>2.4444381515183509E-4</v>
      </c>
      <c r="L50" s="181">
        <f>HLOOKUP($L$3,VaR_Calculo_Historico!$C$2:$ET$103,B50+1,0)</f>
        <v>1.0838509999999999</v>
      </c>
      <c r="M50" s="182">
        <f t="shared" si="3"/>
        <v>4.8634744345776312E-4</v>
      </c>
      <c r="N50" s="181">
        <f>HLOOKUP($N$3,VaR_Calculo_Historico!$C$2:$ET$103,B50+1,0)</f>
        <v>2.6024430000000001</v>
      </c>
      <c r="O50" s="182">
        <f t="shared" si="4"/>
        <v>5.2618259211461953E-4</v>
      </c>
      <c r="P50" s="181">
        <f>HLOOKUP($P$3,VaR_Calculo_Historico!$C$2:$ET$103,B50+1,0)</f>
        <v>1.7502310000000001</v>
      </c>
      <c r="Q50" s="182">
        <f t="shared" si="5"/>
        <v>2.4799801728700953E-4</v>
      </c>
      <c r="R50" s="181">
        <f>HLOOKUP($R$3,VaR_Calculo_Historico!$C$2:$ET$103,B50+1,0)</f>
        <v>1.2572950000000001</v>
      </c>
      <c r="S50" s="182">
        <f t="shared" si="6"/>
        <v>3.1814382169311517E-6</v>
      </c>
      <c r="T50" s="181" t="e">
        <f>HLOOKUP($T$3,VaR_Calculo_Historico!$C$2:$ET$103,B50+1,0)</f>
        <v>#N/A</v>
      </c>
      <c r="U50" s="182" t="e">
        <f t="shared" si="7"/>
        <v>#N/A</v>
      </c>
      <c r="V50" s="181" t="e">
        <f>HLOOKUP($V$3,VaR_Calculo_Historico!$C$2:$ET$103,B50+1,0)</f>
        <v>#N/A</v>
      </c>
      <c r="W50" s="182" t="e">
        <f t="shared" si="8"/>
        <v>#N/A</v>
      </c>
      <c r="X50" s="181" t="e">
        <f>HLOOKUP($X$3,VaR_Calculo_Historico!$C$2:$ET$103,B50+1,0)</f>
        <v>#N/A</v>
      </c>
      <c r="Y50" s="182" t="e">
        <f t="shared" si="9"/>
        <v>#N/A</v>
      </c>
      <c r="Z50" s="181" t="e">
        <f>HLOOKUP($Z$3,VaR_Calculo_Historico!$C$2:$ET$103,B50+1,0)</f>
        <v>#N/A</v>
      </c>
      <c r="AA50" s="182" t="e">
        <f t="shared" si="10"/>
        <v>#N/A</v>
      </c>
      <c r="AB50" s="181" t="e">
        <f>HLOOKUP($AB$3,VaR_Calculo_Historico!$C$2:$ET$103,B50+1,0)</f>
        <v>#N/A</v>
      </c>
      <c r="AC50" s="182" t="e">
        <f t="shared" si="11"/>
        <v>#N/A</v>
      </c>
      <c r="AD50" s="181" t="e">
        <f>HLOOKUP($AD$3,VaR_Calculo_Historico!$C$2:$ET$103,B50+1,0)</f>
        <v>#N/A</v>
      </c>
      <c r="AE50" s="182" t="e">
        <f t="shared" si="12"/>
        <v>#N/A</v>
      </c>
      <c r="AF50" s="181" t="e">
        <f>HLOOKUP($AF$3,VaR_Calculo_Historico!$C$2:$FZS$104,B50+1,0)</f>
        <v>#N/A</v>
      </c>
      <c r="AG50" s="182" t="e">
        <f t="shared" si="13"/>
        <v>#N/A</v>
      </c>
      <c r="AH50" s="181" t="e">
        <f>HLOOKUP($AH$3,VaR_Calculo_Historico!$C$2:$FS$104,B50+1,0)</f>
        <v>#N/A</v>
      </c>
      <c r="AI50" s="182" t="e">
        <f t="shared" si="14"/>
        <v>#N/A</v>
      </c>
      <c r="AJ50" s="181" t="e">
        <f>HLOOKUP($AJ$3,VaR_Calculo_Historico!$C$2:$ET$103,B50+1,0)</f>
        <v>#N/A</v>
      </c>
      <c r="AK50" s="182" t="e">
        <f t="shared" si="15"/>
        <v>#N/A</v>
      </c>
      <c r="AL50" s="181" t="e">
        <f>HLOOKUP($AL$3,VaR_Calculo_Historico!$C$2:$ET$103,B50+1,0)</f>
        <v>#N/A</v>
      </c>
      <c r="AM50" s="182" t="e">
        <f t="shared" si="16"/>
        <v>#N/A</v>
      </c>
      <c r="AN50" s="181" t="e">
        <f>HLOOKUP($AN$3,VaR_Calculo_Historico!$C$2:$ET$103,B50+1,0)</f>
        <v>#N/A</v>
      </c>
      <c r="AO50" s="182" t="e">
        <f t="shared" si="17"/>
        <v>#N/A</v>
      </c>
      <c r="AP50" s="181" t="e">
        <f>HLOOKUP($AP$3,VaR_Calculo_Historico!$C$2:$ET$103,B50+1,0)</f>
        <v>#N/A</v>
      </c>
      <c r="AQ50" s="182" t="e">
        <f t="shared" si="18"/>
        <v>#N/A</v>
      </c>
      <c r="AR50" s="181" t="e">
        <f>HLOOKUP($AR$3,VaR_Calculo_Historico!$C$2:$ET$103,B50+1,0)</f>
        <v>#N/A</v>
      </c>
      <c r="AS50" s="182" t="e">
        <f t="shared" si="19"/>
        <v>#N/A</v>
      </c>
      <c r="AT50" s="181" t="e">
        <f>HLOOKUP($AT$3,VaR_Calculo_Historico!$C$2:$ET$103,B50+1,0)</f>
        <v>#N/A</v>
      </c>
      <c r="AU50" s="182" t="e">
        <f t="shared" si="20"/>
        <v>#N/A</v>
      </c>
      <c r="AV50" s="181" t="e">
        <f>HLOOKUP($AV$3,VaR_Calculo_Historico!$C$2:$ET$103,B50+1,0)</f>
        <v>#N/A</v>
      </c>
      <c r="AW50" s="223" t="e">
        <f t="shared" si="21"/>
        <v>#N/A</v>
      </c>
      <c r="AX50" s="181" t="e">
        <f>HLOOKUP($AX$3,VaR_Calculo_Historico!$C$2:$ET$103,B50+1,0)</f>
        <v>#N/A</v>
      </c>
      <c r="AY50" s="182" t="e">
        <f t="shared" si="22"/>
        <v>#N/A</v>
      </c>
      <c r="AZ50" s="181" t="e">
        <f>HLOOKUP($AZ$3,VaR_Calculo_Historico!$C$2:$ET$103,B50+1,0)</f>
        <v>#N/A</v>
      </c>
      <c r="BA50" s="182" t="e">
        <f t="shared" si="23"/>
        <v>#N/A</v>
      </c>
      <c r="BB50" s="181" t="e">
        <f>HLOOKUP($BB$3,VaR_Calculo_Historico!$C$2:$ET$103,B50+1,0)</f>
        <v>#N/A</v>
      </c>
      <c r="BC50" s="182" t="e">
        <f t="shared" si="24"/>
        <v>#N/A</v>
      </c>
      <c r="BD50" s="181" t="e">
        <f>HLOOKUP($BD$3,VaR_Calculo_Historico!$C$2:$ET$103,B50+1,0)</f>
        <v>#N/A</v>
      </c>
      <c r="BE50" s="182" t="e">
        <f t="shared" si="25"/>
        <v>#N/A</v>
      </c>
      <c r="BF50" s="181" t="e">
        <f>HLOOKUP($BF$3,VaR_Calculo_Historico!$C$2:$ET$103,B50+1,0)</f>
        <v>#N/A</v>
      </c>
      <c r="BG50" s="182" t="e">
        <f t="shared" si="26"/>
        <v>#N/A</v>
      </c>
      <c r="BH50" s="181" t="e">
        <f>HLOOKUP($BH$3,VaR_Calculo_Historico!$C$2:$ET$103,B50+1,0)</f>
        <v>#N/A</v>
      </c>
      <c r="BI50" s="223" t="e">
        <f t="shared" si="27"/>
        <v>#N/A</v>
      </c>
      <c r="BJ50" s="181" t="e">
        <f>HLOOKUP($BJ$3,VaR_Calculo_Historico!$C$2:$ET$103,B50+1,0)</f>
        <v>#N/A</v>
      </c>
      <c r="BK50" s="223" t="e">
        <f t="shared" si="28"/>
        <v>#N/A</v>
      </c>
      <c r="BL50" s="181" t="e">
        <f>HLOOKUP($BL$3,VaR_Calculo_Historico!$C$2:$ET$103,B50+1,0)</f>
        <v>#N/A</v>
      </c>
      <c r="BM50" s="223" t="e">
        <f t="shared" si="29"/>
        <v>#N/A</v>
      </c>
      <c r="BN50" s="181" t="e">
        <f>HLOOKUP($BN$3,VaR_Calculo_Historico!$C$2:$EY$103,B50+1,0)</f>
        <v>#N/A</v>
      </c>
      <c r="BO50" s="223" t="e">
        <f t="shared" si="30"/>
        <v>#N/A</v>
      </c>
    </row>
    <row r="51" spans="2:67" x14ac:dyDescent="0.3">
      <c r="B51" s="166">
        <v>47</v>
      </c>
      <c r="C51" s="208">
        <f>VaR_Calculo_Historico!B48</f>
        <v>42380</v>
      </c>
      <c r="D51" s="181">
        <f>HLOOKUP($D$3,VaR_Calculo_Historico!$C$2:$ET$103,B51+1,0)</f>
        <v>3.3344612690000002</v>
      </c>
      <c r="E51" s="182">
        <f t="shared" si="0"/>
        <v>1.0653746998717873E-3</v>
      </c>
      <c r="F51" s="181">
        <f>HLOOKUP($F$3,VaR_Calculo_Historico!$C$2:$ET$103,B51+1,0)</f>
        <v>1.6007439999999999</v>
      </c>
      <c r="G51" s="182">
        <f t="shared" si="1"/>
        <v>5.4989553370790069E-4</v>
      </c>
      <c r="H51" s="181">
        <f>HLOOKUP($H$3,VaR_Calculo_Historico!$C$2:$ET$103,B51+1,0)</f>
        <v>1.1140019329999999</v>
      </c>
      <c r="I51" s="182">
        <f t="shared" si="2"/>
        <v>7.4074427314091873E-4</v>
      </c>
      <c r="J51" s="181">
        <f>HLOOKUP($J$3,VaR_Calculo_Historico!$C$2:$ET$103,B51+1,0)</f>
        <v>1.834552</v>
      </c>
      <c r="K51" s="182">
        <f t="shared" si="31"/>
        <v>8.7034580469764436E-4</v>
      </c>
      <c r="L51" s="181">
        <f>HLOOKUP($L$3,VaR_Calculo_Historico!$C$2:$ET$103,B51+1,0)</f>
        <v>1.084584</v>
      </c>
      <c r="M51" s="182">
        <f t="shared" si="3"/>
        <v>6.760636384480431E-4</v>
      </c>
      <c r="N51" s="181">
        <f>HLOOKUP($N$3,VaR_Calculo_Historico!$C$2:$ET$103,B51+1,0)</f>
        <v>2.6038039999999998</v>
      </c>
      <c r="O51" s="182">
        <f t="shared" si="4"/>
        <v>5.2283344643569332E-4</v>
      </c>
      <c r="P51" s="181">
        <f>HLOOKUP($P$3,VaR_Calculo_Historico!$C$2:$ET$103,B51+1,0)</f>
        <v>1.7517670000000001</v>
      </c>
      <c r="Q51" s="182">
        <f t="shared" si="5"/>
        <v>8.772135783609563E-4</v>
      </c>
      <c r="R51" s="181">
        <f>HLOOKUP($R$3,VaR_Calculo_Historico!$C$2:$ET$103,B51+1,0)</f>
        <v>1.2587889999999999</v>
      </c>
      <c r="S51" s="182">
        <f t="shared" si="6"/>
        <v>1.1875598553799812E-3</v>
      </c>
      <c r="T51" s="181" t="e">
        <f>HLOOKUP($T$3,VaR_Calculo_Historico!$C$2:$ET$103,B51+1,0)</f>
        <v>#N/A</v>
      </c>
      <c r="U51" s="182" t="e">
        <f t="shared" si="7"/>
        <v>#N/A</v>
      </c>
      <c r="V51" s="181" t="e">
        <f>HLOOKUP($V$3,VaR_Calculo_Historico!$C$2:$ET$103,B51+1,0)</f>
        <v>#N/A</v>
      </c>
      <c r="W51" s="182" t="e">
        <f t="shared" si="8"/>
        <v>#N/A</v>
      </c>
      <c r="X51" s="181" t="e">
        <f>HLOOKUP($X$3,VaR_Calculo_Historico!$C$2:$ET$103,B51+1,0)</f>
        <v>#N/A</v>
      </c>
      <c r="Y51" s="182" t="e">
        <f t="shared" si="9"/>
        <v>#N/A</v>
      </c>
      <c r="Z51" s="181" t="e">
        <f>HLOOKUP($Z$3,VaR_Calculo_Historico!$C$2:$ET$103,B51+1,0)</f>
        <v>#N/A</v>
      </c>
      <c r="AA51" s="182" t="e">
        <f t="shared" si="10"/>
        <v>#N/A</v>
      </c>
      <c r="AB51" s="181" t="e">
        <f>HLOOKUP($AB$3,VaR_Calculo_Historico!$C$2:$ET$103,B51+1,0)</f>
        <v>#N/A</v>
      </c>
      <c r="AC51" s="182" t="e">
        <f t="shared" si="11"/>
        <v>#N/A</v>
      </c>
      <c r="AD51" s="181" t="e">
        <f>HLOOKUP($AD$3,VaR_Calculo_Historico!$C$2:$ET$103,B51+1,0)</f>
        <v>#N/A</v>
      </c>
      <c r="AE51" s="182" t="e">
        <f t="shared" si="12"/>
        <v>#N/A</v>
      </c>
      <c r="AF51" s="181" t="e">
        <f>HLOOKUP($AF$3,VaR_Calculo_Historico!$C$2:$FZS$104,B51+1,0)</f>
        <v>#N/A</v>
      </c>
      <c r="AG51" s="182" t="e">
        <f t="shared" si="13"/>
        <v>#N/A</v>
      </c>
      <c r="AH51" s="181" t="e">
        <f>HLOOKUP($AH$3,VaR_Calculo_Historico!$C$2:$FS$104,B51+1,0)</f>
        <v>#N/A</v>
      </c>
      <c r="AI51" s="182" t="e">
        <f t="shared" si="14"/>
        <v>#N/A</v>
      </c>
      <c r="AJ51" s="181" t="e">
        <f>HLOOKUP($AJ$3,VaR_Calculo_Historico!$C$2:$ET$103,B51+1,0)</f>
        <v>#N/A</v>
      </c>
      <c r="AK51" s="182" t="e">
        <f t="shared" si="15"/>
        <v>#N/A</v>
      </c>
      <c r="AL51" s="181" t="e">
        <f>HLOOKUP($AL$3,VaR_Calculo_Historico!$C$2:$ET$103,B51+1,0)</f>
        <v>#N/A</v>
      </c>
      <c r="AM51" s="182" t="e">
        <f t="shared" si="16"/>
        <v>#N/A</v>
      </c>
      <c r="AN51" s="181" t="e">
        <f>HLOOKUP($AN$3,VaR_Calculo_Historico!$C$2:$ET$103,B51+1,0)</f>
        <v>#N/A</v>
      </c>
      <c r="AO51" s="182" t="e">
        <f t="shared" si="17"/>
        <v>#N/A</v>
      </c>
      <c r="AP51" s="181" t="e">
        <f>HLOOKUP($AP$3,VaR_Calculo_Historico!$C$2:$ET$103,B51+1,0)</f>
        <v>#N/A</v>
      </c>
      <c r="AQ51" s="182" t="e">
        <f t="shared" si="18"/>
        <v>#N/A</v>
      </c>
      <c r="AR51" s="181" t="e">
        <f>HLOOKUP($AR$3,VaR_Calculo_Historico!$C$2:$ET$103,B51+1,0)</f>
        <v>#N/A</v>
      </c>
      <c r="AS51" s="182" t="e">
        <f t="shared" si="19"/>
        <v>#N/A</v>
      </c>
      <c r="AT51" s="181" t="e">
        <f>HLOOKUP($AT$3,VaR_Calculo_Historico!$C$2:$ET$103,B51+1,0)</f>
        <v>#N/A</v>
      </c>
      <c r="AU51" s="182" t="e">
        <f t="shared" si="20"/>
        <v>#N/A</v>
      </c>
      <c r="AV51" s="181" t="e">
        <f>HLOOKUP($AV$3,VaR_Calculo_Historico!$C$2:$ET$103,B51+1,0)</f>
        <v>#N/A</v>
      </c>
      <c r="AW51" s="223" t="e">
        <f t="shared" si="21"/>
        <v>#N/A</v>
      </c>
      <c r="AX51" s="181" t="e">
        <f>HLOOKUP($AX$3,VaR_Calculo_Historico!$C$2:$ET$103,B51+1,0)</f>
        <v>#N/A</v>
      </c>
      <c r="AY51" s="182" t="e">
        <f t="shared" si="22"/>
        <v>#N/A</v>
      </c>
      <c r="AZ51" s="181" t="e">
        <f>HLOOKUP($AZ$3,VaR_Calculo_Historico!$C$2:$ET$103,B51+1,0)</f>
        <v>#N/A</v>
      </c>
      <c r="BA51" s="182" t="e">
        <f t="shared" si="23"/>
        <v>#N/A</v>
      </c>
      <c r="BB51" s="181" t="e">
        <f>HLOOKUP($BB$3,VaR_Calculo_Historico!$C$2:$ET$103,B51+1,0)</f>
        <v>#N/A</v>
      </c>
      <c r="BC51" s="182" t="e">
        <f t="shared" si="24"/>
        <v>#N/A</v>
      </c>
      <c r="BD51" s="181" t="e">
        <f>HLOOKUP($BD$3,VaR_Calculo_Historico!$C$2:$ET$103,B51+1,0)</f>
        <v>#N/A</v>
      </c>
      <c r="BE51" s="182" t="e">
        <f t="shared" si="25"/>
        <v>#N/A</v>
      </c>
      <c r="BF51" s="181" t="e">
        <f>HLOOKUP($BF$3,VaR_Calculo_Historico!$C$2:$ET$103,B51+1,0)</f>
        <v>#N/A</v>
      </c>
      <c r="BG51" s="182" t="e">
        <f t="shared" si="26"/>
        <v>#N/A</v>
      </c>
      <c r="BH51" s="181" t="e">
        <f>HLOOKUP($BH$3,VaR_Calculo_Historico!$C$2:$ET$103,B51+1,0)</f>
        <v>#N/A</v>
      </c>
      <c r="BI51" s="223" t="e">
        <f t="shared" si="27"/>
        <v>#N/A</v>
      </c>
      <c r="BJ51" s="181" t="e">
        <f>HLOOKUP($BJ$3,VaR_Calculo_Historico!$C$2:$ET$103,B51+1,0)</f>
        <v>#N/A</v>
      </c>
      <c r="BK51" s="223" t="e">
        <f t="shared" si="28"/>
        <v>#N/A</v>
      </c>
      <c r="BL51" s="181" t="e">
        <f>HLOOKUP($BL$3,VaR_Calculo_Historico!$C$2:$ET$103,B51+1,0)</f>
        <v>#N/A</v>
      </c>
      <c r="BM51" s="223" t="e">
        <f t="shared" si="29"/>
        <v>#N/A</v>
      </c>
      <c r="BN51" s="181" t="e">
        <f>HLOOKUP($BN$3,VaR_Calculo_Historico!$C$2:$EY$103,B51+1,0)</f>
        <v>#N/A</v>
      </c>
      <c r="BO51" s="223" t="e">
        <f t="shared" si="30"/>
        <v>#N/A</v>
      </c>
    </row>
    <row r="52" spans="2:67" x14ac:dyDescent="0.3">
      <c r="B52" s="166">
        <v>48</v>
      </c>
      <c r="C52" s="208">
        <f>VaR_Calculo_Historico!B49</f>
        <v>42381</v>
      </c>
      <c r="D52" s="181">
        <f>HLOOKUP($D$3,VaR_Calculo_Historico!$C$2:$ET$103,B52+1,0)</f>
        <v>3.3379325299999998</v>
      </c>
      <c r="E52" s="182">
        <f t="shared" si="0"/>
        <v>1.0404845450481366E-3</v>
      </c>
      <c r="F52" s="181">
        <f>HLOOKUP($F$3,VaR_Calculo_Historico!$C$2:$ET$103,B52+1,0)</f>
        <v>1.601599</v>
      </c>
      <c r="G52" s="182">
        <f t="shared" si="1"/>
        <v>5.3398403626102916E-4</v>
      </c>
      <c r="H52" s="181">
        <f>HLOOKUP($H$3,VaR_Calculo_Historico!$C$2:$ET$103,B52+1,0)</f>
        <v>1.115116652</v>
      </c>
      <c r="I52" s="182">
        <f t="shared" si="2"/>
        <v>1.0001433754318284E-3</v>
      </c>
      <c r="J52" s="181">
        <f>HLOOKUP($J$3,VaR_Calculo_Historico!$C$2:$ET$103,B52+1,0)</f>
        <v>1.835904</v>
      </c>
      <c r="K52" s="182">
        <f t="shared" si="31"/>
        <v>7.3669323982960124E-4</v>
      </c>
      <c r="L52" s="181">
        <f>HLOOKUP($L$3,VaR_Calculo_Historico!$C$2:$ET$103,B52+1,0)</f>
        <v>1.0855459999999999</v>
      </c>
      <c r="M52" s="182">
        <f t="shared" si="3"/>
        <v>8.8658288951655255E-4</v>
      </c>
      <c r="N52" s="181">
        <f>HLOOKUP($N$3,VaR_Calculo_Historico!$C$2:$ET$103,B52+1,0)</f>
        <v>2.6051630000000001</v>
      </c>
      <c r="O52" s="182">
        <f t="shared" si="4"/>
        <v>5.217925284743103E-4</v>
      </c>
      <c r="P52" s="181">
        <f>HLOOKUP($P$3,VaR_Calculo_Historico!$C$2:$ET$103,B52+1,0)</f>
        <v>1.753071</v>
      </c>
      <c r="Q52" s="182">
        <f t="shared" si="5"/>
        <v>7.4411431294070876E-4</v>
      </c>
      <c r="R52" s="181">
        <f>HLOOKUP($R$3,VaR_Calculo_Historico!$C$2:$ET$103,B52+1,0)</f>
        <v>1.2602249999999999</v>
      </c>
      <c r="S52" s="182">
        <f t="shared" si="6"/>
        <v>1.1401287611374372E-3</v>
      </c>
      <c r="T52" s="181" t="e">
        <f>HLOOKUP($T$3,VaR_Calculo_Historico!$C$2:$ET$103,B52+1,0)</f>
        <v>#N/A</v>
      </c>
      <c r="U52" s="182" t="e">
        <f t="shared" si="7"/>
        <v>#N/A</v>
      </c>
      <c r="V52" s="181" t="e">
        <f>HLOOKUP($V$3,VaR_Calculo_Historico!$C$2:$ET$103,B52+1,0)</f>
        <v>#N/A</v>
      </c>
      <c r="W52" s="182" t="e">
        <f t="shared" si="8"/>
        <v>#N/A</v>
      </c>
      <c r="X52" s="181" t="e">
        <f>HLOOKUP($X$3,VaR_Calculo_Historico!$C$2:$ET$103,B52+1,0)</f>
        <v>#N/A</v>
      </c>
      <c r="Y52" s="182" t="e">
        <f t="shared" si="9"/>
        <v>#N/A</v>
      </c>
      <c r="Z52" s="181" t="e">
        <f>HLOOKUP($Z$3,VaR_Calculo_Historico!$C$2:$ET$103,B52+1,0)</f>
        <v>#N/A</v>
      </c>
      <c r="AA52" s="182" t="e">
        <f t="shared" si="10"/>
        <v>#N/A</v>
      </c>
      <c r="AB52" s="181" t="e">
        <f>HLOOKUP($AB$3,VaR_Calculo_Historico!$C$2:$ET$103,B52+1,0)</f>
        <v>#N/A</v>
      </c>
      <c r="AC52" s="182" t="e">
        <f t="shared" si="11"/>
        <v>#N/A</v>
      </c>
      <c r="AD52" s="181" t="e">
        <f>HLOOKUP($AD$3,VaR_Calculo_Historico!$C$2:$ET$103,B52+1,0)</f>
        <v>#N/A</v>
      </c>
      <c r="AE52" s="182" t="e">
        <f t="shared" si="12"/>
        <v>#N/A</v>
      </c>
      <c r="AF52" s="181" t="e">
        <f>HLOOKUP($AF$3,VaR_Calculo_Historico!$C$2:$FZS$104,B52+1,0)</f>
        <v>#N/A</v>
      </c>
      <c r="AG52" s="182" t="e">
        <f t="shared" si="13"/>
        <v>#N/A</v>
      </c>
      <c r="AH52" s="181" t="e">
        <f>HLOOKUP($AH$3,VaR_Calculo_Historico!$C$2:$FS$104,B52+1,0)</f>
        <v>#N/A</v>
      </c>
      <c r="AI52" s="182" t="e">
        <f t="shared" si="14"/>
        <v>#N/A</v>
      </c>
      <c r="AJ52" s="181" t="e">
        <f>HLOOKUP($AJ$3,VaR_Calculo_Historico!$C$2:$ET$103,B52+1,0)</f>
        <v>#N/A</v>
      </c>
      <c r="AK52" s="182" t="e">
        <f t="shared" si="15"/>
        <v>#N/A</v>
      </c>
      <c r="AL52" s="181" t="e">
        <f>HLOOKUP($AL$3,VaR_Calculo_Historico!$C$2:$ET$103,B52+1,0)</f>
        <v>#N/A</v>
      </c>
      <c r="AM52" s="182" t="e">
        <f t="shared" si="16"/>
        <v>#N/A</v>
      </c>
      <c r="AN52" s="181" t="e">
        <f>HLOOKUP($AN$3,VaR_Calculo_Historico!$C$2:$ET$103,B52+1,0)</f>
        <v>#N/A</v>
      </c>
      <c r="AO52" s="182" t="e">
        <f t="shared" si="17"/>
        <v>#N/A</v>
      </c>
      <c r="AP52" s="181" t="e">
        <f>HLOOKUP($AP$3,VaR_Calculo_Historico!$C$2:$ET$103,B52+1,0)</f>
        <v>#N/A</v>
      </c>
      <c r="AQ52" s="182" t="e">
        <f t="shared" si="18"/>
        <v>#N/A</v>
      </c>
      <c r="AR52" s="181" t="e">
        <f>HLOOKUP($AR$3,VaR_Calculo_Historico!$C$2:$ET$103,B52+1,0)</f>
        <v>#N/A</v>
      </c>
      <c r="AS52" s="182" t="e">
        <f t="shared" si="19"/>
        <v>#N/A</v>
      </c>
      <c r="AT52" s="181" t="e">
        <f>HLOOKUP($AT$3,VaR_Calculo_Historico!$C$2:$ET$103,B52+1,0)</f>
        <v>#N/A</v>
      </c>
      <c r="AU52" s="182" t="e">
        <f t="shared" si="20"/>
        <v>#N/A</v>
      </c>
      <c r="AV52" s="181" t="e">
        <f>HLOOKUP($AV$3,VaR_Calculo_Historico!$C$2:$ET$103,B52+1,0)</f>
        <v>#N/A</v>
      </c>
      <c r="AW52" s="223" t="e">
        <f t="shared" si="21"/>
        <v>#N/A</v>
      </c>
      <c r="AX52" s="181" t="e">
        <f>HLOOKUP($AX$3,VaR_Calculo_Historico!$C$2:$ET$103,B52+1,0)</f>
        <v>#N/A</v>
      </c>
      <c r="AY52" s="182" t="e">
        <f t="shared" si="22"/>
        <v>#N/A</v>
      </c>
      <c r="AZ52" s="181" t="e">
        <f>HLOOKUP($AZ$3,VaR_Calculo_Historico!$C$2:$ET$103,B52+1,0)</f>
        <v>#N/A</v>
      </c>
      <c r="BA52" s="182" t="e">
        <f t="shared" si="23"/>
        <v>#N/A</v>
      </c>
      <c r="BB52" s="181" t="e">
        <f>HLOOKUP($BB$3,VaR_Calculo_Historico!$C$2:$ET$103,B52+1,0)</f>
        <v>#N/A</v>
      </c>
      <c r="BC52" s="182" t="e">
        <f t="shared" si="24"/>
        <v>#N/A</v>
      </c>
      <c r="BD52" s="181" t="e">
        <f>HLOOKUP($BD$3,VaR_Calculo_Historico!$C$2:$ET$103,B52+1,0)</f>
        <v>#N/A</v>
      </c>
      <c r="BE52" s="182" t="e">
        <f t="shared" si="25"/>
        <v>#N/A</v>
      </c>
      <c r="BF52" s="181" t="e">
        <f>HLOOKUP($BF$3,VaR_Calculo_Historico!$C$2:$ET$103,B52+1,0)</f>
        <v>#N/A</v>
      </c>
      <c r="BG52" s="182" t="e">
        <f t="shared" si="26"/>
        <v>#N/A</v>
      </c>
      <c r="BH52" s="181" t="e">
        <f>HLOOKUP($BH$3,VaR_Calculo_Historico!$C$2:$ET$103,B52+1,0)</f>
        <v>#N/A</v>
      </c>
      <c r="BI52" s="223" t="e">
        <f t="shared" si="27"/>
        <v>#N/A</v>
      </c>
      <c r="BJ52" s="181" t="e">
        <f>HLOOKUP($BJ$3,VaR_Calculo_Historico!$C$2:$ET$103,B52+1,0)</f>
        <v>#N/A</v>
      </c>
      <c r="BK52" s="223" t="e">
        <f t="shared" si="28"/>
        <v>#N/A</v>
      </c>
      <c r="BL52" s="181" t="e">
        <f>HLOOKUP($BL$3,VaR_Calculo_Historico!$C$2:$ET$103,B52+1,0)</f>
        <v>#N/A</v>
      </c>
      <c r="BM52" s="223" t="e">
        <f t="shared" si="29"/>
        <v>#N/A</v>
      </c>
      <c r="BN52" s="181" t="e">
        <f>HLOOKUP($BN$3,VaR_Calculo_Historico!$C$2:$EY$103,B52+1,0)</f>
        <v>#N/A</v>
      </c>
      <c r="BO52" s="223" t="e">
        <f t="shared" si="30"/>
        <v>#N/A</v>
      </c>
    </row>
    <row r="53" spans="2:67" x14ac:dyDescent="0.3">
      <c r="B53" s="166">
        <v>49</v>
      </c>
      <c r="C53" s="208">
        <f>VaR_Calculo_Historico!B50</f>
        <v>42382</v>
      </c>
      <c r="D53" s="181">
        <f>HLOOKUP($D$3,VaR_Calculo_Historico!$C$2:$ET$103,B53+1,0)</f>
        <v>3.3340262190000001</v>
      </c>
      <c r="E53" s="182">
        <f t="shared" si="0"/>
        <v>-1.1709639082922493E-3</v>
      </c>
      <c r="F53" s="181">
        <f>HLOOKUP($F$3,VaR_Calculo_Historico!$C$2:$ET$103,B53+1,0)</f>
        <v>1.6024320000000001</v>
      </c>
      <c r="G53" s="182">
        <f t="shared" si="1"/>
        <v>5.1997001200567198E-4</v>
      </c>
      <c r="H53" s="181">
        <f>HLOOKUP($H$3,VaR_Calculo_Historico!$C$2:$ET$103,B53+1,0)</f>
        <v>1.115744238</v>
      </c>
      <c r="I53" s="182">
        <f t="shared" si="2"/>
        <v>5.6264020707807755E-4</v>
      </c>
      <c r="J53" s="181">
        <f>HLOOKUP($J$3,VaR_Calculo_Historico!$C$2:$ET$103,B53+1,0)</f>
        <v>1.836794</v>
      </c>
      <c r="K53" s="182">
        <f t="shared" si="31"/>
        <v>4.8465733769633942E-4</v>
      </c>
      <c r="L53" s="181">
        <f>HLOOKUP($L$3,VaR_Calculo_Historico!$C$2:$ET$103,B53+1,0)</f>
        <v>1.0862259999999999</v>
      </c>
      <c r="M53" s="182">
        <f t="shared" si="3"/>
        <v>6.262167688151414E-4</v>
      </c>
      <c r="N53" s="181">
        <f>HLOOKUP($N$3,VaR_Calculo_Historico!$C$2:$ET$103,B53+1,0)</f>
        <v>2.6065339999999999</v>
      </c>
      <c r="O53" s="182">
        <f t="shared" si="4"/>
        <v>5.2612422849022337E-4</v>
      </c>
      <c r="P53" s="181">
        <f>HLOOKUP($P$3,VaR_Calculo_Historico!$C$2:$ET$103,B53+1,0)</f>
        <v>1.753927</v>
      </c>
      <c r="Q53" s="182">
        <f t="shared" si="5"/>
        <v>4.8816681218485594E-4</v>
      </c>
      <c r="R53" s="181">
        <f>HLOOKUP($R$3,VaR_Calculo_Historico!$C$2:$ET$103,B53+1,0)</f>
        <v>1.256751</v>
      </c>
      <c r="S53" s="182">
        <f t="shared" si="6"/>
        <v>-2.7604571565446258E-3</v>
      </c>
      <c r="T53" s="181" t="e">
        <f>HLOOKUP($T$3,VaR_Calculo_Historico!$C$2:$ET$103,B53+1,0)</f>
        <v>#N/A</v>
      </c>
      <c r="U53" s="182" t="e">
        <f t="shared" si="7"/>
        <v>#N/A</v>
      </c>
      <c r="V53" s="181" t="e">
        <f>HLOOKUP($V$3,VaR_Calculo_Historico!$C$2:$ET$103,B53+1,0)</f>
        <v>#N/A</v>
      </c>
      <c r="W53" s="182" t="e">
        <f t="shared" si="8"/>
        <v>#N/A</v>
      </c>
      <c r="X53" s="181" t="e">
        <f>HLOOKUP($X$3,VaR_Calculo_Historico!$C$2:$ET$103,B53+1,0)</f>
        <v>#N/A</v>
      </c>
      <c r="Y53" s="182" t="e">
        <f t="shared" si="9"/>
        <v>#N/A</v>
      </c>
      <c r="Z53" s="181" t="e">
        <f>HLOOKUP($Z$3,VaR_Calculo_Historico!$C$2:$ET$103,B53+1,0)</f>
        <v>#N/A</v>
      </c>
      <c r="AA53" s="182" t="e">
        <f t="shared" si="10"/>
        <v>#N/A</v>
      </c>
      <c r="AB53" s="181" t="e">
        <f>HLOOKUP($AB$3,VaR_Calculo_Historico!$C$2:$ET$103,B53+1,0)</f>
        <v>#N/A</v>
      </c>
      <c r="AC53" s="182" t="e">
        <f t="shared" si="11"/>
        <v>#N/A</v>
      </c>
      <c r="AD53" s="181" t="e">
        <f>HLOOKUP($AD$3,VaR_Calculo_Historico!$C$2:$ET$103,B53+1,0)</f>
        <v>#N/A</v>
      </c>
      <c r="AE53" s="182" t="e">
        <f t="shared" si="12"/>
        <v>#N/A</v>
      </c>
      <c r="AF53" s="181" t="e">
        <f>HLOOKUP($AF$3,VaR_Calculo_Historico!$C$2:$FZS$104,B53+1,0)</f>
        <v>#N/A</v>
      </c>
      <c r="AG53" s="182" t="e">
        <f t="shared" si="13"/>
        <v>#N/A</v>
      </c>
      <c r="AH53" s="181" t="e">
        <f>HLOOKUP($AH$3,VaR_Calculo_Historico!$C$2:$FS$104,B53+1,0)</f>
        <v>#N/A</v>
      </c>
      <c r="AI53" s="182" t="e">
        <f t="shared" si="14"/>
        <v>#N/A</v>
      </c>
      <c r="AJ53" s="181" t="e">
        <f>HLOOKUP($AJ$3,VaR_Calculo_Historico!$C$2:$ET$103,B53+1,0)</f>
        <v>#N/A</v>
      </c>
      <c r="AK53" s="182" t="e">
        <f t="shared" si="15"/>
        <v>#N/A</v>
      </c>
      <c r="AL53" s="181" t="e">
        <f>HLOOKUP($AL$3,VaR_Calculo_Historico!$C$2:$ET$103,B53+1,0)</f>
        <v>#N/A</v>
      </c>
      <c r="AM53" s="182" t="e">
        <f t="shared" si="16"/>
        <v>#N/A</v>
      </c>
      <c r="AN53" s="181" t="e">
        <f>HLOOKUP($AN$3,VaR_Calculo_Historico!$C$2:$ET$103,B53+1,0)</f>
        <v>#N/A</v>
      </c>
      <c r="AO53" s="182" t="e">
        <f t="shared" si="17"/>
        <v>#N/A</v>
      </c>
      <c r="AP53" s="181" t="e">
        <f>HLOOKUP($AP$3,VaR_Calculo_Historico!$C$2:$ET$103,B53+1,0)</f>
        <v>#N/A</v>
      </c>
      <c r="AQ53" s="182" t="e">
        <f t="shared" si="18"/>
        <v>#N/A</v>
      </c>
      <c r="AR53" s="181" t="e">
        <f>HLOOKUP($AR$3,VaR_Calculo_Historico!$C$2:$ET$103,B53+1,0)</f>
        <v>#N/A</v>
      </c>
      <c r="AS53" s="182" t="e">
        <f t="shared" si="19"/>
        <v>#N/A</v>
      </c>
      <c r="AT53" s="181" t="e">
        <f>HLOOKUP($AT$3,VaR_Calculo_Historico!$C$2:$ET$103,B53+1,0)</f>
        <v>#N/A</v>
      </c>
      <c r="AU53" s="182" t="e">
        <f t="shared" si="20"/>
        <v>#N/A</v>
      </c>
      <c r="AV53" s="181" t="e">
        <f>HLOOKUP($AV$3,VaR_Calculo_Historico!$C$2:$ET$103,B53+1,0)</f>
        <v>#N/A</v>
      </c>
      <c r="AW53" s="223" t="e">
        <f t="shared" si="21"/>
        <v>#N/A</v>
      </c>
      <c r="AX53" s="181" t="e">
        <f>HLOOKUP($AX$3,VaR_Calculo_Historico!$C$2:$ET$103,B53+1,0)</f>
        <v>#N/A</v>
      </c>
      <c r="AY53" s="182" t="e">
        <f t="shared" si="22"/>
        <v>#N/A</v>
      </c>
      <c r="AZ53" s="181" t="e">
        <f>HLOOKUP($AZ$3,VaR_Calculo_Historico!$C$2:$ET$103,B53+1,0)</f>
        <v>#N/A</v>
      </c>
      <c r="BA53" s="182" t="e">
        <f t="shared" si="23"/>
        <v>#N/A</v>
      </c>
      <c r="BB53" s="181" t="e">
        <f>HLOOKUP($BB$3,VaR_Calculo_Historico!$C$2:$ET$103,B53+1,0)</f>
        <v>#N/A</v>
      </c>
      <c r="BC53" s="182" t="e">
        <f t="shared" si="24"/>
        <v>#N/A</v>
      </c>
      <c r="BD53" s="181" t="e">
        <f>HLOOKUP($BD$3,VaR_Calculo_Historico!$C$2:$ET$103,B53+1,0)</f>
        <v>#N/A</v>
      </c>
      <c r="BE53" s="182" t="e">
        <f t="shared" si="25"/>
        <v>#N/A</v>
      </c>
      <c r="BF53" s="181" t="e">
        <f>HLOOKUP($BF$3,VaR_Calculo_Historico!$C$2:$ET$103,B53+1,0)</f>
        <v>#N/A</v>
      </c>
      <c r="BG53" s="182" t="e">
        <f t="shared" si="26"/>
        <v>#N/A</v>
      </c>
      <c r="BH53" s="181" t="e">
        <f>HLOOKUP($BH$3,VaR_Calculo_Historico!$C$2:$ET$103,B53+1,0)</f>
        <v>#N/A</v>
      </c>
      <c r="BI53" s="223" t="e">
        <f t="shared" si="27"/>
        <v>#N/A</v>
      </c>
      <c r="BJ53" s="181" t="e">
        <f>HLOOKUP($BJ$3,VaR_Calculo_Historico!$C$2:$ET$103,B53+1,0)</f>
        <v>#N/A</v>
      </c>
      <c r="BK53" s="223" t="e">
        <f t="shared" si="28"/>
        <v>#N/A</v>
      </c>
      <c r="BL53" s="181" t="e">
        <f>HLOOKUP($BL$3,VaR_Calculo_Historico!$C$2:$ET$103,B53+1,0)</f>
        <v>#N/A</v>
      </c>
      <c r="BM53" s="223" t="e">
        <f t="shared" si="29"/>
        <v>#N/A</v>
      </c>
      <c r="BN53" s="181" t="e">
        <f>HLOOKUP($BN$3,VaR_Calculo_Historico!$C$2:$EY$103,B53+1,0)</f>
        <v>#N/A</v>
      </c>
      <c r="BO53" s="223" t="e">
        <f t="shared" si="30"/>
        <v>#N/A</v>
      </c>
    </row>
    <row r="54" spans="2:67" x14ac:dyDescent="0.3">
      <c r="B54" s="166">
        <v>50</v>
      </c>
      <c r="C54" s="208">
        <f>VaR_Calculo_Historico!B51</f>
        <v>42383</v>
      </c>
      <c r="D54" s="181">
        <f>HLOOKUP($D$3,VaR_Calculo_Historico!$C$2:$ET$103,B54+1,0)</f>
        <v>3.3310222729999999</v>
      </c>
      <c r="E54" s="182">
        <f t="shared" si="0"/>
        <v>-9.0140265506080859E-4</v>
      </c>
      <c r="F54" s="181">
        <f>HLOOKUP($F$3,VaR_Calculo_Historico!$C$2:$ET$103,B54+1,0)</f>
        <v>1.6032649999999999</v>
      </c>
      <c r="G54" s="182">
        <f t="shared" si="1"/>
        <v>5.1969978369651847E-4</v>
      </c>
      <c r="H54" s="181">
        <f>HLOOKUP($H$3,VaR_Calculo_Historico!$C$2:$ET$103,B54+1,0)</f>
        <v>1.1166076469999999</v>
      </c>
      <c r="I54" s="182">
        <f t="shared" si="2"/>
        <v>7.7354206463103739E-4</v>
      </c>
      <c r="J54" s="181">
        <f>HLOOKUP($J$3,VaR_Calculo_Historico!$C$2:$ET$103,B54+1,0)</f>
        <v>1.8373820000000001</v>
      </c>
      <c r="K54" s="182">
        <f t="shared" si="31"/>
        <v>3.2007176848347966E-4</v>
      </c>
      <c r="L54" s="181">
        <f>HLOOKUP($L$3,VaR_Calculo_Historico!$C$2:$ET$103,B54+1,0)</f>
        <v>1.0870150000000001</v>
      </c>
      <c r="M54" s="182">
        <f t="shared" si="3"/>
        <v>7.2610449983725111E-4</v>
      </c>
      <c r="N54" s="181">
        <f>HLOOKUP($N$3,VaR_Calculo_Historico!$C$2:$ET$103,B54+1,0)</f>
        <v>2.6079059999999998</v>
      </c>
      <c r="O54" s="182">
        <f t="shared" si="4"/>
        <v>5.2623101681525703E-4</v>
      </c>
      <c r="P54" s="181">
        <f>HLOOKUP($P$3,VaR_Calculo_Historico!$C$2:$ET$103,B54+1,0)</f>
        <v>1.7544869999999999</v>
      </c>
      <c r="Q54" s="182">
        <f t="shared" si="5"/>
        <v>3.1923256762498572E-4</v>
      </c>
      <c r="R54" s="181">
        <f>HLOOKUP($R$3,VaR_Calculo_Historico!$C$2:$ET$103,B54+1,0)</f>
        <v>1.254235</v>
      </c>
      <c r="S54" s="182">
        <f t="shared" si="6"/>
        <v>-2.0039943209717317E-3</v>
      </c>
      <c r="T54" s="181" t="e">
        <f>HLOOKUP($T$3,VaR_Calculo_Historico!$C$2:$ET$103,B54+1,0)</f>
        <v>#N/A</v>
      </c>
      <c r="U54" s="182" t="e">
        <f t="shared" si="7"/>
        <v>#N/A</v>
      </c>
      <c r="V54" s="181" t="e">
        <f>HLOOKUP($V$3,VaR_Calculo_Historico!$C$2:$ET$103,B54+1,0)</f>
        <v>#N/A</v>
      </c>
      <c r="W54" s="182" t="e">
        <f t="shared" si="8"/>
        <v>#N/A</v>
      </c>
      <c r="X54" s="181" t="e">
        <f>HLOOKUP($X$3,VaR_Calculo_Historico!$C$2:$ET$103,B54+1,0)</f>
        <v>#N/A</v>
      </c>
      <c r="Y54" s="182" t="e">
        <f t="shared" si="9"/>
        <v>#N/A</v>
      </c>
      <c r="Z54" s="181" t="e">
        <f>HLOOKUP($Z$3,VaR_Calculo_Historico!$C$2:$ET$103,B54+1,0)</f>
        <v>#N/A</v>
      </c>
      <c r="AA54" s="182" t="e">
        <f t="shared" si="10"/>
        <v>#N/A</v>
      </c>
      <c r="AB54" s="181" t="e">
        <f>HLOOKUP($AB$3,VaR_Calculo_Historico!$C$2:$ET$103,B54+1,0)</f>
        <v>#N/A</v>
      </c>
      <c r="AC54" s="182" t="e">
        <f t="shared" si="11"/>
        <v>#N/A</v>
      </c>
      <c r="AD54" s="181" t="e">
        <f>HLOOKUP($AD$3,VaR_Calculo_Historico!$C$2:$ET$103,B54+1,0)</f>
        <v>#N/A</v>
      </c>
      <c r="AE54" s="182" t="e">
        <f t="shared" si="12"/>
        <v>#N/A</v>
      </c>
      <c r="AF54" s="181" t="e">
        <f>HLOOKUP($AF$3,VaR_Calculo_Historico!$C$2:$FZS$104,B54+1,0)</f>
        <v>#N/A</v>
      </c>
      <c r="AG54" s="182" t="e">
        <f t="shared" si="13"/>
        <v>#N/A</v>
      </c>
      <c r="AH54" s="181" t="e">
        <f>HLOOKUP($AH$3,VaR_Calculo_Historico!$C$2:$FS$104,B54+1,0)</f>
        <v>#N/A</v>
      </c>
      <c r="AI54" s="182" t="e">
        <f t="shared" si="14"/>
        <v>#N/A</v>
      </c>
      <c r="AJ54" s="181" t="e">
        <f>HLOOKUP($AJ$3,VaR_Calculo_Historico!$C$2:$ET$103,B54+1,0)</f>
        <v>#N/A</v>
      </c>
      <c r="AK54" s="182" t="e">
        <f t="shared" si="15"/>
        <v>#N/A</v>
      </c>
      <c r="AL54" s="181" t="e">
        <f>HLOOKUP($AL$3,VaR_Calculo_Historico!$C$2:$ET$103,B54+1,0)</f>
        <v>#N/A</v>
      </c>
      <c r="AM54" s="182" t="e">
        <f t="shared" si="16"/>
        <v>#N/A</v>
      </c>
      <c r="AN54" s="181" t="e">
        <f>HLOOKUP($AN$3,VaR_Calculo_Historico!$C$2:$ET$103,B54+1,0)</f>
        <v>#N/A</v>
      </c>
      <c r="AO54" s="182" t="e">
        <f t="shared" si="17"/>
        <v>#N/A</v>
      </c>
      <c r="AP54" s="181" t="e">
        <f>HLOOKUP($AP$3,VaR_Calculo_Historico!$C$2:$ET$103,B54+1,0)</f>
        <v>#N/A</v>
      </c>
      <c r="AQ54" s="182" t="e">
        <f t="shared" si="18"/>
        <v>#N/A</v>
      </c>
      <c r="AR54" s="181" t="e">
        <f>HLOOKUP($AR$3,VaR_Calculo_Historico!$C$2:$ET$103,B54+1,0)</f>
        <v>#N/A</v>
      </c>
      <c r="AS54" s="182" t="e">
        <f t="shared" si="19"/>
        <v>#N/A</v>
      </c>
      <c r="AT54" s="181" t="e">
        <f>HLOOKUP($AT$3,VaR_Calculo_Historico!$C$2:$ET$103,B54+1,0)</f>
        <v>#N/A</v>
      </c>
      <c r="AU54" s="182" t="e">
        <f t="shared" si="20"/>
        <v>#N/A</v>
      </c>
      <c r="AV54" s="181" t="e">
        <f>HLOOKUP($AV$3,VaR_Calculo_Historico!$C$2:$ET$103,B54+1,0)</f>
        <v>#N/A</v>
      </c>
      <c r="AW54" s="223" t="e">
        <f t="shared" si="21"/>
        <v>#N/A</v>
      </c>
      <c r="AX54" s="181" t="e">
        <f>HLOOKUP($AX$3,VaR_Calculo_Historico!$C$2:$ET$103,B54+1,0)</f>
        <v>#N/A</v>
      </c>
      <c r="AY54" s="182" t="e">
        <f t="shared" si="22"/>
        <v>#N/A</v>
      </c>
      <c r="AZ54" s="181" t="e">
        <f>HLOOKUP($AZ$3,VaR_Calculo_Historico!$C$2:$ET$103,B54+1,0)</f>
        <v>#N/A</v>
      </c>
      <c r="BA54" s="182" t="e">
        <f t="shared" si="23"/>
        <v>#N/A</v>
      </c>
      <c r="BB54" s="181" t="e">
        <f>HLOOKUP($BB$3,VaR_Calculo_Historico!$C$2:$ET$103,B54+1,0)</f>
        <v>#N/A</v>
      </c>
      <c r="BC54" s="182" t="e">
        <f t="shared" si="24"/>
        <v>#N/A</v>
      </c>
      <c r="BD54" s="181" t="e">
        <f>HLOOKUP($BD$3,VaR_Calculo_Historico!$C$2:$ET$103,B54+1,0)</f>
        <v>#N/A</v>
      </c>
      <c r="BE54" s="182" t="e">
        <f t="shared" si="25"/>
        <v>#N/A</v>
      </c>
      <c r="BF54" s="181" t="e">
        <f>HLOOKUP($BF$3,VaR_Calculo_Historico!$C$2:$ET$103,B54+1,0)</f>
        <v>#N/A</v>
      </c>
      <c r="BG54" s="182" t="e">
        <f t="shared" si="26"/>
        <v>#N/A</v>
      </c>
      <c r="BH54" s="181" t="e">
        <f>HLOOKUP($BH$3,VaR_Calculo_Historico!$C$2:$ET$103,B54+1,0)</f>
        <v>#N/A</v>
      </c>
      <c r="BI54" s="223" t="e">
        <f t="shared" si="27"/>
        <v>#N/A</v>
      </c>
      <c r="BJ54" s="181" t="e">
        <f>HLOOKUP($BJ$3,VaR_Calculo_Historico!$C$2:$ET$103,B54+1,0)</f>
        <v>#N/A</v>
      </c>
      <c r="BK54" s="223" t="e">
        <f t="shared" si="28"/>
        <v>#N/A</v>
      </c>
      <c r="BL54" s="181" t="e">
        <f>HLOOKUP($BL$3,VaR_Calculo_Historico!$C$2:$ET$103,B54+1,0)</f>
        <v>#N/A</v>
      </c>
      <c r="BM54" s="223" t="e">
        <f t="shared" si="29"/>
        <v>#N/A</v>
      </c>
      <c r="BN54" s="181" t="e">
        <f>HLOOKUP($BN$3,VaR_Calculo_Historico!$C$2:$EY$103,B54+1,0)</f>
        <v>#N/A</v>
      </c>
      <c r="BO54" s="223" t="e">
        <f t="shared" si="30"/>
        <v>#N/A</v>
      </c>
    </row>
    <row r="55" spans="2:67" x14ac:dyDescent="0.3">
      <c r="B55" s="166">
        <v>51</v>
      </c>
      <c r="C55" s="208">
        <f>VaR_Calculo_Historico!B52</f>
        <v>42384</v>
      </c>
      <c r="D55" s="181">
        <f>HLOOKUP($D$3,VaR_Calculo_Historico!$C$2:$ET$103,B55+1,0)</f>
        <v>3.3354687240000001</v>
      </c>
      <c r="E55" s="182">
        <f t="shared" si="0"/>
        <v>1.3339706485359906E-3</v>
      </c>
      <c r="F55" s="181">
        <f>HLOOKUP($F$3,VaR_Calculo_Historico!$C$2:$ET$103,B55+1,0)</f>
        <v>1.604104</v>
      </c>
      <c r="G55" s="182">
        <f t="shared" si="1"/>
        <v>5.2317024897152698E-4</v>
      </c>
      <c r="H55" s="181">
        <f>HLOOKUP($H$3,VaR_Calculo_Historico!$C$2:$ET$103,B55+1,0)</f>
        <v>1.1177086119999999</v>
      </c>
      <c r="I55" s="182">
        <f t="shared" si="2"/>
        <v>9.8550514921223178E-4</v>
      </c>
      <c r="J55" s="181">
        <f>HLOOKUP($J$3,VaR_Calculo_Historico!$C$2:$ET$103,B55+1,0)</f>
        <v>1.8380780000000001</v>
      </c>
      <c r="K55" s="182">
        <f t="shared" si="31"/>
        <v>3.78728109308259E-4</v>
      </c>
      <c r="L55" s="181">
        <f>HLOOKUP($L$3,VaR_Calculo_Historico!$C$2:$ET$103,B55+1,0)</f>
        <v>1.087923</v>
      </c>
      <c r="M55" s="182">
        <f t="shared" si="3"/>
        <v>8.3496637858404923E-4</v>
      </c>
      <c r="N55" s="181">
        <f>HLOOKUP($N$3,VaR_Calculo_Historico!$C$2:$ET$103,B55+1,0)</f>
        <v>2.6092680000000001</v>
      </c>
      <c r="O55" s="182">
        <f t="shared" si="4"/>
        <v>5.2212175823225699E-4</v>
      </c>
      <c r="P55" s="181">
        <f>HLOOKUP($P$3,VaR_Calculo_Historico!$C$2:$ET$103,B55+1,0)</f>
        <v>1.755152</v>
      </c>
      <c r="Q55" s="182">
        <f t="shared" si="5"/>
        <v>3.7895635873575297E-4</v>
      </c>
      <c r="R55" s="181">
        <f>HLOOKUP($R$3,VaR_Calculo_Historico!$C$2:$ET$103,B55+1,0)</f>
        <v>1.2569109999999999</v>
      </c>
      <c r="S55" s="182">
        <f t="shared" si="6"/>
        <v>2.1312986285644555E-3</v>
      </c>
      <c r="T55" s="181" t="e">
        <f>HLOOKUP($T$3,VaR_Calculo_Historico!$C$2:$ET$103,B55+1,0)</f>
        <v>#N/A</v>
      </c>
      <c r="U55" s="182" t="e">
        <f t="shared" si="7"/>
        <v>#N/A</v>
      </c>
      <c r="V55" s="181" t="e">
        <f>HLOOKUP($V$3,VaR_Calculo_Historico!$C$2:$ET$103,B55+1,0)</f>
        <v>#N/A</v>
      </c>
      <c r="W55" s="182" t="e">
        <f t="shared" si="8"/>
        <v>#N/A</v>
      </c>
      <c r="X55" s="181" t="e">
        <f>HLOOKUP($X$3,VaR_Calculo_Historico!$C$2:$ET$103,B55+1,0)</f>
        <v>#N/A</v>
      </c>
      <c r="Y55" s="182" t="e">
        <f t="shared" si="9"/>
        <v>#N/A</v>
      </c>
      <c r="Z55" s="181" t="e">
        <f>HLOOKUP($Z$3,VaR_Calculo_Historico!$C$2:$ET$103,B55+1,0)</f>
        <v>#N/A</v>
      </c>
      <c r="AA55" s="182" t="e">
        <f t="shared" si="10"/>
        <v>#N/A</v>
      </c>
      <c r="AB55" s="181" t="e">
        <f>HLOOKUP($AB$3,VaR_Calculo_Historico!$C$2:$ET$103,B55+1,0)</f>
        <v>#N/A</v>
      </c>
      <c r="AC55" s="182" t="e">
        <f t="shared" si="11"/>
        <v>#N/A</v>
      </c>
      <c r="AD55" s="181" t="e">
        <f>HLOOKUP($AD$3,VaR_Calculo_Historico!$C$2:$ET$103,B55+1,0)</f>
        <v>#N/A</v>
      </c>
      <c r="AE55" s="182" t="e">
        <f t="shared" si="12"/>
        <v>#N/A</v>
      </c>
      <c r="AF55" s="181" t="e">
        <f>HLOOKUP($AF$3,VaR_Calculo_Historico!$C$2:$FZS$104,B55+1,0)</f>
        <v>#N/A</v>
      </c>
      <c r="AG55" s="182" t="e">
        <f t="shared" si="13"/>
        <v>#N/A</v>
      </c>
      <c r="AH55" s="181" t="e">
        <f>HLOOKUP($AH$3,VaR_Calculo_Historico!$C$2:$FS$104,B55+1,0)</f>
        <v>#N/A</v>
      </c>
      <c r="AI55" s="182" t="e">
        <f t="shared" si="14"/>
        <v>#N/A</v>
      </c>
      <c r="AJ55" s="181" t="e">
        <f>HLOOKUP($AJ$3,VaR_Calculo_Historico!$C$2:$ET$103,B55+1,0)</f>
        <v>#N/A</v>
      </c>
      <c r="AK55" s="182" t="e">
        <f t="shared" si="15"/>
        <v>#N/A</v>
      </c>
      <c r="AL55" s="181" t="e">
        <f>HLOOKUP($AL$3,VaR_Calculo_Historico!$C$2:$ET$103,B55+1,0)</f>
        <v>#N/A</v>
      </c>
      <c r="AM55" s="182" t="e">
        <f t="shared" si="16"/>
        <v>#N/A</v>
      </c>
      <c r="AN55" s="181" t="e">
        <f>HLOOKUP($AN$3,VaR_Calculo_Historico!$C$2:$ET$103,B55+1,0)</f>
        <v>#N/A</v>
      </c>
      <c r="AO55" s="182" t="e">
        <f t="shared" si="17"/>
        <v>#N/A</v>
      </c>
      <c r="AP55" s="181" t="e">
        <f>HLOOKUP($AP$3,VaR_Calculo_Historico!$C$2:$ET$103,B55+1,0)</f>
        <v>#N/A</v>
      </c>
      <c r="AQ55" s="182" t="e">
        <f t="shared" si="18"/>
        <v>#N/A</v>
      </c>
      <c r="AR55" s="181" t="e">
        <f>HLOOKUP($AR$3,VaR_Calculo_Historico!$C$2:$ET$103,B55+1,0)</f>
        <v>#N/A</v>
      </c>
      <c r="AS55" s="182" t="e">
        <f t="shared" si="19"/>
        <v>#N/A</v>
      </c>
      <c r="AT55" s="181" t="e">
        <f>HLOOKUP($AT$3,VaR_Calculo_Historico!$C$2:$ET$103,B55+1,0)</f>
        <v>#N/A</v>
      </c>
      <c r="AU55" s="182" t="e">
        <f t="shared" si="20"/>
        <v>#N/A</v>
      </c>
      <c r="AV55" s="181" t="e">
        <f>HLOOKUP($AV$3,VaR_Calculo_Historico!$C$2:$ET$103,B55+1,0)</f>
        <v>#N/A</v>
      </c>
      <c r="AW55" s="223" t="e">
        <f t="shared" si="21"/>
        <v>#N/A</v>
      </c>
      <c r="AX55" s="181" t="e">
        <f>HLOOKUP($AX$3,VaR_Calculo_Historico!$C$2:$ET$103,B55+1,0)</f>
        <v>#N/A</v>
      </c>
      <c r="AY55" s="182" t="e">
        <f t="shared" si="22"/>
        <v>#N/A</v>
      </c>
      <c r="AZ55" s="181" t="e">
        <f>HLOOKUP($AZ$3,VaR_Calculo_Historico!$C$2:$ET$103,B55+1,0)</f>
        <v>#N/A</v>
      </c>
      <c r="BA55" s="182" t="e">
        <f t="shared" si="23"/>
        <v>#N/A</v>
      </c>
      <c r="BB55" s="181" t="e">
        <f>HLOOKUP($BB$3,VaR_Calculo_Historico!$C$2:$ET$103,B55+1,0)</f>
        <v>#N/A</v>
      </c>
      <c r="BC55" s="182" t="e">
        <f t="shared" si="24"/>
        <v>#N/A</v>
      </c>
      <c r="BD55" s="181" t="e">
        <f>HLOOKUP($BD$3,VaR_Calculo_Historico!$C$2:$ET$103,B55+1,0)</f>
        <v>#N/A</v>
      </c>
      <c r="BE55" s="182" t="e">
        <f t="shared" si="25"/>
        <v>#N/A</v>
      </c>
      <c r="BF55" s="181" t="e">
        <f>HLOOKUP($BF$3,VaR_Calculo_Historico!$C$2:$ET$103,B55+1,0)</f>
        <v>#N/A</v>
      </c>
      <c r="BG55" s="182" t="e">
        <f t="shared" si="26"/>
        <v>#N/A</v>
      </c>
      <c r="BH55" s="181" t="e">
        <f>HLOOKUP($BH$3,VaR_Calculo_Historico!$C$2:$ET$103,B55+1,0)</f>
        <v>#N/A</v>
      </c>
      <c r="BI55" s="223" t="e">
        <f t="shared" si="27"/>
        <v>#N/A</v>
      </c>
      <c r="BJ55" s="181" t="e">
        <f>HLOOKUP($BJ$3,VaR_Calculo_Historico!$C$2:$ET$103,B55+1,0)</f>
        <v>#N/A</v>
      </c>
      <c r="BK55" s="223" t="e">
        <f t="shared" si="28"/>
        <v>#N/A</v>
      </c>
      <c r="BL55" s="181" t="e">
        <f>HLOOKUP($BL$3,VaR_Calculo_Historico!$C$2:$ET$103,B55+1,0)</f>
        <v>#N/A</v>
      </c>
      <c r="BM55" s="223" t="e">
        <f t="shared" si="29"/>
        <v>#N/A</v>
      </c>
      <c r="BN55" s="181" t="e">
        <f>HLOOKUP($BN$3,VaR_Calculo_Historico!$C$2:$EY$103,B55+1,0)</f>
        <v>#N/A</v>
      </c>
      <c r="BO55" s="223" t="e">
        <f t="shared" si="30"/>
        <v>#N/A</v>
      </c>
    </row>
    <row r="56" spans="2:67" x14ac:dyDescent="0.3">
      <c r="B56" s="166">
        <v>52</v>
      </c>
      <c r="C56" s="208">
        <f>VaR_Calculo_Historico!B53</f>
        <v>42387</v>
      </c>
      <c r="D56" s="181">
        <f>HLOOKUP($D$3,VaR_Calculo_Historico!$C$2:$ET$103,B56+1,0)</f>
        <v>3.3332898969999998</v>
      </c>
      <c r="E56" s="182">
        <f t="shared" si="0"/>
        <v>-6.5344307729688035E-4</v>
      </c>
      <c r="F56" s="181">
        <f>HLOOKUP($F$3,VaR_Calculo_Historico!$C$2:$ET$103,B56+1,0)</f>
        <v>1.604932</v>
      </c>
      <c r="G56" s="182">
        <f t="shared" si="1"/>
        <v>5.1604283552742565E-4</v>
      </c>
      <c r="H56" s="181">
        <f>HLOOKUP($H$3,VaR_Calculo_Historico!$C$2:$ET$103,B56+1,0)</f>
        <v>1.1200244960000001</v>
      </c>
      <c r="I56" s="182">
        <f t="shared" si="2"/>
        <v>2.0698490079486044E-3</v>
      </c>
      <c r="J56" s="181">
        <f>HLOOKUP($J$3,VaR_Calculo_Historico!$C$2:$ET$103,B56+1,0)</f>
        <v>1.840716</v>
      </c>
      <c r="K56" s="182">
        <f t="shared" si="31"/>
        <v>1.4341658990202938E-3</v>
      </c>
      <c r="L56" s="181">
        <f>HLOOKUP($L$3,VaR_Calculo_Historico!$C$2:$ET$103,B56+1,0)</f>
        <v>1.0898639999999999</v>
      </c>
      <c r="M56" s="182">
        <f t="shared" si="3"/>
        <v>1.7825439438793019E-3</v>
      </c>
      <c r="N56" s="181">
        <f>HLOOKUP($N$3,VaR_Calculo_Historico!$C$2:$ET$103,B56+1,0)</f>
        <v>2.6106289999999999</v>
      </c>
      <c r="O56" s="182">
        <f t="shared" si="4"/>
        <v>5.2146623998166599E-4</v>
      </c>
      <c r="P56" s="181">
        <f>HLOOKUP($P$3,VaR_Calculo_Historico!$C$2:$ET$103,B56+1,0)</f>
        <v>1.757698</v>
      </c>
      <c r="Q56" s="182">
        <f t="shared" si="5"/>
        <v>1.4495355314315642E-3</v>
      </c>
      <c r="R56" s="181">
        <f>HLOOKUP($R$3,VaR_Calculo_Historico!$C$2:$ET$103,B56+1,0)</f>
        <v>1.2535639999999999</v>
      </c>
      <c r="S56" s="182">
        <f t="shared" si="6"/>
        <v>-2.6664292478945045E-3</v>
      </c>
      <c r="T56" s="181" t="e">
        <f>HLOOKUP($T$3,VaR_Calculo_Historico!$C$2:$ET$103,B56+1,0)</f>
        <v>#N/A</v>
      </c>
      <c r="U56" s="182" t="e">
        <f t="shared" si="7"/>
        <v>#N/A</v>
      </c>
      <c r="V56" s="181" t="e">
        <f>HLOOKUP($V$3,VaR_Calculo_Historico!$C$2:$ET$103,B56+1,0)</f>
        <v>#N/A</v>
      </c>
      <c r="W56" s="182" t="e">
        <f t="shared" si="8"/>
        <v>#N/A</v>
      </c>
      <c r="X56" s="181" t="e">
        <f>HLOOKUP($X$3,VaR_Calculo_Historico!$C$2:$ET$103,B56+1,0)</f>
        <v>#N/A</v>
      </c>
      <c r="Y56" s="182" t="e">
        <f t="shared" si="9"/>
        <v>#N/A</v>
      </c>
      <c r="Z56" s="181" t="e">
        <f>HLOOKUP($Z$3,VaR_Calculo_Historico!$C$2:$ET$103,B56+1,0)</f>
        <v>#N/A</v>
      </c>
      <c r="AA56" s="182" t="e">
        <f t="shared" si="10"/>
        <v>#N/A</v>
      </c>
      <c r="AB56" s="181" t="e">
        <f>HLOOKUP($AB$3,VaR_Calculo_Historico!$C$2:$ET$103,B56+1,0)</f>
        <v>#N/A</v>
      </c>
      <c r="AC56" s="182" t="e">
        <f t="shared" si="11"/>
        <v>#N/A</v>
      </c>
      <c r="AD56" s="181" t="e">
        <f>HLOOKUP($AD$3,VaR_Calculo_Historico!$C$2:$ET$103,B56+1,0)</f>
        <v>#N/A</v>
      </c>
      <c r="AE56" s="182" t="e">
        <f t="shared" si="12"/>
        <v>#N/A</v>
      </c>
      <c r="AF56" s="181" t="e">
        <f>HLOOKUP($AF$3,VaR_Calculo_Historico!$C$2:$FZS$104,B56+1,0)</f>
        <v>#N/A</v>
      </c>
      <c r="AG56" s="182" t="e">
        <f t="shared" si="13"/>
        <v>#N/A</v>
      </c>
      <c r="AH56" s="181" t="e">
        <f>HLOOKUP($AH$3,VaR_Calculo_Historico!$C$2:$FS$104,B56+1,0)</f>
        <v>#N/A</v>
      </c>
      <c r="AI56" s="182" t="e">
        <f t="shared" si="14"/>
        <v>#N/A</v>
      </c>
      <c r="AJ56" s="181" t="e">
        <f>HLOOKUP($AJ$3,VaR_Calculo_Historico!$C$2:$ET$103,B56+1,0)</f>
        <v>#N/A</v>
      </c>
      <c r="AK56" s="182" t="e">
        <f t="shared" si="15"/>
        <v>#N/A</v>
      </c>
      <c r="AL56" s="181" t="e">
        <f>HLOOKUP($AL$3,VaR_Calculo_Historico!$C$2:$ET$103,B56+1,0)</f>
        <v>#N/A</v>
      </c>
      <c r="AM56" s="182" t="e">
        <f t="shared" si="16"/>
        <v>#N/A</v>
      </c>
      <c r="AN56" s="181" t="e">
        <f>HLOOKUP($AN$3,VaR_Calculo_Historico!$C$2:$ET$103,B56+1,0)</f>
        <v>#N/A</v>
      </c>
      <c r="AO56" s="182" t="e">
        <f t="shared" si="17"/>
        <v>#N/A</v>
      </c>
      <c r="AP56" s="181" t="e">
        <f>HLOOKUP($AP$3,VaR_Calculo_Historico!$C$2:$ET$103,B56+1,0)</f>
        <v>#N/A</v>
      </c>
      <c r="AQ56" s="182" t="e">
        <f t="shared" si="18"/>
        <v>#N/A</v>
      </c>
      <c r="AR56" s="181" t="e">
        <f>HLOOKUP($AR$3,VaR_Calculo_Historico!$C$2:$ET$103,B56+1,0)</f>
        <v>#N/A</v>
      </c>
      <c r="AS56" s="182" t="e">
        <f t="shared" si="19"/>
        <v>#N/A</v>
      </c>
      <c r="AT56" s="181" t="e">
        <f>HLOOKUP($AT$3,VaR_Calculo_Historico!$C$2:$ET$103,B56+1,0)</f>
        <v>#N/A</v>
      </c>
      <c r="AU56" s="182" t="e">
        <f t="shared" si="20"/>
        <v>#N/A</v>
      </c>
      <c r="AV56" s="181" t="e">
        <f>HLOOKUP($AV$3,VaR_Calculo_Historico!$C$2:$ET$103,B56+1,0)</f>
        <v>#N/A</v>
      </c>
      <c r="AW56" s="223" t="e">
        <f t="shared" si="21"/>
        <v>#N/A</v>
      </c>
      <c r="AX56" s="181" t="e">
        <f>HLOOKUP($AX$3,VaR_Calculo_Historico!$C$2:$ET$103,B56+1,0)</f>
        <v>#N/A</v>
      </c>
      <c r="AY56" s="182" t="e">
        <f t="shared" si="22"/>
        <v>#N/A</v>
      </c>
      <c r="AZ56" s="181" t="e">
        <f>HLOOKUP($AZ$3,VaR_Calculo_Historico!$C$2:$ET$103,B56+1,0)</f>
        <v>#N/A</v>
      </c>
      <c r="BA56" s="182" t="e">
        <f t="shared" si="23"/>
        <v>#N/A</v>
      </c>
      <c r="BB56" s="181" t="e">
        <f>HLOOKUP($BB$3,VaR_Calculo_Historico!$C$2:$ET$103,B56+1,0)</f>
        <v>#N/A</v>
      </c>
      <c r="BC56" s="182" t="e">
        <f t="shared" si="24"/>
        <v>#N/A</v>
      </c>
      <c r="BD56" s="181" t="e">
        <f>HLOOKUP($BD$3,VaR_Calculo_Historico!$C$2:$ET$103,B56+1,0)</f>
        <v>#N/A</v>
      </c>
      <c r="BE56" s="182" t="e">
        <f t="shared" si="25"/>
        <v>#N/A</v>
      </c>
      <c r="BF56" s="181" t="e">
        <f>HLOOKUP($BF$3,VaR_Calculo_Historico!$C$2:$ET$103,B56+1,0)</f>
        <v>#N/A</v>
      </c>
      <c r="BG56" s="182" t="e">
        <f t="shared" si="26"/>
        <v>#N/A</v>
      </c>
      <c r="BH56" s="181" t="e">
        <f>HLOOKUP($BH$3,VaR_Calculo_Historico!$C$2:$ET$103,B56+1,0)</f>
        <v>#N/A</v>
      </c>
      <c r="BI56" s="223" t="e">
        <f t="shared" si="27"/>
        <v>#N/A</v>
      </c>
      <c r="BJ56" s="181" t="e">
        <f>HLOOKUP($BJ$3,VaR_Calculo_Historico!$C$2:$ET$103,B56+1,0)</f>
        <v>#N/A</v>
      </c>
      <c r="BK56" s="223" t="e">
        <f t="shared" si="28"/>
        <v>#N/A</v>
      </c>
      <c r="BL56" s="181" t="e">
        <f>HLOOKUP($BL$3,VaR_Calculo_Historico!$C$2:$ET$103,B56+1,0)</f>
        <v>#N/A</v>
      </c>
      <c r="BM56" s="223" t="e">
        <f t="shared" si="29"/>
        <v>#N/A</v>
      </c>
      <c r="BN56" s="181" t="e">
        <f>HLOOKUP($BN$3,VaR_Calculo_Historico!$C$2:$EY$103,B56+1,0)</f>
        <v>#N/A</v>
      </c>
      <c r="BO56" s="223" t="e">
        <f t="shared" si="30"/>
        <v>#N/A</v>
      </c>
    </row>
    <row r="57" spans="2:67" x14ac:dyDescent="0.3">
      <c r="B57" s="166">
        <v>53</v>
      </c>
      <c r="C57" s="208">
        <f>VaR_Calculo_Historico!B54</f>
        <v>42388</v>
      </c>
      <c r="D57" s="181">
        <f>HLOOKUP($D$3,VaR_Calculo_Historico!$C$2:$ET$103,B57+1,0)</f>
        <v>3.3309577419999998</v>
      </c>
      <c r="E57" s="182">
        <f t="shared" si="0"/>
        <v>-6.9990049035826717E-4</v>
      </c>
      <c r="F57" s="181">
        <f>HLOOKUP($F$3,VaR_Calculo_Historico!$C$2:$ET$103,B57+1,0)</f>
        <v>1.605742</v>
      </c>
      <c r="G57" s="182">
        <f t="shared" si="1"/>
        <v>5.0456696455931449E-4</v>
      </c>
      <c r="H57" s="181">
        <f>HLOOKUP($H$3,VaR_Calculo_Historico!$C$2:$ET$103,B57+1,0)</f>
        <v>1.1215851889999999</v>
      </c>
      <c r="I57" s="182">
        <f t="shared" si="2"/>
        <v>1.3924754720892603E-3</v>
      </c>
      <c r="J57" s="181">
        <f>HLOOKUP($J$3,VaR_Calculo_Historico!$C$2:$ET$103,B57+1,0)</f>
        <v>1.8433980000000001</v>
      </c>
      <c r="K57" s="182">
        <f t="shared" si="31"/>
        <v>1.4559812610542178E-3</v>
      </c>
      <c r="L57" s="181">
        <f>HLOOKUP($L$3,VaR_Calculo_Historico!$C$2:$ET$103,B57+1,0)</f>
        <v>1.091324</v>
      </c>
      <c r="M57" s="182">
        <f t="shared" si="3"/>
        <v>1.3387202002280547E-3</v>
      </c>
      <c r="N57" s="181">
        <f>HLOOKUP($N$3,VaR_Calculo_Historico!$C$2:$ET$103,B57+1,0)</f>
        <v>2.611993</v>
      </c>
      <c r="O57" s="182">
        <f t="shared" si="4"/>
        <v>5.2234300357686275E-4</v>
      </c>
      <c r="P57" s="181">
        <f>HLOOKUP($P$3,VaR_Calculo_Historico!$C$2:$ET$103,B57+1,0)</f>
        <v>1.760289</v>
      </c>
      <c r="Q57" s="182">
        <f t="shared" si="5"/>
        <v>1.4730017299562838E-3</v>
      </c>
      <c r="R57" s="181">
        <f>HLOOKUP($R$3,VaR_Calculo_Historico!$C$2:$ET$103,B57+1,0)</f>
        <v>1.25013</v>
      </c>
      <c r="S57" s="182">
        <f t="shared" si="6"/>
        <v>-2.7431484465472015E-3</v>
      </c>
      <c r="T57" s="181" t="e">
        <f>HLOOKUP($T$3,VaR_Calculo_Historico!$C$2:$ET$103,B57+1,0)</f>
        <v>#N/A</v>
      </c>
      <c r="U57" s="182" t="e">
        <f t="shared" si="7"/>
        <v>#N/A</v>
      </c>
      <c r="V57" s="181" t="e">
        <f>HLOOKUP($V$3,VaR_Calculo_Historico!$C$2:$ET$103,B57+1,0)</f>
        <v>#N/A</v>
      </c>
      <c r="W57" s="182" t="e">
        <f t="shared" si="8"/>
        <v>#N/A</v>
      </c>
      <c r="X57" s="181" t="e">
        <f>HLOOKUP($X$3,VaR_Calculo_Historico!$C$2:$ET$103,B57+1,0)</f>
        <v>#N/A</v>
      </c>
      <c r="Y57" s="182" t="e">
        <f t="shared" si="9"/>
        <v>#N/A</v>
      </c>
      <c r="Z57" s="181" t="e">
        <f>HLOOKUP($Z$3,VaR_Calculo_Historico!$C$2:$ET$103,B57+1,0)</f>
        <v>#N/A</v>
      </c>
      <c r="AA57" s="182" t="e">
        <f t="shared" si="10"/>
        <v>#N/A</v>
      </c>
      <c r="AB57" s="181" t="e">
        <f>HLOOKUP($AB$3,VaR_Calculo_Historico!$C$2:$ET$103,B57+1,0)</f>
        <v>#N/A</v>
      </c>
      <c r="AC57" s="182" t="e">
        <f t="shared" si="11"/>
        <v>#N/A</v>
      </c>
      <c r="AD57" s="181" t="e">
        <f>HLOOKUP($AD$3,VaR_Calculo_Historico!$C$2:$ET$103,B57+1,0)</f>
        <v>#N/A</v>
      </c>
      <c r="AE57" s="182" t="e">
        <f t="shared" si="12"/>
        <v>#N/A</v>
      </c>
      <c r="AF57" s="181" t="e">
        <f>HLOOKUP($AF$3,VaR_Calculo_Historico!$C$2:$FZS$104,B57+1,0)</f>
        <v>#N/A</v>
      </c>
      <c r="AG57" s="182" t="e">
        <f t="shared" si="13"/>
        <v>#N/A</v>
      </c>
      <c r="AH57" s="181" t="e">
        <f>HLOOKUP($AH$3,VaR_Calculo_Historico!$C$2:$FS$104,B57+1,0)</f>
        <v>#N/A</v>
      </c>
      <c r="AI57" s="182" t="e">
        <f t="shared" si="14"/>
        <v>#N/A</v>
      </c>
      <c r="AJ57" s="181" t="e">
        <f>HLOOKUP($AJ$3,VaR_Calculo_Historico!$C$2:$ET$103,B57+1,0)</f>
        <v>#N/A</v>
      </c>
      <c r="AK57" s="182" t="e">
        <f t="shared" si="15"/>
        <v>#N/A</v>
      </c>
      <c r="AL57" s="181" t="e">
        <f>HLOOKUP($AL$3,VaR_Calculo_Historico!$C$2:$ET$103,B57+1,0)</f>
        <v>#N/A</v>
      </c>
      <c r="AM57" s="182" t="e">
        <f t="shared" si="16"/>
        <v>#N/A</v>
      </c>
      <c r="AN57" s="181" t="e">
        <f>HLOOKUP($AN$3,VaR_Calculo_Historico!$C$2:$ET$103,B57+1,0)</f>
        <v>#N/A</v>
      </c>
      <c r="AO57" s="182" t="e">
        <f t="shared" si="17"/>
        <v>#N/A</v>
      </c>
      <c r="AP57" s="181" t="e">
        <f>HLOOKUP($AP$3,VaR_Calculo_Historico!$C$2:$ET$103,B57+1,0)</f>
        <v>#N/A</v>
      </c>
      <c r="AQ57" s="182" t="e">
        <f t="shared" si="18"/>
        <v>#N/A</v>
      </c>
      <c r="AR57" s="181" t="e">
        <f>HLOOKUP($AR$3,VaR_Calculo_Historico!$C$2:$ET$103,B57+1,0)</f>
        <v>#N/A</v>
      </c>
      <c r="AS57" s="182" t="e">
        <f t="shared" si="19"/>
        <v>#N/A</v>
      </c>
      <c r="AT57" s="181" t="e">
        <f>HLOOKUP($AT$3,VaR_Calculo_Historico!$C$2:$ET$103,B57+1,0)</f>
        <v>#N/A</v>
      </c>
      <c r="AU57" s="182" t="e">
        <f t="shared" si="20"/>
        <v>#N/A</v>
      </c>
      <c r="AV57" s="181" t="e">
        <f>HLOOKUP($AV$3,VaR_Calculo_Historico!$C$2:$ET$103,B57+1,0)</f>
        <v>#N/A</v>
      </c>
      <c r="AW57" s="223" t="e">
        <f t="shared" si="21"/>
        <v>#N/A</v>
      </c>
      <c r="AX57" s="181" t="e">
        <f>HLOOKUP($AX$3,VaR_Calculo_Historico!$C$2:$ET$103,B57+1,0)</f>
        <v>#N/A</v>
      </c>
      <c r="AY57" s="182" t="e">
        <f t="shared" si="22"/>
        <v>#N/A</v>
      </c>
      <c r="AZ57" s="181" t="e">
        <f>HLOOKUP($AZ$3,VaR_Calculo_Historico!$C$2:$ET$103,B57+1,0)</f>
        <v>#N/A</v>
      </c>
      <c r="BA57" s="182" t="e">
        <f t="shared" si="23"/>
        <v>#N/A</v>
      </c>
      <c r="BB57" s="181" t="e">
        <f>HLOOKUP($BB$3,VaR_Calculo_Historico!$C$2:$ET$103,B57+1,0)</f>
        <v>#N/A</v>
      </c>
      <c r="BC57" s="182" t="e">
        <f t="shared" si="24"/>
        <v>#N/A</v>
      </c>
      <c r="BD57" s="181" t="e">
        <f>HLOOKUP($BD$3,VaR_Calculo_Historico!$C$2:$ET$103,B57+1,0)</f>
        <v>#N/A</v>
      </c>
      <c r="BE57" s="182" t="e">
        <f t="shared" si="25"/>
        <v>#N/A</v>
      </c>
      <c r="BF57" s="181" t="e">
        <f>HLOOKUP($BF$3,VaR_Calculo_Historico!$C$2:$ET$103,B57+1,0)</f>
        <v>#N/A</v>
      </c>
      <c r="BG57" s="182" t="e">
        <f t="shared" si="26"/>
        <v>#N/A</v>
      </c>
      <c r="BH57" s="181" t="e">
        <f>HLOOKUP($BH$3,VaR_Calculo_Historico!$C$2:$ET$103,B57+1,0)</f>
        <v>#N/A</v>
      </c>
      <c r="BI57" s="223" t="e">
        <f t="shared" si="27"/>
        <v>#N/A</v>
      </c>
      <c r="BJ57" s="181" t="e">
        <f>HLOOKUP($BJ$3,VaR_Calculo_Historico!$C$2:$ET$103,B57+1,0)</f>
        <v>#N/A</v>
      </c>
      <c r="BK57" s="223" t="e">
        <f t="shared" si="28"/>
        <v>#N/A</v>
      </c>
      <c r="BL57" s="181" t="e">
        <f>HLOOKUP($BL$3,VaR_Calculo_Historico!$C$2:$ET$103,B57+1,0)</f>
        <v>#N/A</v>
      </c>
      <c r="BM57" s="223" t="e">
        <f t="shared" si="29"/>
        <v>#N/A</v>
      </c>
      <c r="BN57" s="181" t="e">
        <f>HLOOKUP($BN$3,VaR_Calculo_Historico!$C$2:$EY$103,B57+1,0)</f>
        <v>#N/A</v>
      </c>
      <c r="BO57" s="223" t="e">
        <f t="shared" si="30"/>
        <v>#N/A</v>
      </c>
    </row>
    <row r="58" spans="2:67" x14ac:dyDescent="0.3">
      <c r="B58" s="166">
        <v>54</v>
      </c>
      <c r="C58" s="208">
        <f>VaR_Calculo_Historico!B55</f>
        <v>42389</v>
      </c>
      <c r="D58" s="181">
        <f>HLOOKUP($D$3,VaR_Calculo_Historico!$C$2:$ET$103,B58+1,0)</f>
        <v>3.3403129329999999</v>
      </c>
      <c r="E58" s="182">
        <f t="shared" si="0"/>
        <v>2.8046222640348548E-3</v>
      </c>
      <c r="F58" s="181">
        <f>HLOOKUP($F$3,VaR_Calculo_Historico!$C$2:$ET$103,B58+1,0)</f>
        <v>1.606557</v>
      </c>
      <c r="G58" s="182">
        <f t="shared" si="1"/>
        <v>5.0742475559534912E-4</v>
      </c>
      <c r="H58" s="181">
        <f>HLOOKUP($H$3,VaR_Calculo_Historico!$C$2:$ET$103,B58+1,0)</f>
        <v>1.1259244479999999</v>
      </c>
      <c r="I58" s="182">
        <f t="shared" si="2"/>
        <v>3.8613978069186481E-3</v>
      </c>
      <c r="J58" s="181">
        <f>HLOOKUP($J$3,VaR_Calculo_Historico!$C$2:$ET$103,B58+1,0)</f>
        <v>1.8467629999999999</v>
      </c>
      <c r="K58" s="182">
        <f t="shared" si="31"/>
        <v>1.823769170344203E-3</v>
      </c>
      <c r="L58" s="181">
        <f>HLOOKUP($L$3,VaR_Calculo_Historico!$C$2:$ET$103,B58+1,0)</f>
        <v>1.0942959999999999</v>
      </c>
      <c r="M58" s="182">
        <f t="shared" si="3"/>
        <v>2.7195961162441934E-3</v>
      </c>
      <c r="N58" s="181">
        <f>HLOOKUP($N$3,VaR_Calculo_Historico!$C$2:$ET$103,B58+1,0)</f>
        <v>2.613343</v>
      </c>
      <c r="O58" s="182">
        <f t="shared" si="4"/>
        <v>5.1671319510818376E-4</v>
      </c>
      <c r="P58" s="181">
        <f>HLOOKUP($P$3,VaR_Calculo_Historico!$C$2:$ET$103,B58+1,0)</f>
        <v>1.7635179999999999</v>
      </c>
      <c r="Q58" s="182">
        <f t="shared" si="5"/>
        <v>1.8326775012205876E-3</v>
      </c>
      <c r="R58" s="181">
        <f>HLOOKUP($R$3,VaR_Calculo_Historico!$C$2:$ET$103,B58+1,0)</f>
        <v>1.254481</v>
      </c>
      <c r="S58" s="182">
        <f t="shared" si="6"/>
        <v>3.4743953267759925E-3</v>
      </c>
      <c r="T58" s="181" t="e">
        <f>HLOOKUP($T$3,VaR_Calculo_Historico!$C$2:$ET$103,B58+1,0)</f>
        <v>#N/A</v>
      </c>
      <c r="U58" s="182" t="e">
        <f t="shared" si="7"/>
        <v>#N/A</v>
      </c>
      <c r="V58" s="181" t="e">
        <f>HLOOKUP($V$3,VaR_Calculo_Historico!$C$2:$ET$103,B58+1,0)</f>
        <v>#N/A</v>
      </c>
      <c r="W58" s="182" t="e">
        <f t="shared" si="8"/>
        <v>#N/A</v>
      </c>
      <c r="X58" s="181" t="e">
        <f>HLOOKUP($X$3,VaR_Calculo_Historico!$C$2:$ET$103,B58+1,0)</f>
        <v>#N/A</v>
      </c>
      <c r="Y58" s="182" t="e">
        <f t="shared" si="9"/>
        <v>#N/A</v>
      </c>
      <c r="Z58" s="181" t="e">
        <f>HLOOKUP($Z$3,VaR_Calculo_Historico!$C$2:$ET$103,B58+1,0)</f>
        <v>#N/A</v>
      </c>
      <c r="AA58" s="182" t="e">
        <f t="shared" si="10"/>
        <v>#N/A</v>
      </c>
      <c r="AB58" s="181" t="e">
        <f>HLOOKUP($AB$3,VaR_Calculo_Historico!$C$2:$ET$103,B58+1,0)</f>
        <v>#N/A</v>
      </c>
      <c r="AC58" s="182" t="e">
        <f t="shared" si="11"/>
        <v>#N/A</v>
      </c>
      <c r="AD58" s="181" t="e">
        <f>HLOOKUP($AD$3,VaR_Calculo_Historico!$C$2:$ET$103,B58+1,0)</f>
        <v>#N/A</v>
      </c>
      <c r="AE58" s="182" t="e">
        <f t="shared" si="12"/>
        <v>#N/A</v>
      </c>
      <c r="AF58" s="181" t="e">
        <f>HLOOKUP($AF$3,VaR_Calculo_Historico!$C$2:$FZS$104,B58+1,0)</f>
        <v>#N/A</v>
      </c>
      <c r="AG58" s="182" t="e">
        <f t="shared" si="13"/>
        <v>#N/A</v>
      </c>
      <c r="AH58" s="181" t="e">
        <f>HLOOKUP($AH$3,VaR_Calculo_Historico!$C$2:$FS$104,B58+1,0)</f>
        <v>#N/A</v>
      </c>
      <c r="AI58" s="182" t="e">
        <f t="shared" si="14"/>
        <v>#N/A</v>
      </c>
      <c r="AJ58" s="181" t="e">
        <f>HLOOKUP($AJ$3,VaR_Calculo_Historico!$C$2:$ET$103,B58+1,0)</f>
        <v>#N/A</v>
      </c>
      <c r="AK58" s="182" t="e">
        <f t="shared" si="15"/>
        <v>#N/A</v>
      </c>
      <c r="AL58" s="181" t="e">
        <f>HLOOKUP($AL$3,VaR_Calculo_Historico!$C$2:$ET$103,B58+1,0)</f>
        <v>#N/A</v>
      </c>
      <c r="AM58" s="182" t="e">
        <f t="shared" si="16"/>
        <v>#N/A</v>
      </c>
      <c r="AN58" s="181" t="e">
        <f>HLOOKUP($AN$3,VaR_Calculo_Historico!$C$2:$ET$103,B58+1,0)</f>
        <v>#N/A</v>
      </c>
      <c r="AO58" s="182" t="e">
        <f t="shared" si="17"/>
        <v>#N/A</v>
      </c>
      <c r="AP58" s="181" t="e">
        <f>HLOOKUP($AP$3,VaR_Calculo_Historico!$C$2:$ET$103,B58+1,0)</f>
        <v>#N/A</v>
      </c>
      <c r="AQ58" s="182" t="e">
        <f t="shared" si="18"/>
        <v>#N/A</v>
      </c>
      <c r="AR58" s="181" t="e">
        <f>HLOOKUP($AR$3,VaR_Calculo_Historico!$C$2:$ET$103,B58+1,0)</f>
        <v>#N/A</v>
      </c>
      <c r="AS58" s="182" t="e">
        <f t="shared" si="19"/>
        <v>#N/A</v>
      </c>
      <c r="AT58" s="181" t="e">
        <f>HLOOKUP($AT$3,VaR_Calculo_Historico!$C$2:$ET$103,B58+1,0)</f>
        <v>#N/A</v>
      </c>
      <c r="AU58" s="182" t="e">
        <f t="shared" si="20"/>
        <v>#N/A</v>
      </c>
      <c r="AV58" s="181" t="e">
        <f>HLOOKUP($AV$3,VaR_Calculo_Historico!$C$2:$ET$103,B58+1,0)</f>
        <v>#N/A</v>
      </c>
      <c r="AW58" s="223" t="e">
        <f t="shared" si="21"/>
        <v>#N/A</v>
      </c>
      <c r="AX58" s="181" t="e">
        <f>HLOOKUP($AX$3,VaR_Calculo_Historico!$C$2:$ET$103,B58+1,0)</f>
        <v>#N/A</v>
      </c>
      <c r="AY58" s="182" t="e">
        <f t="shared" si="22"/>
        <v>#N/A</v>
      </c>
      <c r="AZ58" s="181" t="e">
        <f>HLOOKUP($AZ$3,VaR_Calculo_Historico!$C$2:$ET$103,B58+1,0)</f>
        <v>#N/A</v>
      </c>
      <c r="BA58" s="182" t="e">
        <f t="shared" si="23"/>
        <v>#N/A</v>
      </c>
      <c r="BB58" s="181" t="e">
        <f>HLOOKUP($BB$3,VaR_Calculo_Historico!$C$2:$ET$103,B58+1,0)</f>
        <v>#N/A</v>
      </c>
      <c r="BC58" s="182" t="e">
        <f t="shared" si="24"/>
        <v>#N/A</v>
      </c>
      <c r="BD58" s="181" t="e">
        <f>HLOOKUP($BD$3,VaR_Calculo_Historico!$C$2:$ET$103,B58+1,0)</f>
        <v>#N/A</v>
      </c>
      <c r="BE58" s="182" t="e">
        <f t="shared" si="25"/>
        <v>#N/A</v>
      </c>
      <c r="BF58" s="181" t="e">
        <f>HLOOKUP($BF$3,VaR_Calculo_Historico!$C$2:$ET$103,B58+1,0)</f>
        <v>#N/A</v>
      </c>
      <c r="BG58" s="182" t="e">
        <f t="shared" si="26"/>
        <v>#N/A</v>
      </c>
      <c r="BH58" s="181" t="e">
        <f>HLOOKUP($BH$3,VaR_Calculo_Historico!$C$2:$ET$103,B58+1,0)</f>
        <v>#N/A</v>
      </c>
      <c r="BI58" s="223" t="e">
        <f t="shared" si="27"/>
        <v>#N/A</v>
      </c>
      <c r="BJ58" s="181" t="e">
        <f>HLOOKUP($BJ$3,VaR_Calculo_Historico!$C$2:$ET$103,B58+1,0)</f>
        <v>#N/A</v>
      </c>
      <c r="BK58" s="223" t="e">
        <f t="shared" si="28"/>
        <v>#N/A</v>
      </c>
      <c r="BL58" s="181" t="e">
        <f>HLOOKUP($BL$3,VaR_Calculo_Historico!$C$2:$ET$103,B58+1,0)</f>
        <v>#N/A</v>
      </c>
      <c r="BM58" s="223" t="e">
        <f t="shared" si="29"/>
        <v>#N/A</v>
      </c>
      <c r="BN58" s="181" t="e">
        <f>HLOOKUP($BN$3,VaR_Calculo_Historico!$C$2:$EY$103,B58+1,0)</f>
        <v>#N/A</v>
      </c>
      <c r="BO58" s="223" t="e">
        <f t="shared" si="30"/>
        <v>#N/A</v>
      </c>
    </row>
    <row r="59" spans="2:67" x14ac:dyDescent="0.3">
      <c r="B59" s="166">
        <v>55</v>
      </c>
      <c r="C59" s="208">
        <f>VaR_Calculo_Historico!B56</f>
        <v>42390</v>
      </c>
      <c r="D59" s="181">
        <f>HLOOKUP($D$3,VaR_Calculo_Historico!$C$2:$ET$103,B59+1,0)</f>
        <v>3.3481190930000002</v>
      </c>
      <c r="E59" s="182">
        <f t="shared" si="0"/>
        <v>2.3342282657747952E-3</v>
      </c>
      <c r="F59" s="181">
        <f>HLOOKUP($F$3,VaR_Calculo_Historico!$C$2:$ET$103,B59+1,0)</f>
        <v>1.6074040000000001</v>
      </c>
      <c r="G59" s="182">
        <f t="shared" si="1"/>
        <v>5.2707548075959024E-4</v>
      </c>
      <c r="H59" s="181">
        <f>HLOOKUP($H$3,VaR_Calculo_Historico!$C$2:$ET$103,B59+1,0)</f>
        <v>1.1268588829999999</v>
      </c>
      <c r="I59" s="182">
        <f t="shared" si="2"/>
        <v>8.2958271284401736E-4</v>
      </c>
      <c r="J59" s="181">
        <f>HLOOKUP($J$3,VaR_Calculo_Historico!$C$2:$ET$103,B59+1,0)</f>
        <v>1.8479159999999999</v>
      </c>
      <c r="K59" s="182">
        <f t="shared" si="31"/>
        <v>6.2414084548586635E-4</v>
      </c>
      <c r="L59" s="181">
        <f>HLOOKUP($L$3,VaR_Calculo_Historico!$C$2:$ET$103,B59+1,0)</f>
        <v>1.095035</v>
      </c>
      <c r="M59" s="182">
        <f t="shared" si="3"/>
        <v>6.750920971442903E-4</v>
      </c>
      <c r="N59" s="181">
        <f>HLOOKUP($N$3,VaR_Calculo_Historico!$C$2:$ET$103,B59+1,0)</f>
        <v>2.6147939999999998</v>
      </c>
      <c r="O59" s="182">
        <f t="shared" si="4"/>
        <v>5.550734562828468E-4</v>
      </c>
      <c r="P59" s="181">
        <f>HLOOKUP($P$3,VaR_Calculo_Historico!$C$2:$ET$103,B59+1,0)</f>
        <v>1.7646329999999999</v>
      </c>
      <c r="Q59" s="182">
        <f t="shared" si="5"/>
        <v>6.3205913642599911E-4</v>
      </c>
      <c r="R59" s="181">
        <f>HLOOKUP($R$3,VaR_Calculo_Historico!$C$2:$ET$103,B59+1,0)</f>
        <v>1.2593019999999999</v>
      </c>
      <c r="S59" s="182">
        <f t="shared" si="6"/>
        <v>3.8356579789535659E-3</v>
      </c>
      <c r="T59" s="181" t="e">
        <f>HLOOKUP($T$3,VaR_Calculo_Historico!$C$2:$ET$103,B59+1,0)</f>
        <v>#N/A</v>
      </c>
      <c r="U59" s="182" t="e">
        <f t="shared" si="7"/>
        <v>#N/A</v>
      </c>
      <c r="V59" s="181" t="e">
        <f>HLOOKUP($V$3,VaR_Calculo_Historico!$C$2:$ET$103,B59+1,0)</f>
        <v>#N/A</v>
      </c>
      <c r="W59" s="182" t="e">
        <f t="shared" si="8"/>
        <v>#N/A</v>
      </c>
      <c r="X59" s="181" t="e">
        <f>HLOOKUP($X$3,VaR_Calculo_Historico!$C$2:$ET$103,B59+1,0)</f>
        <v>#N/A</v>
      </c>
      <c r="Y59" s="182" t="e">
        <f t="shared" si="9"/>
        <v>#N/A</v>
      </c>
      <c r="Z59" s="181" t="e">
        <f>HLOOKUP($Z$3,VaR_Calculo_Historico!$C$2:$ET$103,B59+1,0)</f>
        <v>#N/A</v>
      </c>
      <c r="AA59" s="182" t="e">
        <f t="shared" si="10"/>
        <v>#N/A</v>
      </c>
      <c r="AB59" s="181" t="e">
        <f>HLOOKUP($AB$3,VaR_Calculo_Historico!$C$2:$ET$103,B59+1,0)</f>
        <v>#N/A</v>
      </c>
      <c r="AC59" s="182" t="e">
        <f t="shared" si="11"/>
        <v>#N/A</v>
      </c>
      <c r="AD59" s="181" t="e">
        <f>HLOOKUP($AD$3,VaR_Calculo_Historico!$C$2:$ET$103,B59+1,0)</f>
        <v>#N/A</v>
      </c>
      <c r="AE59" s="182" t="e">
        <f t="shared" si="12"/>
        <v>#N/A</v>
      </c>
      <c r="AF59" s="181" t="e">
        <f>HLOOKUP($AF$3,VaR_Calculo_Historico!$C$2:$FZS$104,B59+1,0)</f>
        <v>#N/A</v>
      </c>
      <c r="AG59" s="182" t="e">
        <f t="shared" si="13"/>
        <v>#N/A</v>
      </c>
      <c r="AH59" s="181" t="e">
        <f>HLOOKUP($AH$3,VaR_Calculo_Historico!$C$2:$FS$104,B59+1,0)</f>
        <v>#N/A</v>
      </c>
      <c r="AI59" s="182" t="e">
        <f t="shared" si="14"/>
        <v>#N/A</v>
      </c>
      <c r="AJ59" s="181" t="e">
        <f>HLOOKUP($AJ$3,VaR_Calculo_Historico!$C$2:$ET$103,B59+1,0)</f>
        <v>#N/A</v>
      </c>
      <c r="AK59" s="182" t="e">
        <f t="shared" si="15"/>
        <v>#N/A</v>
      </c>
      <c r="AL59" s="181" t="e">
        <f>HLOOKUP($AL$3,VaR_Calculo_Historico!$C$2:$ET$103,B59+1,0)</f>
        <v>#N/A</v>
      </c>
      <c r="AM59" s="182" t="e">
        <f t="shared" si="16"/>
        <v>#N/A</v>
      </c>
      <c r="AN59" s="181" t="e">
        <f>HLOOKUP($AN$3,VaR_Calculo_Historico!$C$2:$ET$103,B59+1,0)</f>
        <v>#N/A</v>
      </c>
      <c r="AO59" s="182" t="e">
        <f t="shared" si="17"/>
        <v>#N/A</v>
      </c>
      <c r="AP59" s="181" t="e">
        <f>HLOOKUP($AP$3,VaR_Calculo_Historico!$C$2:$ET$103,B59+1,0)</f>
        <v>#N/A</v>
      </c>
      <c r="AQ59" s="182" t="e">
        <f t="shared" si="18"/>
        <v>#N/A</v>
      </c>
      <c r="AR59" s="181" t="e">
        <f>HLOOKUP($AR$3,VaR_Calculo_Historico!$C$2:$ET$103,B59+1,0)</f>
        <v>#N/A</v>
      </c>
      <c r="AS59" s="182" t="e">
        <f t="shared" si="19"/>
        <v>#N/A</v>
      </c>
      <c r="AT59" s="181" t="e">
        <f>HLOOKUP($AT$3,VaR_Calculo_Historico!$C$2:$ET$103,B59+1,0)</f>
        <v>#N/A</v>
      </c>
      <c r="AU59" s="182" t="e">
        <f t="shared" si="20"/>
        <v>#N/A</v>
      </c>
      <c r="AV59" s="181" t="e">
        <f>HLOOKUP($AV$3,VaR_Calculo_Historico!$C$2:$ET$103,B59+1,0)</f>
        <v>#N/A</v>
      </c>
      <c r="AW59" s="223" t="e">
        <f t="shared" si="21"/>
        <v>#N/A</v>
      </c>
      <c r="AX59" s="181" t="e">
        <f>HLOOKUP($AX$3,VaR_Calculo_Historico!$C$2:$ET$103,B59+1,0)</f>
        <v>#N/A</v>
      </c>
      <c r="AY59" s="182" t="e">
        <f t="shared" si="22"/>
        <v>#N/A</v>
      </c>
      <c r="AZ59" s="181" t="e">
        <f>HLOOKUP($AZ$3,VaR_Calculo_Historico!$C$2:$ET$103,B59+1,0)</f>
        <v>#N/A</v>
      </c>
      <c r="BA59" s="182" t="e">
        <f t="shared" si="23"/>
        <v>#N/A</v>
      </c>
      <c r="BB59" s="181" t="e">
        <f>HLOOKUP($BB$3,VaR_Calculo_Historico!$C$2:$ET$103,B59+1,0)</f>
        <v>#N/A</v>
      </c>
      <c r="BC59" s="182" t="e">
        <f t="shared" si="24"/>
        <v>#N/A</v>
      </c>
      <c r="BD59" s="181" t="e">
        <f>HLOOKUP($BD$3,VaR_Calculo_Historico!$C$2:$ET$103,B59+1,0)</f>
        <v>#N/A</v>
      </c>
      <c r="BE59" s="182" t="e">
        <f t="shared" si="25"/>
        <v>#N/A</v>
      </c>
      <c r="BF59" s="181" t="e">
        <f>HLOOKUP($BF$3,VaR_Calculo_Historico!$C$2:$ET$103,B59+1,0)</f>
        <v>#N/A</v>
      </c>
      <c r="BG59" s="182" t="e">
        <f t="shared" si="26"/>
        <v>#N/A</v>
      </c>
      <c r="BH59" s="181" t="e">
        <f>HLOOKUP($BH$3,VaR_Calculo_Historico!$C$2:$ET$103,B59+1,0)</f>
        <v>#N/A</v>
      </c>
      <c r="BI59" s="223" t="e">
        <f t="shared" si="27"/>
        <v>#N/A</v>
      </c>
      <c r="BJ59" s="181" t="e">
        <f>HLOOKUP($BJ$3,VaR_Calculo_Historico!$C$2:$ET$103,B59+1,0)</f>
        <v>#N/A</v>
      </c>
      <c r="BK59" s="223" t="e">
        <f t="shared" si="28"/>
        <v>#N/A</v>
      </c>
      <c r="BL59" s="181" t="e">
        <f>HLOOKUP($BL$3,VaR_Calculo_Historico!$C$2:$ET$103,B59+1,0)</f>
        <v>#N/A</v>
      </c>
      <c r="BM59" s="223" t="e">
        <f t="shared" si="29"/>
        <v>#N/A</v>
      </c>
      <c r="BN59" s="181" t="e">
        <f>HLOOKUP($BN$3,VaR_Calculo_Historico!$C$2:$EY$103,B59+1,0)</f>
        <v>#N/A</v>
      </c>
      <c r="BO59" s="223" t="e">
        <f t="shared" si="30"/>
        <v>#N/A</v>
      </c>
    </row>
    <row r="60" spans="2:67" x14ac:dyDescent="0.3">
      <c r="B60" s="166">
        <v>56</v>
      </c>
      <c r="C60" s="208">
        <f>VaR_Calculo_Historico!B57</f>
        <v>42391</v>
      </c>
      <c r="D60" s="181">
        <f>HLOOKUP($D$3,VaR_Calculo_Historico!$C$2:$ET$103,B60+1,0)</f>
        <v>3.349938517</v>
      </c>
      <c r="E60" s="182">
        <f t="shared" si="0"/>
        <v>5.432691537416779E-4</v>
      </c>
      <c r="F60" s="181">
        <f>HLOOKUP($F$3,VaR_Calculo_Historico!$C$2:$ET$103,B60+1,0)</f>
        <v>1.6082540000000001</v>
      </c>
      <c r="G60" s="182">
        <f t="shared" si="1"/>
        <v>5.2866319726582495E-4</v>
      </c>
      <c r="H60" s="181">
        <f>HLOOKUP($H$3,VaR_Calculo_Historico!$C$2:$ET$103,B60+1,0)</f>
        <v>1.1280969199999999</v>
      </c>
      <c r="I60" s="182">
        <f t="shared" si="2"/>
        <v>1.098058882349797E-3</v>
      </c>
      <c r="J60" s="181">
        <f>HLOOKUP($J$3,VaR_Calculo_Historico!$C$2:$ET$103,B60+1,0)</f>
        <v>1.848865</v>
      </c>
      <c r="K60" s="182">
        <f t="shared" si="31"/>
        <v>5.1341965934492944E-4</v>
      </c>
      <c r="L60" s="181">
        <f>HLOOKUP($L$3,VaR_Calculo_Historico!$C$2:$ET$103,B60+1,0)</f>
        <v>1.0962350000000001</v>
      </c>
      <c r="M60" s="182">
        <f t="shared" si="3"/>
        <v>1.0952553724174318E-3</v>
      </c>
      <c r="N60" s="181">
        <f>HLOOKUP($N$3,VaR_Calculo_Historico!$C$2:$ET$103,B60+1,0)</f>
        <v>2.6161650000000001</v>
      </c>
      <c r="O60" s="182">
        <f t="shared" si="4"/>
        <v>5.2418687716447533E-4</v>
      </c>
      <c r="P60" s="181">
        <f>HLOOKUP($P$3,VaR_Calculo_Historico!$C$2:$ET$103,B60+1,0)</f>
        <v>1.765547</v>
      </c>
      <c r="Q60" s="182">
        <f t="shared" si="5"/>
        <v>5.1782063261546316E-4</v>
      </c>
      <c r="R60" s="181">
        <f>HLOOKUP($R$3,VaR_Calculo_Historico!$C$2:$ET$103,B60+1,0)</f>
        <v>1.2599720000000001</v>
      </c>
      <c r="S60" s="182">
        <f t="shared" si="6"/>
        <v>5.318992819331711E-4</v>
      </c>
      <c r="T60" s="181" t="e">
        <f>HLOOKUP($T$3,VaR_Calculo_Historico!$C$2:$ET$103,B60+1,0)</f>
        <v>#N/A</v>
      </c>
      <c r="U60" s="182" t="e">
        <f t="shared" si="7"/>
        <v>#N/A</v>
      </c>
      <c r="V60" s="181" t="e">
        <f>HLOOKUP($V$3,VaR_Calculo_Historico!$C$2:$ET$103,B60+1,0)</f>
        <v>#N/A</v>
      </c>
      <c r="W60" s="182" t="e">
        <f t="shared" si="8"/>
        <v>#N/A</v>
      </c>
      <c r="X60" s="181" t="e">
        <f>HLOOKUP($X$3,VaR_Calculo_Historico!$C$2:$ET$103,B60+1,0)</f>
        <v>#N/A</v>
      </c>
      <c r="Y60" s="182" t="e">
        <f t="shared" si="9"/>
        <v>#N/A</v>
      </c>
      <c r="Z60" s="181" t="e">
        <f>HLOOKUP($Z$3,VaR_Calculo_Historico!$C$2:$ET$103,B60+1,0)</f>
        <v>#N/A</v>
      </c>
      <c r="AA60" s="182" t="e">
        <f t="shared" si="10"/>
        <v>#N/A</v>
      </c>
      <c r="AB60" s="181" t="e">
        <f>HLOOKUP($AB$3,VaR_Calculo_Historico!$C$2:$ET$103,B60+1,0)</f>
        <v>#N/A</v>
      </c>
      <c r="AC60" s="182" t="e">
        <f t="shared" si="11"/>
        <v>#N/A</v>
      </c>
      <c r="AD60" s="181" t="e">
        <f>HLOOKUP($AD$3,VaR_Calculo_Historico!$C$2:$ET$103,B60+1,0)</f>
        <v>#N/A</v>
      </c>
      <c r="AE60" s="182" t="e">
        <f t="shared" si="12"/>
        <v>#N/A</v>
      </c>
      <c r="AF60" s="181" t="e">
        <f>HLOOKUP($AF$3,VaR_Calculo_Historico!$C$2:$FZS$104,B60+1,0)</f>
        <v>#N/A</v>
      </c>
      <c r="AG60" s="182" t="e">
        <f t="shared" si="13"/>
        <v>#N/A</v>
      </c>
      <c r="AH60" s="181" t="e">
        <f>HLOOKUP($AH$3,VaR_Calculo_Historico!$C$2:$FS$104,B60+1,0)</f>
        <v>#N/A</v>
      </c>
      <c r="AI60" s="182" t="e">
        <f t="shared" si="14"/>
        <v>#N/A</v>
      </c>
      <c r="AJ60" s="181" t="e">
        <f>HLOOKUP($AJ$3,VaR_Calculo_Historico!$C$2:$ET$103,B60+1,0)</f>
        <v>#N/A</v>
      </c>
      <c r="AK60" s="182" t="e">
        <f t="shared" si="15"/>
        <v>#N/A</v>
      </c>
      <c r="AL60" s="181" t="e">
        <f>HLOOKUP($AL$3,VaR_Calculo_Historico!$C$2:$ET$103,B60+1,0)</f>
        <v>#N/A</v>
      </c>
      <c r="AM60" s="182" t="e">
        <f t="shared" si="16"/>
        <v>#N/A</v>
      </c>
      <c r="AN60" s="181" t="e">
        <f>HLOOKUP($AN$3,VaR_Calculo_Historico!$C$2:$ET$103,B60+1,0)</f>
        <v>#N/A</v>
      </c>
      <c r="AO60" s="182" t="e">
        <f t="shared" si="17"/>
        <v>#N/A</v>
      </c>
      <c r="AP60" s="181" t="e">
        <f>HLOOKUP($AP$3,VaR_Calculo_Historico!$C$2:$ET$103,B60+1,0)</f>
        <v>#N/A</v>
      </c>
      <c r="AQ60" s="182" t="e">
        <f t="shared" si="18"/>
        <v>#N/A</v>
      </c>
      <c r="AR60" s="181" t="e">
        <f>HLOOKUP($AR$3,VaR_Calculo_Historico!$C$2:$ET$103,B60+1,0)</f>
        <v>#N/A</v>
      </c>
      <c r="AS60" s="182" t="e">
        <f t="shared" si="19"/>
        <v>#N/A</v>
      </c>
      <c r="AT60" s="181" t="e">
        <f>HLOOKUP($AT$3,VaR_Calculo_Historico!$C$2:$ET$103,B60+1,0)</f>
        <v>#N/A</v>
      </c>
      <c r="AU60" s="182" t="e">
        <f t="shared" si="20"/>
        <v>#N/A</v>
      </c>
      <c r="AV60" s="181" t="e">
        <f>HLOOKUP($AV$3,VaR_Calculo_Historico!$C$2:$ET$103,B60+1,0)</f>
        <v>#N/A</v>
      </c>
      <c r="AW60" s="223" t="e">
        <f t="shared" si="21"/>
        <v>#N/A</v>
      </c>
      <c r="AX60" s="181" t="e">
        <f>HLOOKUP($AX$3,VaR_Calculo_Historico!$C$2:$ET$103,B60+1,0)</f>
        <v>#N/A</v>
      </c>
      <c r="AY60" s="182" t="e">
        <f t="shared" si="22"/>
        <v>#N/A</v>
      </c>
      <c r="AZ60" s="181" t="e">
        <f>HLOOKUP($AZ$3,VaR_Calculo_Historico!$C$2:$ET$103,B60+1,0)</f>
        <v>#N/A</v>
      </c>
      <c r="BA60" s="182" t="e">
        <f t="shared" si="23"/>
        <v>#N/A</v>
      </c>
      <c r="BB60" s="181" t="e">
        <f>HLOOKUP($BB$3,VaR_Calculo_Historico!$C$2:$ET$103,B60+1,0)</f>
        <v>#N/A</v>
      </c>
      <c r="BC60" s="182" t="e">
        <f t="shared" si="24"/>
        <v>#N/A</v>
      </c>
      <c r="BD60" s="181" t="e">
        <f>HLOOKUP($BD$3,VaR_Calculo_Historico!$C$2:$ET$103,B60+1,0)</f>
        <v>#N/A</v>
      </c>
      <c r="BE60" s="182" t="e">
        <f t="shared" si="25"/>
        <v>#N/A</v>
      </c>
      <c r="BF60" s="181" t="e">
        <f>HLOOKUP($BF$3,VaR_Calculo_Historico!$C$2:$ET$103,B60+1,0)</f>
        <v>#N/A</v>
      </c>
      <c r="BG60" s="182" t="e">
        <f t="shared" si="26"/>
        <v>#N/A</v>
      </c>
      <c r="BH60" s="181" t="e">
        <f>HLOOKUP($BH$3,VaR_Calculo_Historico!$C$2:$ET$103,B60+1,0)</f>
        <v>#N/A</v>
      </c>
      <c r="BI60" s="223" t="e">
        <f t="shared" si="27"/>
        <v>#N/A</v>
      </c>
      <c r="BJ60" s="181" t="e">
        <f>HLOOKUP($BJ$3,VaR_Calculo_Historico!$C$2:$ET$103,B60+1,0)</f>
        <v>#N/A</v>
      </c>
      <c r="BK60" s="223" t="e">
        <f t="shared" si="28"/>
        <v>#N/A</v>
      </c>
      <c r="BL60" s="181" t="e">
        <f>HLOOKUP($BL$3,VaR_Calculo_Historico!$C$2:$ET$103,B60+1,0)</f>
        <v>#N/A</v>
      </c>
      <c r="BM60" s="223" t="e">
        <f t="shared" si="29"/>
        <v>#N/A</v>
      </c>
      <c r="BN60" s="181" t="e">
        <f>HLOOKUP($BN$3,VaR_Calculo_Historico!$C$2:$EY$103,B60+1,0)</f>
        <v>#N/A</v>
      </c>
      <c r="BO60" s="223" t="e">
        <f t="shared" si="30"/>
        <v>#N/A</v>
      </c>
    </row>
    <row r="61" spans="2:67" x14ac:dyDescent="0.3">
      <c r="B61" s="166">
        <v>57</v>
      </c>
      <c r="C61" s="208">
        <f>VaR_Calculo_Historico!B58</f>
        <v>42394</v>
      </c>
      <c r="D61" s="181">
        <f>HLOOKUP($D$3,VaR_Calculo_Historico!$C$2:$ET$103,B61+1,0)</f>
        <v>3.3648445730000001</v>
      </c>
      <c r="E61" s="182">
        <f t="shared" si="0"/>
        <v>4.4397801940720787E-3</v>
      </c>
      <c r="F61" s="181">
        <f>HLOOKUP($F$3,VaR_Calculo_Historico!$C$2:$ET$103,B61+1,0)</f>
        <v>1.609081</v>
      </c>
      <c r="G61" s="182">
        <f t="shared" si="1"/>
        <v>5.1409008897971588E-4</v>
      </c>
      <c r="H61" s="181">
        <f>HLOOKUP($H$3,VaR_Calculo_Historico!$C$2:$ET$103,B61+1,0)</f>
        <v>1.128813751</v>
      </c>
      <c r="I61" s="182">
        <f t="shared" si="2"/>
        <v>6.352320748141346E-4</v>
      </c>
      <c r="J61" s="181">
        <f>HLOOKUP($J$3,VaR_Calculo_Historico!$C$2:$ET$103,B61+1,0)</f>
        <v>1.8506419999999999</v>
      </c>
      <c r="K61" s="182">
        <f t="shared" si="31"/>
        <v>9.6066861701490946E-4</v>
      </c>
      <c r="L61" s="181">
        <f>HLOOKUP($L$3,VaR_Calculo_Historico!$C$2:$ET$103,B61+1,0)</f>
        <v>1.096746</v>
      </c>
      <c r="M61" s="182">
        <f t="shared" si="3"/>
        <v>4.6603231788003031E-4</v>
      </c>
      <c r="N61" s="181">
        <f>HLOOKUP($N$3,VaR_Calculo_Historico!$C$2:$ET$103,B61+1,0)</f>
        <v>2.6175160000000002</v>
      </c>
      <c r="O61" s="182">
        <f t="shared" si="4"/>
        <v>5.1627144642850289E-4</v>
      </c>
      <c r="P61" s="181">
        <f>HLOOKUP($P$3,VaR_Calculo_Historico!$C$2:$ET$103,B61+1,0)</f>
        <v>1.767247</v>
      </c>
      <c r="Q61" s="182">
        <f t="shared" si="5"/>
        <v>9.624111291044327E-4</v>
      </c>
      <c r="R61" s="181">
        <f>HLOOKUP($R$3,VaR_Calculo_Historico!$C$2:$ET$103,B61+1,0)</f>
        <v>1.269701</v>
      </c>
      <c r="S61" s="182">
        <f t="shared" si="6"/>
        <v>7.6919411866702711E-3</v>
      </c>
      <c r="T61" s="181" t="e">
        <f>HLOOKUP($T$3,VaR_Calculo_Historico!$C$2:$ET$103,B61+1,0)</f>
        <v>#N/A</v>
      </c>
      <c r="U61" s="182" t="e">
        <f t="shared" si="7"/>
        <v>#N/A</v>
      </c>
      <c r="V61" s="181" t="e">
        <f>HLOOKUP($V$3,VaR_Calculo_Historico!$C$2:$ET$103,B61+1,0)</f>
        <v>#N/A</v>
      </c>
      <c r="W61" s="182" t="e">
        <f t="shared" si="8"/>
        <v>#N/A</v>
      </c>
      <c r="X61" s="181" t="e">
        <f>HLOOKUP($X$3,VaR_Calculo_Historico!$C$2:$ET$103,B61+1,0)</f>
        <v>#N/A</v>
      </c>
      <c r="Y61" s="182" t="e">
        <f t="shared" si="9"/>
        <v>#N/A</v>
      </c>
      <c r="Z61" s="181" t="e">
        <f>HLOOKUP($Z$3,VaR_Calculo_Historico!$C$2:$ET$103,B61+1,0)</f>
        <v>#N/A</v>
      </c>
      <c r="AA61" s="182" t="e">
        <f t="shared" si="10"/>
        <v>#N/A</v>
      </c>
      <c r="AB61" s="181" t="e">
        <f>HLOOKUP($AB$3,VaR_Calculo_Historico!$C$2:$ET$103,B61+1,0)</f>
        <v>#N/A</v>
      </c>
      <c r="AC61" s="182" t="e">
        <f t="shared" si="11"/>
        <v>#N/A</v>
      </c>
      <c r="AD61" s="181" t="e">
        <f>HLOOKUP($AD$3,VaR_Calculo_Historico!$C$2:$ET$103,B61+1,0)</f>
        <v>#N/A</v>
      </c>
      <c r="AE61" s="182" t="e">
        <f t="shared" si="12"/>
        <v>#N/A</v>
      </c>
      <c r="AF61" s="181" t="e">
        <f>HLOOKUP($AF$3,VaR_Calculo_Historico!$C$2:$FZS$104,B61+1,0)</f>
        <v>#N/A</v>
      </c>
      <c r="AG61" s="182" t="e">
        <f t="shared" si="13"/>
        <v>#N/A</v>
      </c>
      <c r="AH61" s="181" t="e">
        <f>HLOOKUP($AH$3,VaR_Calculo_Historico!$C$2:$FS$104,B61+1,0)</f>
        <v>#N/A</v>
      </c>
      <c r="AI61" s="182" t="e">
        <f t="shared" si="14"/>
        <v>#N/A</v>
      </c>
      <c r="AJ61" s="181" t="e">
        <f>HLOOKUP($AJ$3,VaR_Calculo_Historico!$C$2:$ET$103,B61+1,0)</f>
        <v>#N/A</v>
      </c>
      <c r="AK61" s="182" t="e">
        <f t="shared" si="15"/>
        <v>#N/A</v>
      </c>
      <c r="AL61" s="181" t="e">
        <f>HLOOKUP($AL$3,VaR_Calculo_Historico!$C$2:$ET$103,B61+1,0)</f>
        <v>#N/A</v>
      </c>
      <c r="AM61" s="182" t="e">
        <f t="shared" si="16"/>
        <v>#N/A</v>
      </c>
      <c r="AN61" s="181" t="e">
        <f>HLOOKUP($AN$3,VaR_Calculo_Historico!$C$2:$ET$103,B61+1,0)</f>
        <v>#N/A</v>
      </c>
      <c r="AO61" s="182" t="e">
        <f t="shared" si="17"/>
        <v>#N/A</v>
      </c>
      <c r="AP61" s="181" t="e">
        <f>HLOOKUP($AP$3,VaR_Calculo_Historico!$C$2:$ET$103,B61+1,0)</f>
        <v>#N/A</v>
      </c>
      <c r="AQ61" s="182" t="e">
        <f t="shared" si="18"/>
        <v>#N/A</v>
      </c>
      <c r="AR61" s="181" t="e">
        <f>HLOOKUP($AR$3,VaR_Calculo_Historico!$C$2:$ET$103,B61+1,0)</f>
        <v>#N/A</v>
      </c>
      <c r="AS61" s="182" t="e">
        <f t="shared" si="19"/>
        <v>#N/A</v>
      </c>
      <c r="AT61" s="181" t="e">
        <f>HLOOKUP($AT$3,VaR_Calculo_Historico!$C$2:$ET$103,B61+1,0)</f>
        <v>#N/A</v>
      </c>
      <c r="AU61" s="182" t="e">
        <f t="shared" si="20"/>
        <v>#N/A</v>
      </c>
      <c r="AV61" s="181" t="e">
        <f>HLOOKUP($AV$3,VaR_Calculo_Historico!$C$2:$ET$103,B61+1,0)</f>
        <v>#N/A</v>
      </c>
      <c r="AW61" s="223" t="e">
        <f t="shared" si="21"/>
        <v>#N/A</v>
      </c>
      <c r="AX61" s="181" t="e">
        <f>HLOOKUP($AX$3,VaR_Calculo_Historico!$C$2:$ET$103,B61+1,0)</f>
        <v>#N/A</v>
      </c>
      <c r="AY61" s="182" t="e">
        <f t="shared" si="22"/>
        <v>#N/A</v>
      </c>
      <c r="AZ61" s="181" t="e">
        <f>HLOOKUP($AZ$3,VaR_Calculo_Historico!$C$2:$ET$103,B61+1,0)</f>
        <v>#N/A</v>
      </c>
      <c r="BA61" s="182" t="e">
        <f t="shared" si="23"/>
        <v>#N/A</v>
      </c>
      <c r="BB61" s="181" t="e">
        <f>HLOOKUP($BB$3,VaR_Calculo_Historico!$C$2:$ET$103,B61+1,0)</f>
        <v>#N/A</v>
      </c>
      <c r="BC61" s="182" t="e">
        <f t="shared" si="24"/>
        <v>#N/A</v>
      </c>
      <c r="BD61" s="181" t="e">
        <f>HLOOKUP($BD$3,VaR_Calculo_Historico!$C$2:$ET$103,B61+1,0)</f>
        <v>#N/A</v>
      </c>
      <c r="BE61" s="182" t="e">
        <f t="shared" si="25"/>
        <v>#N/A</v>
      </c>
      <c r="BF61" s="181" t="e">
        <f>HLOOKUP($BF$3,VaR_Calculo_Historico!$C$2:$ET$103,B61+1,0)</f>
        <v>#N/A</v>
      </c>
      <c r="BG61" s="182" t="e">
        <f t="shared" si="26"/>
        <v>#N/A</v>
      </c>
      <c r="BH61" s="181" t="e">
        <f>HLOOKUP($BH$3,VaR_Calculo_Historico!$C$2:$ET$103,B61+1,0)</f>
        <v>#N/A</v>
      </c>
      <c r="BI61" s="223" t="e">
        <f t="shared" si="27"/>
        <v>#N/A</v>
      </c>
      <c r="BJ61" s="181" t="e">
        <f>HLOOKUP($BJ$3,VaR_Calculo_Historico!$C$2:$ET$103,B61+1,0)</f>
        <v>#N/A</v>
      </c>
      <c r="BK61" s="223" t="e">
        <f t="shared" si="28"/>
        <v>#N/A</v>
      </c>
      <c r="BL61" s="181" t="e">
        <f>HLOOKUP($BL$3,VaR_Calculo_Historico!$C$2:$ET$103,B61+1,0)</f>
        <v>#N/A</v>
      </c>
      <c r="BM61" s="223" t="e">
        <f t="shared" si="29"/>
        <v>#N/A</v>
      </c>
      <c r="BN61" s="181" t="e">
        <f>HLOOKUP($BN$3,VaR_Calculo_Historico!$C$2:$EY$103,B61+1,0)</f>
        <v>#N/A</v>
      </c>
      <c r="BO61" s="223" t="e">
        <f t="shared" si="30"/>
        <v>#N/A</v>
      </c>
    </row>
    <row r="62" spans="2:67" x14ac:dyDescent="0.3">
      <c r="B62" s="166">
        <v>58</v>
      </c>
      <c r="C62" s="208">
        <f>VaR_Calculo_Historico!B59</f>
        <v>42395</v>
      </c>
      <c r="D62" s="181">
        <f>HLOOKUP($D$3,VaR_Calculo_Historico!$C$2:$ET$103,B62+1,0)</f>
        <v>3.3653229659999999</v>
      </c>
      <c r="E62" s="182">
        <f t="shared" si="0"/>
        <v>1.4216377171396991E-4</v>
      </c>
      <c r="F62" s="181">
        <f>HLOOKUP($F$3,VaR_Calculo_Historico!$C$2:$ET$103,B62+1,0)</f>
        <v>1.609877</v>
      </c>
      <c r="G62" s="182">
        <f t="shared" si="1"/>
        <v>4.9456999204416279E-4</v>
      </c>
      <c r="H62" s="181">
        <f>HLOOKUP($H$3,VaR_Calculo_Historico!$C$2:$ET$103,B62+1,0)</f>
        <v>1.127659601</v>
      </c>
      <c r="I62" s="182">
        <f t="shared" si="2"/>
        <v>-1.0229680750496362E-3</v>
      </c>
      <c r="J62" s="181">
        <f>HLOOKUP($J$3,VaR_Calculo_Historico!$C$2:$ET$103,B62+1,0)</f>
        <v>1.851907</v>
      </c>
      <c r="K62" s="182">
        <f t="shared" si="31"/>
        <v>6.8331306309296386E-4</v>
      </c>
      <c r="L62" s="181">
        <f>HLOOKUP($L$3,VaR_Calculo_Historico!$C$2:$ET$103,B62+1,0)</f>
        <v>1.0962620000000001</v>
      </c>
      <c r="M62" s="182">
        <f t="shared" si="3"/>
        <v>-4.4140286570627303E-4</v>
      </c>
      <c r="N62" s="181">
        <f>HLOOKUP($N$3,VaR_Calculo_Historico!$C$2:$ET$103,B62+1,0)</f>
        <v>2.6188850000000001</v>
      </c>
      <c r="O62" s="182">
        <f t="shared" si="4"/>
        <v>5.2287822540353834E-4</v>
      </c>
      <c r="P62" s="181">
        <f>HLOOKUP($P$3,VaR_Calculo_Historico!$C$2:$ET$103,B62+1,0)</f>
        <v>1.768462</v>
      </c>
      <c r="Q62" s="182">
        <f t="shared" si="5"/>
        <v>6.8727378176471109E-4</v>
      </c>
      <c r="R62" s="181">
        <f>HLOOKUP($R$3,VaR_Calculo_Historico!$C$2:$ET$103,B62+1,0)</f>
        <v>1.2692829999999999</v>
      </c>
      <c r="S62" s="182">
        <f t="shared" si="6"/>
        <v>-3.2926556746830192E-4</v>
      </c>
      <c r="T62" s="181" t="e">
        <f>HLOOKUP($T$3,VaR_Calculo_Historico!$C$2:$ET$103,B62+1,0)</f>
        <v>#N/A</v>
      </c>
      <c r="U62" s="182" t="e">
        <f t="shared" si="7"/>
        <v>#N/A</v>
      </c>
      <c r="V62" s="181" t="e">
        <f>HLOOKUP($V$3,VaR_Calculo_Historico!$C$2:$ET$103,B62+1,0)</f>
        <v>#N/A</v>
      </c>
      <c r="W62" s="182" t="e">
        <f t="shared" si="8"/>
        <v>#N/A</v>
      </c>
      <c r="X62" s="181" t="e">
        <f>HLOOKUP($X$3,VaR_Calculo_Historico!$C$2:$ET$103,B62+1,0)</f>
        <v>#N/A</v>
      </c>
      <c r="Y62" s="182" t="e">
        <f t="shared" si="9"/>
        <v>#N/A</v>
      </c>
      <c r="Z62" s="181" t="e">
        <f>HLOOKUP($Z$3,VaR_Calculo_Historico!$C$2:$ET$103,B62+1,0)</f>
        <v>#N/A</v>
      </c>
      <c r="AA62" s="182" t="e">
        <f t="shared" si="10"/>
        <v>#N/A</v>
      </c>
      <c r="AB62" s="181" t="e">
        <f>HLOOKUP($AB$3,VaR_Calculo_Historico!$C$2:$ET$103,B62+1,0)</f>
        <v>#N/A</v>
      </c>
      <c r="AC62" s="182" t="e">
        <f t="shared" si="11"/>
        <v>#N/A</v>
      </c>
      <c r="AD62" s="181" t="e">
        <f>HLOOKUP($AD$3,VaR_Calculo_Historico!$C$2:$ET$103,B62+1,0)</f>
        <v>#N/A</v>
      </c>
      <c r="AE62" s="182" t="e">
        <f t="shared" si="12"/>
        <v>#N/A</v>
      </c>
      <c r="AF62" s="181" t="e">
        <f>HLOOKUP($AF$3,VaR_Calculo_Historico!$C$2:$FZS$104,B62+1,0)</f>
        <v>#N/A</v>
      </c>
      <c r="AG62" s="182" t="e">
        <f t="shared" si="13"/>
        <v>#N/A</v>
      </c>
      <c r="AH62" s="181" t="e">
        <f>HLOOKUP($AH$3,VaR_Calculo_Historico!$C$2:$FS$104,B62+1,0)</f>
        <v>#N/A</v>
      </c>
      <c r="AI62" s="182" t="e">
        <f t="shared" si="14"/>
        <v>#N/A</v>
      </c>
      <c r="AJ62" s="181" t="e">
        <f>HLOOKUP($AJ$3,VaR_Calculo_Historico!$C$2:$ET$103,B62+1,0)</f>
        <v>#N/A</v>
      </c>
      <c r="AK62" s="182" t="e">
        <f t="shared" si="15"/>
        <v>#N/A</v>
      </c>
      <c r="AL62" s="181" t="e">
        <f>HLOOKUP($AL$3,VaR_Calculo_Historico!$C$2:$ET$103,B62+1,0)</f>
        <v>#N/A</v>
      </c>
      <c r="AM62" s="182" t="e">
        <f t="shared" si="16"/>
        <v>#N/A</v>
      </c>
      <c r="AN62" s="181" t="e">
        <f>HLOOKUP($AN$3,VaR_Calculo_Historico!$C$2:$ET$103,B62+1,0)</f>
        <v>#N/A</v>
      </c>
      <c r="AO62" s="182" t="e">
        <f t="shared" si="17"/>
        <v>#N/A</v>
      </c>
      <c r="AP62" s="181" t="e">
        <f>HLOOKUP($AP$3,VaR_Calculo_Historico!$C$2:$ET$103,B62+1,0)</f>
        <v>#N/A</v>
      </c>
      <c r="AQ62" s="182" t="e">
        <f t="shared" si="18"/>
        <v>#N/A</v>
      </c>
      <c r="AR62" s="181" t="e">
        <f>HLOOKUP($AR$3,VaR_Calculo_Historico!$C$2:$ET$103,B62+1,0)</f>
        <v>#N/A</v>
      </c>
      <c r="AS62" s="182" t="e">
        <f t="shared" si="19"/>
        <v>#N/A</v>
      </c>
      <c r="AT62" s="181" t="e">
        <f>HLOOKUP($AT$3,VaR_Calculo_Historico!$C$2:$ET$103,B62+1,0)</f>
        <v>#N/A</v>
      </c>
      <c r="AU62" s="182" t="e">
        <f t="shared" si="20"/>
        <v>#N/A</v>
      </c>
      <c r="AV62" s="181" t="e">
        <f>HLOOKUP($AV$3,VaR_Calculo_Historico!$C$2:$ET$103,B62+1,0)</f>
        <v>#N/A</v>
      </c>
      <c r="AW62" s="223" t="e">
        <f t="shared" si="21"/>
        <v>#N/A</v>
      </c>
      <c r="AX62" s="181" t="e">
        <f>HLOOKUP($AX$3,VaR_Calculo_Historico!$C$2:$ET$103,B62+1,0)</f>
        <v>#N/A</v>
      </c>
      <c r="AY62" s="182" t="e">
        <f t="shared" si="22"/>
        <v>#N/A</v>
      </c>
      <c r="AZ62" s="181" t="e">
        <f>HLOOKUP($AZ$3,VaR_Calculo_Historico!$C$2:$ET$103,B62+1,0)</f>
        <v>#N/A</v>
      </c>
      <c r="BA62" s="182" t="e">
        <f t="shared" si="23"/>
        <v>#N/A</v>
      </c>
      <c r="BB62" s="181" t="e">
        <f>HLOOKUP($BB$3,VaR_Calculo_Historico!$C$2:$ET$103,B62+1,0)</f>
        <v>#N/A</v>
      </c>
      <c r="BC62" s="182" t="e">
        <f t="shared" si="24"/>
        <v>#N/A</v>
      </c>
      <c r="BD62" s="181" t="e">
        <f>HLOOKUP($BD$3,VaR_Calculo_Historico!$C$2:$ET$103,B62+1,0)</f>
        <v>#N/A</v>
      </c>
      <c r="BE62" s="182" t="e">
        <f t="shared" si="25"/>
        <v>#N/A</v>
      </c>
      <c r="BF62" s="181" t="e">
        <f>HLOOKUP($BF$3,VaR_Calculo_Historico!$C$2:$ET$103,B62+1,0)</f>
        <v>#N/A</v>
      </c>
      <c r="BG62" s="182" t="e">
        <f t="shared" si="26"/>
        <v>#N/A</v>
      </c>
      <c r="BH62" s="181" t="e">
        <f>HLOOKUP($BH$3,VaR_Calculo_Historico!$C$2:$ET$103,B62+1,0)</f>
        <v>#N/A</v>
      </c>
      <c r="BI62" s="223" t="e">
        <f t="shared" si="27"/>
        <v>#N/A</v>
      </c>
      <c r="BJ62" s="181" t="e">
        <f>HLOOKUP($BJ$3,VaR_Calculo_Historico!$C$2:$ET$103,B62+1,0)</f>
        <v>#N/A</v>
      </c>
      <c r="BK62" s="223" t="e">
        <f t="shared" si="28"/>
        <v>#N/A</v>
      </c>
      <c r="BL62" s="181" t="e">
        <f>HLOOKUP($BL$3,VaR_Calculo_Historico!$C$2:$ET$103,B62+1,0)</f>
        <v>#N/A</v>
      </c>
      <c r="BM62" s="223" t="e">
        <f t="shared" si="29"/>
        <v>#N/A</v>
      </c>
      <c r="BN62" s="181" t="e">
        <f>HLOOKUP($BN$3,VaR_Calculo_Historico!$C$2:$EY$103,B62+1,0)</f>
        <v>#N/A</v>
      </c>
      <c r="BO62" s="223" t="e">
        <f t="shared" si="30"/>
        <v>#N/A</v>
      </c>
    </row>
    <row r="63" spans="2:67" x14ac:dyDescent="0.3">
      <c r="B63" s="166">
        <v>59</v>
      </c>
      <c r="C63" s="208">
        <f>VaR_Calculo_Historico!B60</f>
        <v>42396</v>
      </c>
      <c r="D63" s="181">
        <f>HLOOKUP($D$3,VaR_Calculo_Historico!$C$2:$ET$103,B63+1,0)</f>
        <v>3.3822937300000002</v>
      </c>
      <c r="E63" s="182">
        <f t="shared" si="0"/>
        <v>5.030161180803054E-3</v>
      </c>
      <c r="F63" s="181">
        <f>HLOOKUP($F$3,VaR_Calculo_Historico!$C$2:$ET$103,B63+1,0)</f>
        <v>1.6107199999999999</v>
      </c>
      <c r="G63" s="182">
        <f t="shared" si="1"/>
        <v>5.2350543657124992E-4</v>
      </c>
      <c r="H63" s="181">
        <f>HLOOKUP($H$3,VaR_Calculo_Historico!$C$2:$ET$103,B63+1,0)</f>
        <v>1.1281222909999999</v>
      </c>
      <c r="I63" s="182">
        <f t="shared" si="2"/>
        <v>4.1022583622072359E-4</v>
      </c>
      <c r="J63" s="181">
        <f>HLOOKUP($J$3,VaR_Calculo_Historico!$C$2:$ET$103,B63+1,0)</f>
        <v>1.854509</v>
      </c>
      <c r="K63" s="182">
        <f t="shared" si="31"/>
        <v>1.4040520154547189E-3</v>
      </c>
      <c r="L63" s="181">
        <f>HLOOKUP($L$3,VaR_Calculo_Historico!$C$2:$ET$103,B63+1,0)</f>
        <v>1.096535</v>
      </c>
      <c r="M63" s="182">
        <f t="shared" si="3"/>
        <v>2.4899705846961195E-4</v>
      </c>
      <c r="N63" s="181">
        <f>HLOOKUP($N$3,VaR_Calculo_Historico!$C$2:$ET$103,B63+1,0)</f>
        <v>2.6202359999999998</v>
      </c>
      <c r="O63" s="182">
        <f t="shared" si="4"/>
        <v>5.157353800169319E-4</v>
      </c>
      <c r="P63" s="181">
        <f>HLOOKUP($P$3,VaR_Calculo_Historico!$C$2:$ET$103,B63+1,0)</f>
        <v>1.770942</v>
      </c>
      <c r="Q63" s="182">
        <f t="shared" si="5"/>
        <v>1.4013661090157778E-3</v>
      </c>
      <c r="R63" s="181">
        <f>HLOOKUP($R$3,VaR_Calculo_Historico!$C$2:$ET$103,B63+1,0)</f>
        <v>1.2792749999999999</v>
      </c>
      <c r="S63" s="182">
        <f t="shared" si="6"/>
        <v>7.8413370994599319E-3</v>
      </c>
      <c r="T63" s="181" t="e">
        <f>HLOOKUP($T$3,VaR_Calculo_Historico!$C$2:$ET$103,B63+1,0)</f>
        <v>#N/A</v>
      </c>
      <c r="U63" s="182" t="e">
        <f t="shared" si="7"/>
        <v>#N/A</v>
      </c>
      <c r="V63" s="181" t="e">
        <f>HLOOKUP($V$3,VaR_Calculo_Historico!$C$2:$ET$103,B63+1,0)</f>
        <v>#N/A</v>
      </c>
      <c r="W63" s="182" t="e">
        <f t="shared" si="8"/>
        <v>#N/A</v>
      </c>
      <c r="X63" s="181" t="e">
        <f>HLOOKUP($X$3,VaR_Calculo_Historico!$C$2:$ET$103,B63+1,0)</f>
        <v>#N/A</v>
      </c>
      <c r="Y63" s="182" t="e">
        <f t="shared" si="9"/>
        <v>#N/A</v>
      </c>
      <c r="Z63" s="181" t="e">
        <f>HLOOKUP($Z$3,VaR_Calculo_Historico!$C$2:$ET$103,B63+1,0)</f>
        <v>#N/A</v>
      </c>
      <c r="AA63" s="182" t="e">
        <f t="shared" si="10"/>
        <v>#N/A</v>
      </c>
      <c r="AB63" s="181" t="e">
        <f>HLOOKUP($AB$3,VaR_Calculo_Historico!$C$2:$ET$103,B63+1,0)</f>
        <v>#N/A</v>
      </c>
      <c r="AC63" s="182" t="e">
        <f t="shared" si="11"/>
        <v>#N/A</v>
      </c>
      <c r="AD63" s="181" t="e">
        <f>HLOOKUP($AD$3,VaR_Calculo_Historico!$C$2:$ET$103,B63+1,0)</f>
        <v>#N/A</v>
      </c>
      <c r="AE63" s="182" t="e">
        <f t="shared" si="12"/>
        <v>#N/A</v>
      </c>
      <c r="AF63" s="181" t="e">
        <f>HLOOKUP($AF$3,VaR_Calculo_Historico!$C$2:$FZS$104,B63+1,0)</f>
        <v>#N/A</v>
      </c>
      <c r="AG63" s="182" t="e">
        <f t="shared" si="13"/>
        <v>#N/A</v>
      </c>
      <c r="AH63" s="181" t="e">
        <f>HLOOKUP($AH$3,VaR_Calculo_Historico!$C$2:$FS$104,B63+1,0)</f>
        <v>#N/A</v>
      </c>
      <c r="AI63" s="182" t="e">
        <f t="shared" si="14"/>
        <v>#N/A</v>
      </c>
      <c r="AJ63" s="181" t="e">
        <f>HLOOKUP($AJ$3,VaR_Calculo_Historico!$C$2:$ET$103,B63+1,0)</f>
        <v>#N/A</v>
      </c>
      <c r="AK63" s="182" t="e">
        <f t="shared" si="15"/>
        <v>#N/A</v>
      </c>
      <c r="AL63" s="181" t="e">
        <f>HLOOKUP($AL$3,VaR_Calculo_Historico!$C$2:$ET$103,B63+1,0)</f>
        <v>#N/A</v>
      </c>
      <c r="AM63" s="182" t="e">
        <f t="shared" si="16"/>
        <v>#N/A</v>
      </c>
      <c r="AN63" s="181" t="e">
        <f>HLOOKUP($AN$3,VaR_Calculo_Historico!$C$2:$ET$103,B63+1,0)</f>
        <v>#N/A</v>
      </c>
      <c r="AO63" s="182" t="e">
        <f t="shared" si="17"/>
        <v>#N/A</v>
      </c>
      <c r="AP63" s="181" t="e">
        <f>HLOOKUP($AP$3,VaR_Calculo_Historico!$C$2:$ET$103,B63+1,0)</f>
        <v>#N/A</v>
      </c>
      <c r="AQ63" s="182" t="e">
        <f t="shared" si="18"/>
        <v>#N/A</v>
      </c>
      <c r="AR63" s="181" t="e">
        <f>HLOOKUP($AR$3,VaR_Calculo_Historico!$C$2:$ET$103,B63+1,0)</f>
        <v>#N/A</v>
      </c>
      <c r="AS63" s="182" t="e">
        <f t="shared" si="19"/>
        <v>#N/A</v>
      </c>
      <c r="AT63" s="181" t="e">
        <f>HLOOKUP($AT$3,VaR_Calculo_Historico!$C$2:$ET$103,B63+1,0)</f>
        <v>#N/A</v>
      </c>
      <c r="AU63" s="182" t="e">
        <f t="shared" si="20"/>
        <v>#N/A</v>
      </c>
      <c r="AV63" s="181" t="e">
        <f>HLOOKUP($AV$3,VaR_Calculo_Historico!$C$2:$ET$103,B63+1,0)</f>
        <v>#N/A</v>
      </c>
      <c r="AW63" s="223" t="e">
        <f t="shared" si="21"/>
        <v>#N/A</v>
      </c>
      <c r="AX63" s="181" t="e">
        <f>HLOOKUP($AX$3,VaR_Calculo_Historico!$C$2:$ET$103,B63+1,0)</f>
        <v>#N/A</v>
      </c>
      <c r="AY63" s="182" t="e">
        <f t="shared" si="22"/>
        <v>#N/A</v>
      </c>
      <c r="AZ63" s="181" t="e">
        <f>HLOOKUP($AZ$3,VaR_Calculo_Historico!$C$2:$ET$103,B63+1,0)</f>
        <v>#N/A</v>
      </c>
      <c r="BA63" s="182" t="e">
        <f t="shared" si="23"/>
        <v>#N/A</v>
      </c>
      <c r="BB63" s="181" t="e">
        <f>HLOOKUP($BB$3,VaR_Calculo_Historico!$C$2:$ET$103,B63+1,0)</f>
        <v>#N/A</v>
      </c>
      <c r="BC63" s="182" t="e">
        <f t="shared" si="24"/>
        <v>#N/A</v>
      </c>
      <c r="BD63" s="181" t="e">
        <f>HLOOKUP($BD$3,VaR_Calculo_Historico!$C$2:$ET$103,B63+1,0)</f>
        <v>#N/A</v>
      </c>
      <c r="BE63" s="182" t="e">
        <f t="shared" si="25"/>
        <v>#N/A</v>
      </c>
      <c r="BF63" s="181" t="e">
        <f>HLOOKUP($BF$3,VaR_Calculo_Historico!$C$2:$ET$103,B63+1,0)</f>
        <v>#N/A</v>
      </c>
      <c r="BG63" s="182" t="e">
        <f t="shared" si="26"/>
        <v>#N/A</v>
      </c>
      <c r="BH63" s="181" t="e">
        <f>HLOOKUP($BH$3,VaR_Calculo_Historico!$C$2:$ET$103,B63+1,0)</f>
        <v>#N/A</v>
      </c>
      <c r="BI63" s="223" t="e">
        <f t="shared" si="27"/>
        <v>#N/A</v>
      </c>
      <c r="BJ63" s="181" t="e">
        <f>HLOOKUP($BJ$3,VaR_Calculo_Historico!$C$2:$ET$103,B63+1,0)</f>
        <v>#N/A</v>
      </c>
      <c r="BK63" s="223" t="e">
        <f t="shared" si="28"/>
        <v>#N/A</v>
      </c>
      <c r="BL63" s="181" t="e">
        <f>HLOOKUP($BL$3,VaR_Calculo_Historico!$C$2:$ET$103,B63+1,0)</f>
        <v>#N/A</v>
      </c>
      <c r="BM63" s="223" t="e">
        <f t="shared" si="29"/>
        <v>#N/A</v>
      </c>
      <c r="BN63" s="181" t="e">
        <f>HLOOKUP($BN$3,VaR_Calculo_Historico!$C$2:$EY$103,B63+1,0)</f>
        <v>#N/A</v>
      </c>
      <c r="BO63" s="223" t="e">
        <f t="shared" si="30"/>
        <v>#N/A</v>
      </c>
    </row>
    <row r="64" spans="2:67" x14ac:dyDescent="0.3">
      <c r="B64" s="166">
        <v>60</v>
      </c>
      <c r="C64" s="208">
        <f>VaR_Calculo_Historico!B61</f>
        <v>42397</v>
      </c>
      <c r="D64" s="181">
        <f>HLOOKUP($D$3,VaR_Calculo_Historico!$C$2:$ET$103,B64+1,0)</f>
        <v>3.3933429980000001</v>
      </c>
      <c r="E64" s="182">
        <f t="shared" si="0"/>
        <v>3.2614729029913081E-3</v>
      </c>
      <c r="F64" s="181">
        <f>HLOOKUP($F$3,VaR_Calculo_Historico!$C$2:$ET$103,B64+1,0)</f>
        <v>1.6115349999999999</v>
      </c>
      <c r="G64" s="182">
        <f t="shared" si="1"/>
        <v>5.0585693396655064E-4</v>
      </c>
      <c r="H64" s="181">
        <f>HLOOKUP($H$3,VaR_Calculo_Historico!$C$2:$ET$103,B64+1,0)</f>
        <v>1.1279278740000001</v>
      </c>
      <c r="I64" s="182">
        <f t="shared" si="2"/>
        <v>-1.7235166442418798E-4</v>
      </c>
      <c r="J64" s="181">
        <f>HLOOKUP($J$3,VaR_Calculo_Historico!$C$2:$ET$103,B64+1,0)</f>
        <v>1.8549869999999999</v>
      </c>
      <c r="K64" s="182">
        <f t="shared" si="31"/>
        <v>2.5771695273194711E-4</v>
      </c>
      <c r="L64" s="181">
        <f>HLOOKUP($L$3,VaR_Calculo_Historico!$C$2:$ET$103,B64+1,0)</f>
        <v>1.0966579999999999</v>
      </c>
      <c r="M64" s="182">
        <f t="shared" si="3"/>
        <v>1.1216523135786325E-4</v>
      </c>
      <c r="N64" s="181">
        <f>HLOOKUP($N$3,VaR_Calculo_Historico!$C$2:$ET$103,B64+1,0)</f>
        <v>2.6214149999999998</v>
      </c>
      <c r="O64" s="182">
        <f t="shared" si="4"/>
        <v>4.4985826789425282E-4</v>
      </c>
      <c r="P64" s="181">
        <f>HLOOKUP($P$3,VaR_Calculo_Historico!$C$2:$ET$103,B64+1,0)</f>
        <v>1.7714099999999999</v>
      </c>
      <c r="Q64" s="182">
        <f t="shared" si="5"/>
        <v>2.6423122418265391E-4</v>
      </c>
      <c r="R64" s="181">
        <f>HLOOKUP($R$3,VaR_Calculo_Historico!$C$2:$ET$103,B64+1,0)</f>
        <v>1.286619</v>
      </c>
      <c r="S64" s="182">
        <f t="shared" si="6"/>
        <v>5.7243362773528482E-3</v>
      </c>
      <c r="T64" s="181" t="e">
        <f>HLOOKUP($T$3,VaR_Calculo_Historico!$C$2:$ET$103,B64+1,0)</f>
        <v>#N/A</v>
      </c>
      <c r="U64" s="182" t="e">
        <f t="shared" si="7"/>
        <v>#N/A</v>
      </c>
      <c r="V64" s="181" t="e">
        <f>HLOOKUP($V$3,VaR_Calculo_Historico!$C$2:$ET$103,B64+1,0)</f>
        <v>#N/A</v>
      </c>
      <c r="W64" s="182" t="e">
        <f t="shared" si="8"/>
        <v>#N/A</v>
      </c>
      <c r="X64" s="181" t="e">
        <f>HLOOKUP($X$3,VaR_Calculo_Historico!$C$2:$ET$103,B64+1,0)</f>
        <v>#N/A</v>
      </c>
      <c r="Y64" s="182" t="e">
        <f t="shared" si="9"/>
        <v>#N/A</v>
      </c>
      <c r="Z64" s="181" t="e">
        <f>HLOOKUP($Z$3,VaR_Calculo_Historico!$C$2:$ET$103,B64+1,0)</f>
        <v>#N/A</v>
      </c>
      <c r="AA64" s="182" t="e">
        <f t="shared" si="10"/>
        <v>#N/A</v>
      </c>
      <c r="AB64" s="181" t="e">
        <f>HLOOKUP($AB$3,VaR_Calculo_Historico!$C$2:$ET$103,B64+1,0)</f>
        <v>#N/A</v>
      </c>
      <c r="AC64" s="182" t="e">
        <f t="shared" si="11"/>
        <v>#N/A</v>
      </c>
      <c r="AD64" s="181" t="e">
        <f>HLOOKUP($AD$3,VaR_Calculo_Historico!$C$2:$ET$103,B64+1,0)</f>
        <v>#N/A</v>
      </c>
      <c r="AE64" s="182" t="e">
        <f t="shared" si="12"/>
        <v>#N/A</v>
      </c>
      <c r="AF64" s="181" t="e">
        <f>HLOOKUP($AF$3,VaR_Calculo_Historico!$C$2:$FZS$104,B64+1,0)</f>
        <v>#N/A</v>
      </c>
      <c r="AG64" s="182" t="e">
        <f t="shared" si="13"/>
        <v>#N/A</v>
      </c>
      <c r="AH64" s="181" t="e">
        <f>HLOOKUP($AH$3,VaR_Calculo_Historico!$C$2:$FS$104,B64+1,0)</f>
        <v>#N/A</v>
      </c>
      <c r="AI64" s="182" t="e">
        <f t="shared" si="14"/>
        <v>#N/A</v>
      </c>
      <c r="AJ64" s="181" t="e">
        <f>HLOOKUP($AJ$3,VaR_Calculo_Historico!$C$2:$ET$103,B64+1,0)</f>
        <v>#N/A</v>
      </c>
      <c r="AK64" s="182" t="e">
        <f t="shared" si="15"/>
        <v>#N/A</v>
      </c>
      <c r="AL64" s="181" t="e">
        <f>HLOOKUP($AL$3,VaR_Calculo_Historico!$C$2:$ET$103,B64+1,0)</f>
        <v>#N/A</v>
      </c>
      <c r="AM64" s="182" t="e">
        <f t="shared" si="16"/>
        <v>#N/A</v>
      </c>
      <c r="AN64" s="181" t="e">
        <f>HLOOKUP($AN$3,VaR_Calculo_Historico!$C$2:$ET$103,B64+1,0)</f>
        <v>#N/A</v>
      </c>
      <c r="AO64" s="182" t="e">
        <f t="shared" si="17"/>
        <v>#N/A</v>
      </c>
      <c r="AP64" s="181" t="e">
        <f>HLOOKUP($AP$3,VaR_Calculo_Historico!$C$2:$ET$103,B64+1,0)</f>
        <v>#N/A</v>
      </c>
      <c r="AQ64" s="182" t="e">
        <f t="shared" si="18"/>
        <v>#N/A</v>
      </c>
      <c r="AR64" s="181" t="e">
        <f>HLOOKUP($AR$3,VaR_Calculo_Historico!$C$2:$ET$103,B64+1,0)</f>
        <v>#N/A</v>
      </c>
      <c r="AS64" s="182" t="e">
        <f t="shared" si="19"/>
        <v>#N/A</v>
      </c>
      <c r="AT64" s="181" t="e">
        <f>HLOOKUP($AT$3,VaR_Calculo_Historico!$C$2:$ET$103,B64+1,0)</f>
        <v>#N/A</v>
      </c>
      <c r="AU64" s="182" t="e">
        <f t="shared" si="20"/>
        <v>#N/A</v>
      </c>
      <c r="AV64" s="181" t="e">
        <f>HLOOKUP($AV$3,VaR_Calculo_Historico!$C$2:$ET$103,B64+1,0)</f>
        <v>#N/A</v>
      </c>
      <c r="AW64" s="223" t="e">
        <f t="shared" si="21"/>
        <v>#N/A</v>
      </c>
      <c r="AX64" s="181" t="e">
        <f>HLOOKUP($AX$3,VaR_Calculo_Historico!$C$2:$ET$103,B64+1,0)</f>
        <v>#N/A</v>
      </c>
      <c r="AY64" s="182" t="e">
        <f t="shared" si="22"/>
        <v>#N/A</v>
      </c>
      <c r="AZ64" s="181" t="e">
        <f>HLOOKUP($AZ$3,VaR_Calculo_Historico!$C$2:$ET$103,B64+1,0)</f>
        <v>#N/A</v>
      </c>
      <c r="BA64" s="182" t="e">
        <f t="shared" si="23"/>
        <v>#N/A</v>
      </c>
      <c r="BB64" s="181" t="e">
        <f>HLOOKUP($BB$3,VaR_Calculo_Historico!$C$2:$ET$103,B64+1,0)</f>
        <v>#N/A</v>
      </c>
      <c r="BC64" s="182" t="e">
        <f t="shared" si="24"/>
        <v>#N/A</v>
      </c>
      <c r="BD64" s="181" t="e">
        <f>HLOOKUP($BD$3,VaR_Calculo_Historico!$C$2:$ET$103,B64+1,0)</f>
        <v>#N/A</v>
      </c>
      <c r="BE64" s="182" t="e">
        <f t="shared" si="25"/>
        <v>#N/A</v>
      </c>
      <c r="BF64" s="181" t="e">
        <f>HLOOKUP($BF$3,VaR_Calculo_Historico!$C$2:$ET$103,B64+1,0)</f>
        <v>#N/A</v>
      </c>
      <c r="BG64" s="182" t="e">
        <f t="shared" si="26"/>
        <v>#N/A</v>
      </c>
      <c r="BH64" s="181" t="e">
        <f>HLOOKUP($BH$3,VaR_Calculo_Historico!$C$2:$ET$103,B64+1,0)</f>
        <v>#N/A</v>
      </c>
      <c r="BI64" s="223" t="e">
        <f t="shared" si="27"/>
        <v>#N/A</v>
      </c>
      <c r="BJ64" s="181" t="e">
        <f>HLOOKUP($BJ$3,VaR_Calculo_Historico!$C$2:$ET$103,B64+1,0)</f>
        <v>#N/A</v>
      </c>
      <c r="BK64" s="223" t="e">
        <f t="shared" si="28"/>
        <v>#N/A</v>
      </c>
      <c r="BL64" s="181" t="e">
        <f>HLOOKUP($BL$3,VaR_Calculo_Historico!$C$2:$ET$103,B64+1,0)</f>
        <v>#N/A</v>
      </c>
      <c r="BM64" s="223" t="e">
        <f t="shared" si="29"/>
        <v>#N/A</v>
      </c>
      <c r="BN64" s="181" t="e">
        <f>HLOOKUP($BN$3,VaR_Calculo_Historico!$C$2:$EY$103,B64+1,0)</f>
        <v>#N/A</v>
      </c>
      <c r="BO64" s="223" t="e">
        <f t="shared" si="30"/>
        <v>#N/A</v>
      </c>
    </row>
    <row r="65" spans="2:67" x14ac:dyDescent="0.3">
      <c r="B65" s="166">
        <v>61</v>
      </c>
      <c r="C65" s="208">
        <f>VaR_Calculo_Historico!B62</f>
        <v>42398</v>
      </c>
      <c r="D65" s="181">
        <f>HLOOKUP($D$3,VaR_Calculo_Historico!$C$2:$ET$103,B65+1,0)</f>
        <v>3.4099545939999998</v>
      </c>
      <c r="E65" s="182">
        <f t="shared" si="0"/>
        <v>4.883405080444405E-3</v>
      </c>
      <c r="F65" s="181">
        <f>HLOOKUP($F$3,VaR_Calculo_Historico!$C$2:$ET$103,B65+1,0)</f>
        <v>1.6123730000000001</v>
      </c>
      <c r="G65" s="182">
        <f t="shared" si="1"/>
        <v>5.1986596321804981E-4</v>
      </c>
      <c r="H65" s="181">
        <f>HLOOKUP($H$3,VaR_Calculo_Historico!$C$2:$ET$103,B65+1,0)</f>
        <v>1.1285504820000001</v>
      </c>
      <c r="I65" s="182">
        <f t="shared" si="2"/>
        <v>5.518404500930253E-4</v>
      </c>
      <c r="J65" s="181">
        <f>HLOOKUP($J$3,VaR_Calculo_Historico!$C$2:$ET$103,B65+1,0)</f>
        <v>1.85676</v>
      </c>
      <c r="K65" s="182">
        <f t="shared" si="31"/>
        <v>9.5534535885624932E-4</v>
      </c>
      <c r="L65" s="181">
        <f>HLOOKUP($L$3,VaR_Calculo_Historico!$C$2:$ET$103,B65+1,0)</f>
        <v>1.0969819999999999</v>
      </c>
      <c r="M65" s="182">
        <f t="shared" si="3"/>
        <v>2.9539942958368455E-4</v>
      </c>
      <c r="N65" s="181">
        <f>HLOOKUP($N$3,VaR_Calculo_Historico!$C$2:$ET$103,B65+1,0)</f>
        <v>2.6227930000000002</v>
      </c>
      <c r="O65" s="182">
        <f t="shared" si="4"/>
        <v>5.2553218015586722E-4</v>
      </c>
      <c r="P65" s="181">
        <f>HLOOKUP($P$3,VaR_Calculo_Historico!$C$2:$ET$103,B65+1,0)</f>
        <v>1.773109</v>
      </c>
      <c r="Q65" s="182">
        <f t="shared" si="5"/>
        <v>9.5866329401552699E-4</v>
      </c>
      <c r="R65" s="181">
        <f>HLOOKUP($R$3,VaR_Calculo_Historico!$C$2:$ET$103,B65+1,0)</f>
        <v>1.297507</v>
      </c>
      <c r="S65" s="182">
        <f t="shared" si="6"/>
        <v>8.4268835434578686E-3</v>
      </c>
      <c r="T65" s="181" t="e">
        <f>HLOOKUP($T$3,VaR_Calculo_Historico!$C$2:$ET$103,B65+1,0)</f>
        <v>#N/A</v>
      </c>
      <c r="U65" s="182" t="e">
        <f t="shared" si="7"/>
        <v>#N/A</v>
      </c>
      <c r="V65" s="181" t="e">
        <f>HLOOKUP($V$3,VaR_Calculo_Historico!$C$2:$ET$103,B65+1,0)</f>
        <v>#N/A</v>
      </c>
      <c r="W65" s="182" t="e">
        <f t="shared" si="8"/>
        <v>#N/A</v>
      </c>
      <c r="X65" s="181" t="e">
        <f>HLOOKUP($X$3,VaR_Calculo_Historico!$C$2:$ET$103,B65+1,0)</f>
        <v>#N/A</v>
      </c>
      <c r="Y65" s="182" t="e">
        <f t="shared" si="9"/>
        <v>#N/A</v>
      </c>
      <c r="Z65" s="181" t="e">
        <f>HLOOKUP($Z$3,VaR_Calculo_Historico!$C$2:$ET$103,B65+1,0)</f>
        <v>#N/A</v>
      </c>
      <c r="AA65" s="182" t="e">
        <f t="shared" si="10"/>
        <v>#N/A</v>
      </c>
      <c r="AB65" s="181" t="e">
        <f>HLOOKUP($AB$3,VaR_Calculo_Historico!$C$2:$ET$103,B65+1,0)</f>
        <v>#N/A</v>
      </c>
      <c r="AC65" s="182" t="e">
        <f t="shared" si="11"/>
        <v>#N/A</v>
      </c>
      <c r="AD65" s="181" t="e">
        <f>HLOOKUP($AD$3,VaR_Calculo_Historico!$C$2:$ET$103,B65+1,0)</f>
        <v>#N/A</v>
      </c>
      <c r="AE65" s="182" t="e">
        <f t="shared" si="12"/>
        <v>#N/A</v>
      </c>
      <c r="AF65" s="181" t="e">
        <f>HLOOKUP($AF$3,VaR_Calculo_Historico!$C$2:$FZS$104,B65+1,0)</f>
        <v>#N/A</v>
      </c>
      <c r="AG65" s="182" t="e">
        <f t="shared" si="13"/>
        <v>#N/A</v>
      </c>
      <c r="AH65" s="181" t="e">
        <f>HLOOKUP($AH$3,VaR_Calculo_Historico!$C$2:$FS$104,B65+1,0)</f>
        <v>#N/A</v>
      </c>
      <c r="AI65" s="182" t="e">
        <f t="shared" si="14"/>
        <v>#N/A</v>
      </c>
      <c r="AJ65" s="181" t="e">
        <f>HLOOKUP($AJ$3,VaR_Calculo_Historico!$C$2:$ET$103,B65+1,0)</f>
        <v>#N/A</v>
      </c>
      <c r="AK65" s="182" t="e">
        <f t="shared" si="15"/>
        <v>#N/A</v>
      </c>
      <c r="AL65" s="181" t="e">
        <f>HLOOKUP($AL$3,VaR_Calculo_Historico!$C$2:$ET$103,B65+1,0)</f>
        <v>#N/A</v>
      </c>
      <c r="AM65" s="182" t="e">
        <f t="shared" si="16"/>
        <v>#N/A</v>
      </c>
      <c r="AN65" s="181" t="e">
        <f>HLOOKUP($AN$3,VaR_Calculo_Historico!$C$2:$ET$103,B65+1,0)</f>
        <v>#N/A</v>
      </c>
      <c r="AO65" s="182" t="e">
        <f t="shared" si="17"/>
        <v>#N/A</v>
      </c>
      <c r="AP65" s="181" t="e">
        <f>HLOOKUP($AP$3,VaR_Calculo_Historico!$C$2:$ET$103,B65+1,0)</f>
        <v>#N/A</v>
      </c>
      <c r="AQ65" s="182" t="e">
        <f t="shared" si="18"/>
        <v>#N/A</v>
      </c>
      <c r="AR65" s="181" t="e">
        <f>HLOOKUP($AR$3,VaR_Calculo_Historico!$C$2:$ET$103,B65+1,0)</f>
        <v>#N/A</v>
      </c>
      <c r="AS65" s="182" t="e">
        <f t="shared" si="19"/>
        <v>#N/A</v>
      </c>
      <c r="AT65" s="181" t="e">
        <f>HLOOKUP($AT$3,VaR_Calculo_Historico!$C$2:$ET$103,B65+1,0)</f>
        <v>#N/A</v>
      </c>
      <c r="AU65" s="182" t="e">
        <f t="shared" si="20"/>
        <v>#N/A</v>
      </c>
      <c r="AV65" s="181" t="e">
        <f>HLOOKUP($AV$3,VaR_Calculo_Historico!$C$2:$ET$103,B65+1,0)</f>
        <v>#N/A</v>
      </c>
      <c r="AW65" s="223" t="e">
        <f t="shared" si="21"/>
        <v>#N/A</v>
      </c>
      <c r="AX65" s="181" t="e">
        <f>HLOOKUP($AX$3,VaR_Calculo_Historico!$C$2:$ET$103,B65+1,0)</f>
        <v>#N/A</v>
      </c>
      <c r="AY65" s="182" t="e">
        <f t="shared" si="22"/>
        <v>#N/A</v>
      </c>
      <c r="AZ65" s="181" t="e">
        <f>HLOOKUP($AZ$3,VaR_Calculo_Historico!$C$2:$ET$103,B65+1,0)</f>
        <v>#N/A</v>
      </c>
      <c r="BA65" s="182" t="e">
        <f t="shared" si="23"/>
        <v>#N/A</v>
      </c>
      <c r="BB65" s="181" t="e">
        <f>HLOOKUP($BB$3,VaR_Calculo_Historico!$C$2:$ET$103,B65+1,0)</f>
        <v>#N/A</v>
      </c>
      <c r="BC65" s="182" t="e">
        <f t="shared" si="24"/>
        <v>#N/A</v>
      </c>
      <c r="BD65" s="181" t="e">
        <f>HLOOKUP($BD$3,VaR_Calculo_Historico!$C$2:$ET$103,B65+1,0)</f>
        <v>#N/A</v>
      </c>
      <c r="BE65" s="182" t="e">
        <f t="shared" si="25"/>
        <v>#N/A</v>
      </c>
      <c r="BF65" s="181" t="e">
        <f>HLOOKUP($BF$3,VaR_Calculo_Historico!$C$2:$ET$103,B65+1,0)</f>
        <v>#N/A</v>
      </c>
      <c r="BG65" s="182" t="e">
        <f t="shared" si="26"/>
        <v>#N/A</v>
      </c>
      <c r="BH65" s="181" t="e">
        <f>HLOOKUP($BH$3,VaR_Calculo_Historico!$C$2:$ET$103,B65+1,0)</f>
        <v>#N/A</v>
      </c>
      <c r="BI65" s="223" t="e">
        <f t="shared" si="27"/>
        <v>#N/A</v>
      </c>
      <c r="BJ65" s="181" t="e">
        <f>HLOOKUP($BJ$3,VaR_Calculo_Historico!$C$2:$ET$103,B65+1,0)</f>
        <v>#N/A</v>
      </c>
      <c r="BK65" s="223" t="e">
        <f t="shared" si="28"/>
        <v>#N/A</v>
      </c>
      <c r="BL65" s="181" t="e">
        <f>HLOOKUP($BL$3,VaR_Calculo_Historico!$C$2:$ET$103,B65+1,0)</f>
        <v>#N/A</v>
      </c>
      <c r="BM65" s="223" t="e">
        <f t="shared" si="29"/>
        <v>#N/A</v>
      </c>
      <c r="BN65" s="181" t="e">
        <f>HLOOKUP($BN$3,VaR_Calculo_Historico!$C$2:$EY$103,B65+1,0)</f>
        <v>#N/A</v>
      </c>
      <c r="BO65" s="223" t="e">
        <f t="shared" si="30"/>
        <v>#N/A</v>
      </c>
    </row>
    <row r="66" spans="2:67" x14ac:dyDescent="0.3">
      <c r="B66" s="166">
        <v>62</v>
      </c>
      <c r="C66" s="208">
        <f>VaR_Calculo_Historico!B63</f>
        <v>42401</v>
      </c>
      <c r="D66" s="181">
        <f>HLOOKUP($D$3,VaR_Calculo_Historico!$C$2:$ET$103,B66+1,0)</f>
        <v>3.4005036870000001</v>
      </c>
      <c r="E66" s="182">
        <f t="shared" si="0"/>
        <v>-2.775411778966399E-3</v>
      </c>
      <c r="F66" s="181">
        <f>HLOOKUP($F$3,VaR_Calculo_Historico!$C$2:$ET$103,B66+1,0)</f>
        <v>1.613129</v>
      </c>
      <c r="G66" s="182">
        <f t="shared" si="1"/>
        <v>4.6876425055291418E-4</v>
      </c>
      <c r="H66" s="181">
        <f>HLOOKUP($H$3,VaR_Calculo_Historico!$C$2:$ET$103,B66+1,0)</f>
        <v>1.1286025289999999</v>
      </c>
      <c r="I66" s="182">
        <f t="shared" si="2"/>
        <v>4.6117387483567726E-5</v>
      </c>
      <c r="J66" s="181">
        <f>HLOOKUP($J$3,VaR_Calculo_Historico!$C$2:$ET$103,B66+1,0)</f>
        <v>1.8573550000000001</v>
      </c>
      <c r="K66" s="182">
        <f t="shared" si="31"/>
        <v>3.2039934417216919E-4</v>
      </c>
      <c r="L66" s="181">
        <f>HLOOKUP($L$3,VaR_Calculo_Historico!$C$2:$ET$103,B66+1,0)</f>
        <v>1.0972770000000001</v>
      </c>
      <c r="M66" s="182">
        <f t="shared" si="3"/>
        <v>2.6888348346980188E-4</v>
      </c>
      <c r="N66" s="181">
        <f>HLOOKUP($N$3,VaR_Calculo_Historico!$C$2:$ET$103,B66+1,0)</f>
        <v>2.624174</v>
      </c>
      <c r="O66" s="182">
        <f t="shared" si="4"/>
        <v>5.2639935867284456E-4</v>
      </c>
      <c r="P66" s="181">
        <f>HLOOKUP($P$3,VaR_Calculo_Historico!$C$2:$ET$103,B66+1,0)</f>
        <v>1.7736860000000001</v>
      </c>
      <c r="Q66" s="182">
        <f t="shared" si="5"/>
        <v>3.2536416967440438E-4</v>
      </c>
      <c r="R66" s="181">
        <f>HLOOKUP($R$3,VaR_Calculo_Historico!$C$2:$ET$103,B66+1,0)</f>
        <v>1.290611</v>
      </c>
      <c r="S66" s="182">
        <f t="shared" si="6"/>
        <v>-5.328981382920526E-3</v>
      </c>
      <c r="T66" s="181" t="e">
        <f>HLOOKUP($T$3,VaR_Calculo_Historico!$C$2:$ET$103,B66+1,0)</f>
        <v>#N/A</v>
      </c>
      <c r="U66" s="182" t="e">
        <f t="shared" si="7"/>
        <v>#N/A</v>
      </c>
      <c r="V66" s="181" t="e">
        <f>HLOOKUP($V$3,VaR_Calculo_Historico!$C$2:$ET$103,B66+1,0)</f>
        <v>#N/A</v>
      </c>
      <c r="W66" s="182" t="e">
        <f t="shared" si="8"/>
        <v>#N/A</v>
      </c>
      <c r="X66" s="181" t="e">
        <f>HLOOKUP($X$3,VaR_Calculo_Historico!$C$2:$ET$103,B66+1,0)</f>
        <v>#N/A</v>
      </c>
      <c r="Y66" s="182" t="e">
        <f t="shared" si="9"/>
        <v>#N/A</v>
      </c>
      <c r="Z66" s="181" t="e">
        <f>HLOOKUP($Z$3,VaR_Calculo_Historico!$C$2:$ET$103,B66+1,0)</f>
        <v>#N/A</v>
      </c>
      <c r="AA66" s="182" t="e">
        <f t="shared" si="10"/>
        <v>#N/A</v>
      </c>
      <c r="AB66" s="181" t="e">
        <f>HLOOKUP($AB$3,VaR_Calculo_Historico!$C$2:$ET$103,B66+1,0)</f>
        <v>#N/A</v>
      </c>
      <c r="AC66" s="182" t="e">
        <f t="shared" si="11"/>
        <v>#N/A</v>
      </c>
      <c r="AD66" s="181" t="e">
        <f>HLOOKUP($AD$3,VaR_Calculo_Historico!$C$2:$ET$103,B66+1,0)</f>
        <v>#N/A</v>
      </c>
      <c r="AE66" s="182" t="e">
        <f t="shared" si="12"/>
        <v>#N/A</v>
      </c>
      <c r="AF66" s="181" t="e">
        <f>HLOOKUP($AF$3,VaR_Calculo_Historico!$C$2:$FZS$104,B66+1,0)</f>
        <v>#N/A</v>
      </c>
      <c r="AG66" s="182" t="e">
        <f t="shared" si="13"/>
        <v>#N/A</v>
      </c>
      <c r="AH66" s="181" t="e">
        <f>HLOOKUP($AH$3,VaR_Calculo_Historico!$C$2:$FS$104,B66+1,0)</f>
        <v>#N/A</v>
      </c>
      <c r="AI66" s="182" t="e">
        <f t="shared" si="14"/>
        <v>#N/A</v>
      </c>
      <c r="AJ66" s="181" t="e">
        <f>HLOOKUP($AJ$3,VaR_Calculo_Historico!$C$2:$ET$103,B66+1,0)</f>
        <v>#N/A</v>
      </c>
      <c r="AK66" s="182" t="e">
        <f t="shared" si="15"/>
        <v>#N/A</v>
      </c>
      <c r="AL66" s="181" t="e">
        <f>HLOOKUP($AL$3,VaR_Calculo_Historico!$C$2:$ET$103,B66+1,0)</f>
        <v>#N/A</v>
      </c>
      <c r="AM66" s="182" t="e">
        <f t="shared" si="16"/>
        <v>#N/A</v>
      </c>
      <c r="AN66" s="181" t="e">
        <f>HLOOKUP($AN$3,VaR_Calculo_Historico!$C$2:$ET$103,B66+1,0)</f>
        <v>#N/A</v>
      </c>
      <c r="AO66" s="182" t="e">
        <f t="shared" si="17"/>
        <v>#N/A</v>
      </c>
      <c r="AP66" s="181" t="e">
        <f>HLOOKUP($AP$3,VaR_Calculo_Historico!$C$2:$ET$103,B66+1,0)</f>
        <v>#N/A</v>
      </c>
      <c r="AQ66" s="182" t="e">
        <f t="shared" si="18"/>
        <v>#N/A</v>
      </c>
      <c r="AR66" s="181" t="e">
        <f>HLOOKUP($AR$3,VaR_Calculo_Historico!$C$2:$ET$103,B66+1,0)</f>
        <v>#N/A</v>
      </c>
      <c r="AS66" s="182" t="e">
        <f t="shared" si="19"/>
        <v>#N/A</v>
      </c>
      <c r="AT66" s="181" t="e">
        <f>HLOOKUP($AT$3,VaR_Calculo_Historico!$C$2:$ET$103,B66+1,0)</f>
        <v>#N/A</v>
      </c>
      <c r="AU66" s="182" t="e">
        <f t="shared" si="20"/>
        <v>#N/A</v>
      </c>
      <c r="AV66" s="181" t="e">
        <f>HLOOKUP($AV$3,VaR_Calculo_Historico!$C$2:$ET$103,B66+1,0)</f>
        <v>#N/A</v>
      </c>
      <c r="AW66" s="223" t="e">
        <f t="shared" si="21"/>
        <v>#N/A</v>
      </c>
      <c r="AX66" s="181" t="e">
        <f>HLOOKUP($AX$3,VaR_Calculo_Historico!$C$2:$ET$103,B66+1,0)</f>
        <v>#N/A</v>
      </c>
      <c r="AY66" s="182" t="e">
        <f t="shared" si="22"/>
        <v>#N/A</v>
      </c>
      <c r="AZ66" s="181" t="e">
        <f>HLOOKUP($AZ$3,VaR_Calculo_Historico!$C$2:$ET$103,B66+1,0)</f>
        <v>#N/A</v>
      </c>
      <c r="BA66" s="182" t="e">
        <f t="shared" si="23"/>
        <v>#N/A</v>
      </c>
      <c r="BB66" s="181" t="e">
        <f>HLOOKUP($BB$3,VaR_Calculo_Historico!$C$2:$ET$103,B66+1,0)</f>
        <v>#N/A</v>
      </c>
      <c r="BC66" s="182" t="e">
        <f t="shared" si="24"/>
        <v>#N/A</v>
      </c>
      <c r="BD66" s="181" t="e">
        <f>HLOOKUP($BD$3,VaR_Calculo_Historico!$C$2:$ET$103,B66+1,0)</f>
        <v>#N/A</v>
      </c>
      <c r="BE66" s="182" t="e">
        <f t="shared" si="25"/>
        <v>#N/A</v>
      </c>
      <c r="BF66" s="181" t="e">
        <f>HLOOKUP($BF$3,VaR_Calculo_Historico!$C$2:$ET$103,B66+1,0)</f>
        <v>#N/A</v>
      </c>
      <c r="BG66" s="182" t="e">
        <f t="shared" si="26"/>
        <v>#N/A</v>
      </c>
      <c r="BH66" s="181" t="e">
        <f>HLOOKUP($BH$3,VaR_Calculo_Historico!$C$2:$ET$103,B66+1,0)</f>
        <v>#N/A</v>
      </c>
      <c r="BI66" s="223" t="e">
        <f t="shared" si="27"/>
        <v>#N/A</v>
      </c>
      <c r="BJ66" s="181" t="e">
        <f>HLOOKUP($BJ$3,VaR_Calculo_Historico!$C$2:$ET$103,B66+1,0)</f>
        <v>#N/A</v>
      </c>
      <c r="BK66" s="223" t="e">
        <f t="shared" si="28"/>
        <v>#N/A</v>
      </c>
      <c r="BL66" s="181" t="e">
        <f>HLOOKUP($BL$3,VaR_Calculo_Historico!$C$2:$ET$103,B66+1,0)</f>
        <v>#N/A</v>
      </c>
      <c r="BM66" s="223" t="e">
        <f t="shared" si="29"/>
        <v>#N/A</v>
      </c>
      <c r="BN66" s="181" t="e">
        <f>HLOOKUP($BN$3,VaR_Calculo_Historico!$C$2:$EY$103,B66+1,0)</f>
        <v>#N/A</v>
      </c>
      <c r="BO66" s="223" t="e">
        <f t="shared" si="30"/>
        <v>#N/A</v>
      </c>
    </row>
    <row r="67" spans="2:67" x14ac:dyDescent="0.3">
      <c r="B67" s="166">
        <v>63</v>
      </c>
      <c r="C67" s="208">
        <f>VaR_Calculo_Historico!B64</f>
        <v>42402</v>
      </c>
      <c r="D67" s="181">
        <f>HLOOKUP($D$3,VaR_Calculo_Historico!$C$2:$ET$103,B67+1,0)</f>
        <v>3.4043618439999999</v>
      </c>
      <c r="E67" s="182">
        <f t="shared" si="0"/>
        <v>1.1339408239096358E-3</v>
      </c>
      <c r="F67" s="181">
        <f>HLOOKUP($F$3,VaR_Calculo_Historico!$C$2:$ET$103,B67+1,0)</f>
        <v>1.613961</v>
      </c>
      <c r="G67" s="182">
        <f t="shared" si="1"/>
        <v>5.156348403262572E-4</v>
      </c>
      <c r="H67" s="181">
        <f>HLOOKUP($H$3,VaR_Calculo_Historico!$C$2:$ET$103,B67+1,0)</f>
        <v>1.129127596</v>
      </c>
      <c r="I67" s="182">
        <f t="shared" si="2"/>
        <v>4.6512823091857678E-4</v>
      </c>
      <c r="J67" s="181">
        <f>HLOOKUP($J$3,VaR_Calculo_Historico!$C$2:$ET$103,B67+1,0)</f>
        <v>1.858158</v>
      </c>
      <c r="K67" s="182">
        <f t="shared" si="31"/>
        <v>4.322417994511183E-4</v>
      </c>
      <c r="L67" s="181">
        <f>HLOOKUP($L$3,VaR_Calculo_Historico!$C$2:$ET$103,B67+1,0)</f>
        <v>1.0977140000000001</v>
      </c>
      <c r="M67" s="182">
        <f t="shared" si="3"/>
        <v>3.9817931442426443E-4</v>
      </c>
      <c r="N67" s="181">
        <f>HLOOKUP($N$3,VaR_Calculo_Historico!$C$2:$ET$103,B67+1,0)</f>
        <v>2.6255519999999999</v>
      </c>
      <c r="O67" s="182">
        <f t="shared" si="4"/>
        <v>5.2497979195426331E-4</v>
      </c>
      <c r="P67" s="181">
        <f>HLOOKUP($P$3,VaR_Calculo_Historico!$C$2:$ET$103,B67+1,0)</f>
        <v>1.7744610000000001</v>
      </c>
      <c r="Q67" s="182">
        <f t="shared" si="5"/>
        <v>4.3684774747204338E-4</v>
      </c>
      <c r="R67" s="181">
        <f>HLOOKUP($R$3,VaR_Calculo_Historico!$C$2:$ET$103,B67+1,0)</f>
        <v>1.292894</v>
      </c>
      <c r="S67" s="182">
        <f t="shared" si="6"/>
        <v>1.7673668866614793E-3</v>
      </c>
      <c r="T67" s="181" t="e">
        <f>HLOOKUP($T$3,VaR_Calculo_Historico!$C$2:$ET$103,B67+1,0)</f>
        <v>#N/A</v>
      </c>
      <c r="U67" s="182" t="e">
        <f t="shared" si="7"/>
        <v>#N/A</v>
      </c>
      <c r="V67" s="181" t="e">
        <f>HLOOKUP($V$3,VaR_Calculo_Historico!$C$2:$ET$103,B67+1,0)</f>
        <v>#N/A</v>
      </c>
      <c r="W67" s="182" t="e">
        <f t="shared" si="8"/>
        <v>#N/A</v>
      </c>
      <c r="X67" s="181" t="e">
        <f>HLOOKUP($X$3,VaR_Calculo_Historico!$C$2:$ET$103,B67+1,0)</f>
        <v>#N/A</v>
      </c>
      <c r="Y67" s="182" t="e">
        <f t="shared" si="9"/>
        <v>#N/A</v>
      </c>
      <c r="Z67" s="181" t="e">
        <f>HLOOKUP($Z$3,VaR_Calculo_Historico!$C$2:$ET$103,B67+1,0)</f>
        <v>#N/A</v>
      </c>
      <c r="AA67" s="182" t="e">
        <f t="shared" si="10"/>
        <v>#N/A</v>
      </c>
      <c r="AB67" s="181" t="e">
        <f>HLOOKUP($AB$3,VaR_Calculo_Historico!$C$2:$ET$103,B67+1,0)</f>
        <v>#N/A</v>
      </c>
      <c r="AC67" s="182" t="e">
        <f t="shared" si="11"/>
        <v>#N/A</v>
      </c>
      <c r="AD67" s="181" t="e">
        <f>HLOOKUP($AD$3,VaR_Calculo_Historico!$C$2:$ET$103,B67+1,0)</f>
        <v>#N/A</v>
      </c>
      <c r="AE67" s="182" t="e">
        <f t="shared" si="12"/>
        <v>#N/A</v>
      </c>
      <c r="AF67" s="181" t="e">
        <f>HLOOKUP($AF$3,VaR_Calculo_Historico!$C$2:$FZS$104,B67+1,0)</f>
        <v>#N/A</v>
      </c>
      <c r="AG67" s="182" t="e">
        <f t="shared" si="13"/>
        <v>#N/A</v>
      </c>
      <c r="AH67" s="181" t="e">
        <f>HLOOKUP($AH$3,VaR_Calculo_Historico!$C$2:$FS$104,B67+1,0)</f>
        <v>#N/A</v>
      </c>
      <c r="AI67" s="182" t="e">
        <f t="shared" si="14"/>
        <v>#N/A</v>
      </c>
      <c r="AJ67" s="181" t="e">
        <f>HLOOKUP($AJ$3,VaR_Calculo_Historico!$C$2:$ET$103,B67+1,0)</f>
        <v>#N/A</v>
      </c>
      <c r="AK67" s="182" t="e">
        <f t="shared" si="15"/>
        <v>#N/A</v>
      </c>
      <c r="AL67" s="181" t="e">
        <f>HLOOKUP($AL$3,VaR_Calculo_Historico!$C$2:$ET$103,B67+1,0)</f>
        <v>#N/A</v>
      </c>
      <c r="AM67" s="182" t="e">
        <f t="shared" si="16"/>
        <v>#N/A</v>
      </c>
      <c r="AN67" s="181" t="e">
        <f>HLOOKUP($AN$3,VaR_Calculo_Historico!$C$2:$ET$103,B67+1,0)</f>
        <v>#N/A</v>
      </c>
      <c r="AO67" s="182" t="e">
        <f t="shared" si="17"/>
        <v>#N/A</v>
      </c>
      <c r="AP67" s="181" t="e">
        <f>HLOOKUP($AP$3,VaR_Calculo_Historico!$C$2:$ET$103,B67+1,0)</f>
        <v>#N/A</v>
      </c>
      <c r="AQ67" s="182" t="e">
        <f t="shared" si="18"/>
        <v>#N/A</v>
      </c>
      <c r="AR67" s="181" t="e">
        <f>HLOOKUP($AR$3,VaR_Calculo_Historico!$C$2:$ET$103,B67+1,0)</f>
        <v>#N/A</v>
      </c>
      <c r="AS67" s="182" t="e">
        <f t="shared" si="19"/>
        <v>#N/A</v>
      </c>
      <c r="AT67" s="181" t="e">
        <f>HLOOKUP($AT$3,VaR_Calculo_Historico!$C$2:$ET$103,B67+1,0)</f>
        <v>#N/A</v>
      </c>
      <c r="AU67" s="182" t="e">
        <f t="shared" si="20"/>
        <v>#N/A</v>
      </c>
      <c r="AV67" s="181" t="e">
        <f>HLOOKUP($AV$3,VaR_Calculo_Historico!$C$2:$ET$103,B67+1,0)</f>
        <v>#N/A</v>
      </c>
      <c r="AW67" s="223" t="e">
        <f t="shared" si="21"/>
        <v>#N/A</v>
      </c>
      <c r="AX67" s="181" t="e">
        <f>HLOOKUP($AX$3,VaR_Calculo_Historico!$C$2:$ET$103,B67+1,0)</f>
        <v>#N/A</v>
      </c>
      <c r="AY67" s="182" t="e">
        <f t="shared" si="22"/>
        <v>#N/A</v>
      </c>
      <c r="AZ67" s="181" t="e">
        <f>HLOOKUP($AZ$3,VaR_Calculo_Historico!$C$2:$ET$103,B67+1,0)</f>
        <v>#N/A</v>
      </c>
      <c r="BA67" s="182" t="e">
        <f t="shared" si="23"/>
        <v>#N/A</v>
      </c>
      <c r="BB67" s="181" t="e">
        <f>HLOOKUP($BB$3,VaR_Calculo_Historico!$C$2:$ET$103,B67+1,0)</f>
        <v>#N/A</v>
      </c>
      <c r="BC67" s="182" t="e">
        <f t="shared" si="24"/>
        <v>#N/A</v>
      </c>
      <c r="BD67" s="181" t="e">
        <f>HLOOKUP($BD$3,VaR_Calculo_Historico!$C$2:$ET$103,B67+1,0)</f>
        <v>#N/A</v>
      </c>
      <c r="BE67" s="182" t="e">
        <f t="shared" si="25"/>
        <v>#N/A</v>
      </c>
      <c r="BF67" s="181" t="e">
        <f>HLOOKUP($BF$3,VaR_Calculo_Historico!$C$2:$ET$103,B67+1,0)</f>
        <v>#N/A</v>
      </c>
      <c r="BG67" s="182" t="e">
        <f t="shared" si="26"/>
        <v>#N/A</v>
      </c>
      <c r="BH67" s="181" t="e">
        <f>HLOOKUP($BH$3,VaR_Calculo_Historico!$C$2:$ET$103,B67+1,0)</f>
        <v>#N/A</v>
      </c>
      <c r="BI67" s="223" t="e">
        <f t="shared" si="27"/>
        <v>#N/A</v>
      </c>
      <c r="BJ67" s="181" t="e">
        <f>HLOOKUP($BJ$3,VaR_Calculo_Historico!$C$2:$ET$103,B67+1,0)</f>
        <v>#N/A</v>
      </c>
      <c r="BK67" s="223" t="e">
        <f t="shared" si="28"/>
        <v>#N/A</v>
      </c>
      <c r="BL67" s="181" t="e">
        <f>HLOOKUP($BL$3,VaR_Calculo_Historico!$C$2:$ET$103,B67+1,0)</f>
        <v>#N/A</v>
      </c>
      <c r="BM67" s="223" t="e">
        <f t="shared" si="29"/>
        <v>#N/A</v>
      </c>
      <c r="BN67" s="181" t="e">
        <f>HLOOKUP($BN$3,VaR_Calculo_Historico!$C$2:$EY$103,B67+1,0)</f>
        <v>#N/A</v>
      </c>
      <c r="BO67" s="223" t="e">
        <f t="shared" si="30"/>
        <v>#N/A</v>
      </c>
    </row>
    <row r="68" spans="2:67" x14ac:dyDescent="0.3">
      <c r="B68" s="166">
        <v>64</v>
      </c>
      <c r="C68" s="208">
        <f>VaR_Calculo_Historico!B65</f>
        <v>42403</v>
      </c>
      <c r="D68" s="181">
        <f>HLOOKUP($D$3,VaR_Calculo_Historico!$C$2:$ET$103,B68+1,0)</f>
        <v>3.3984829419999998</v>
      </c>
      <c r="E68" s="182">
        <f t="shared" si="0"/>
        <v>-1.7283661904435601E-3</v>
      </c>
      <c r="F68" s="181">
        <f>HLOOKUP($F$3,VaR_Calculo_Historico!$C$2:$ET$103,B68+1,0)</f>
        <v>1.6147769999999999</v>
      </c>
      <c r="G68" s="182">
        <f t="shared" si="1"/>
        <v>5.054606582345193E-4</v>
      </c>
      <c r="H68" s="181">
        <f>HLOOKUP($H$3,VaR_Calculo_Historico!$C$2:$ET$103,B68+1,0)</f>
        <v>1.127568964</v>
      </c>
      <c r="I68" s="182">
        <f t="shared" si="2"/>
        <v>-1.3813396762881556E-3</v>
      </c>
      <c r="J68" s="181">
        <f>HLOOKUP($J$3,VaR_Calculo_Historico!$C$2:$ET$103,B68+1,0)</f>
        <v>1.8587419999999999</v>
      </c>
      <c r="K68" s="182">
        <f t="shared" si="31"/>
        <v>3.1424036417738554E-4</v>
      </c>
      <c r="L68" s="181">
        <f>HLOOKUP($L$3,VaR_Calculo_Historico!$C$2:$ET$103,B68+1,0)</f>
        <v>1.0969070000000001</v>
      </c>
      <c r="M68" s="182">
        <f t="shared" si="3"/>
        <v>-7.3543453413884164E-4</v>
      </c>
      <c r="N68" s="181">
        <f>HLOOKUP($N$3,VaR_Calculo_Historico!$C$2:$ET$103,B68+1,0)</f>
        <v>2.626935</v>
      </c>
      <c r="O68" s="182">
        <f t="shared" si="4"/>
        <v>5.2660769344530628E-4</v>
      </c>
      <c r="P68" s="181">
        <f>HLOOKUP($P$3,VaR_Calculo_Historico!$C$2:$ET$103,B68+1,0)</f>
        <v>1.775023</v>
      </c>
      <c r="Q68" s="182">
        <f t="shared" si="5"/>
        <v>3.1666574899118775E-4</v>
      </c>
      <c r="R68" s="181">
        <f>HLOOKUP($R$3,VaR_Calculo_Historico!$C$2:$ET$103,B68+1,0)</f>
        <v>1.2884389999999999</v>
      </c>
      <c r="S68" s="182">
        <f t="shared" si="6"/>
        <v>-3.4517084182317352E-3</v>
      </c>
      <c r="T68" s="181" t="e">
        <f>HLOOKUP($T$3,VaR_Calculo_Historico!$C$2:$ET$103,B68+1,0)</f>
        <v>#N/A</v>
      </c>
      <c r="U68" s="182" t="e">
        <f t="shared" si="7"/>
        <v>#N/A</v>
      </c>
      <c r="V68" s="181" t="e">
        <f>HLOOKUP($V$3,VaR_Calculo_Historico!$C$2:$ET$103,B68+1,0)</f>
        <v>#N/A</v>
      </c>
      <c r="W68" s="182" t="e">
        <f t="shared" si="8"/>
        <v>#N/A</v>
      </c>
      <c r="X68" s="181" t="e">
        <f>HLOOKUP($X$3,VaR_Calculo_Historico!$C$2:$ET$103,B68+1,0)</f>
        <v>#N/A</v>
      </c>
      <c r="Y68" s="182" t="e">
        <f t="shared" si="9"/>
        <v>#N/A</v>
      </c>
      <c r="Z68" s="181" t="e">
        <f>HLOOKUP($Z$3,VaR_Calculo_Historico!$C$2:$ET$103,B68+1,0)</f>
        <v>#N/A</v>
      </c>
      <c r="AA68" s="182" t="e">
        <f t="shared" si="10"/>
        <v>#N/A</v>
      </c>
      <c r="AB68" s="181" t="e">
        <f>HLOOKUP($AB$3,VaR_Calculo_Historico!$C$2:$ET$103,B68+1,0)</f>
        <v>#N/A</v>
      </c>
      <c r="AC68" s="182" t="e">
        <f t="shared" si="11"/>
        <v>#N/A</v>
      </c>
      <c r="AD68" s="181" t="e">
        <f>HLOOKUP($AD$3,VaR_Calculo_Historico!$C$2:$ET$103,B68+1,0)</f>
        <v>#N/A</v>
      </c>
      <c r="AE68" s="182" t="e">
        <f t="shared" si="12"/>
        <v>#N/A</v>
      </c>
      <c r="AF68" s="181" t="e">
        <f>HLOOKUP($AF$3,VaR_Calculo_Historico!$C$2:$FZS$104,B68+1,0)</f>
        <v>#N/A</v>
      </c>
      <c r="AG68" s="182" t="e">
        <f t="shared" si="13"/>
        <v>#N/A</v>
      </c>
      <c r="AH68" s="181" t="e">
        <f>HLOOKUP($AH$3,VaR_Calculo_Historico!$C$2:$FS$104,B68+1,0)</f>
        <v>#N/A</v>
      </c>
      <c r="AI68" s="182" t="e">
        <f t="shared" si="14"/>
        <v>#N/A</v>
      </c>
      <c r="AJ68" s="181" t="e">
        <f>HLOOKUP($AJ$3,VaR_Calculo_Historico!$C$2:$ET$103,B68+1,0)</f>
        <v>#N/A</v>
      </c>
      <c r="AK68" s="182" t="e">
        <f t="shared" si="15"/>
        <v>#N/A</v>
      </c>
      <c r="AL68" s="181" t="e">
        <f>HLOOKUP($AL$3,VaR_Calculo_Historico!$C$2:$ET$103,B68+1,0)</f>
        <v>#N/A</v>
      </c>
      <c r="AM68" s="182" t="e">
        <f t="shared" si="16"/>
        <v>#N/A</v>
      </c>
      <c r="AN68" s="181" t="e">
        <f>HLOOKUP($AN$3,VaR_Calculo_Historico!$C$2:$ET$103,B68+1,0)</f>
        <v>#N/A</v>
      </c>
      <c r="AO68" s="182" t="e">
        <f t="shared" si="17"/>
        <v>#N/A</v>
      </c>
      <c r="AP68" s="181" t="e">
        <f>HLOOKUP($AP$3,VaR_Calculo_Historico!$C$2:$ET$103,B68+1,0)</f>
        <v>#N/A</v>
      </c>
      <c r="AQ68" s="182" t="e">
        <f t="shared" si="18"/>
        <v>#N/A</v>
      </c>
      <c r="AR68" s="181" t="e">
        <f>HLOOKUP($AR$3,VaR_Calculo_Historico!$C$2:$ET$103,B68+1,0)</f>
        <v>#N/A</v>
      </c>
      <c r="AS68" s="182" t="e">
        <f t="shared" si="19"/>
        <v>#N/A</v>
      </c>
      <c r="AT68" s="181" t="e">
        <f>HLOOKUP($AT$3,VaR_Calculo_Historico!$C$2:$ET$103,B68+1,0)</f>
        <v>#N/A</v>
      </c>
      <c r="AU68" s="182" t="e">
        <f t="shared" si="20"/>
        <v>#N/A</v>
      </c>
      <c r="AV68" s="181" t="e">
        <f>HLOOKUP($AV$3,VaR_Calculo_Historico!$C$2:$ET$103,B68+1,0)</f>
        <v>#N/A</v>
      </c>
      <c r="AW68" s="223" t="e">
        <f t="shared" si="21"/>
        <v>#N/A</v>
      </c>
      <c r="AX68" s="181" t="e">
        <f>HLOOKUP($AX$3,VaR_Calculo_Historico!$C$2:$ET$103,B68+1,0)</f>
        <v>#N/A</v>
      </c>
      <c r="AY68" s="182" t="e">
        <f t="shared" si="22"/>
        <v>#N/A</v>
      </c>
      <c r="AZ68" s="181" t="e">
        <f>HLOOKUP($AZ$3,VaR_Calculo_Historico!$C$2:$ET$103,B68+1,0)</f>
        <v>#N/A</v>
      </c>
      <c r="BA68" s="182" t="e">
        <f t="shared" si="23"/>
        <v>#N/A</v>
      </c>
      <c r="BB68" s="181" t="e">
        <f>HLOOKUP($BB$3,VaR_Calculo_Historico!$C$2:$ET$103,B68+1,0)</f>
        <v>#N/A</v>
      </c>
      <c r="BC68" s="182" t="e">
        <f t="shared" si="24"/>
        <v>#N/A</v>
      </c>
      <c r="BD68" s="181" t="e">
        <f>HLOOKUP($BD$3,VaR_Calculo_Historico!$C$2:$ET$103,B68+1,0)</f>
        <v>#N/A</v>
      </c>
      <c r="BE68" s="182" t="e">
        <f t="shared" si="25"/>
        <v>#N/A</v>
      </c>
      <c r="BF68" s="181" t="e">
        <f>HLOOKUP($BF$3,VaR_Calculo_Historico!$C$2:$ET$103,B68+1,0)</f>
        <v>#N/A</v>
      </c>
      <c r="BG68" s="182" t="e">
        <f t="shared" si="26"/>
        <v>#N/A</v>
      </c>
      <c r="BH68" s="181" t="e">
        <f>HLOOKUP($BH$3,VaR_Calculo_Historico!$C$2:$ET$103,B68+1,0)</f>
        <v>#N/A</v>
      </c>
      <c r="BI68" s="223" t="e">
        <f t="shared" si="27"/>
        <v>#N/A</v>
      </c>
      <c r="BJ68" s="181" t="e">
        <f>HLOOKUP($BJ$3,VaR_Calculo_Historico!$C$2:$ET$103,B68+1,0)</f>
        <v>#N/A</v>
      </c>
      <c r="BK68" s="223" t="e">
        <f t="shared" si="28"/>
        <v>#N/A</v>
      </c>
      <c r="BL68" s="181" t="e">
        <f>HLOOKUP($BL$3,VaR_Calculo_Historico!$C$2:$ET$103,B68+1,0)</f>
        <v>#N/A</v>
      </c>
      <c r="BM68" s="223" t="e">
        <f t="shared" si="29"/>
        <v>#N/A</v>
      </c>
      <c r="BN68" s="181" t="e">
        <f>HLOOKUP($BN$3,VaR_Calculo_Historico!$C$2:$EY$103,B68+1,0)</f>
        <v>#N/A</v>
      </c>
      <c r="BO68" s="223" t="e">
        <f t="shared" si="30"/>
        <v>#N/A</v>
      </c>
    </row>
    <row r="69" spans="2:67" x14ac:dyDescent="0.3">
      <c r="B69" s="166">
        <v>65</v>
      </c>
      <c r="C69" s="208">
        <f>VaR_Calculo_Historico!B66</f>
        <v>42404</v>
      </c>
      <c r="D69" s="181">
        <f>HLOOKUP($D$3,VaR_Calculo_Historico!$C$2:$ET$103,B69+1,0)</f>
        <v>3.4004682850000001</v>
      </c>
      <c r="E69" s="182">
        <f t="shared" si="0"/>
        <v>5.8401450169117677E-4</v>
      </c>
      <c r="F69" s="181">
        <f>HLOOKUP($F$3,VaR_Calculo_Historico!$C$2:$ET$103,B69+1,0)</f>
        <v>1.615602</v>
      </c>
      <c r="G69" s="182">
        <f t="shared" si="1"/>
        <v>5.1077599126063801E-4</v>
      </c>
      <c r="H69" s="181">
        <f>HLOOKUP($H$3,VaR_Calculo_Historico!$C$2:$ET$103,B69+1,0)</f>
        <v>1.130234065</v>
      </c>
      <c r="I69" s="182">
        <f t="shared" si="2"/>
        <v>2.3607925080811141E-3</v>
      </c>
      <c r="J69" s="181">
        <f>HLOOKUP($J$3,VaR_Calculo_Historico!$C$2:$ET$103,B69+1,0)</f>
        <v>1.8595120000000001</v>
      </c>
      <c r="K69" s="182">
        <f t="shared" si="31"/>
        <v>4.1417289459371863E-4</v>
      </c>
      <c r="L69" s="181">
        <f>HLOOKUP($L$3,VaR_Calculo_Historico!$C$2:$ET$103,B69+1,0)</f>
        <v>1.0992360000000001</v>
      </c>
      <c r="M69" s="182">
        <f t="shared" si="3"/>
        <v>2.1209920056250615E-3</v>
      </c>
      <c r="N69" s="181">
        <f>HLOOKUP($N$3,VaR_Calculo_Historico!$C$2:$ET$103,B69+1,0)</f>
        <v>2.6283180000000002</v>
      </c>
      <c r="O69" s="182">
        <f t="shared" si="4"/>
        <v>5.2633052373591942E-4</v>
      </c>
      <c r="P69" s="181">
        <f>HLOOKUP($P$3,VaR_Calculo_Historico!$C$2:$ET$103,B69+1,0)</f>
        <v>1.775763</v>
      </c>
      <c r="Q69" s="182">
        <f t="shared" si="5"/>
        <v>4.1680912942278095E-4</v>
      </c>
      <c r="R69" s="181">
        <f>HLOOKUP($R$3,VaR_Calculo_Historico!$C$2:$ET$103,B69+1,0)</f>
        <v>1.2894410000000001</v>
      </c>
      <c r="S69" s="182">
        <f t="shared" si="6"/>
        <v>7.7738300499724923E-4</v>
      </c>
      <c r="T69" s="181" t="e">
        <f>HLOOKUP($T$3,VaR_Calculo_Historico!$C$2:$ET$103,B69+1,0)</f>
        <v>#N/A</v>
      </c>
      <c r="U69" s="182" t="e">
        <f t="shared" si="7"/>
        <v>#N/A</v>
      </c>
      <c r="V69" s="181" t="e">
        <f>HLOOKUP($V$3,VaR_Calculo_Historico!$C$2:$ET$103,B69+1,0)</f>
        <v>#N/A</v>
      </c>
      <c r="W69" s="182" t="e">
        <f t="shared" si="8"/>
        <v>#N/A</v>
      </c>
      <c r="X69" s="181" t="e">
        <f>HLOOKUP($X$3,VaR_Calculo_Historico!$C$2:$ET$103,B69+1,0)</f>
        <v>#N/A</v>
      </c>
      <c r="Y69" s="182" t="e">
        <f t="shared" si="9"/>
        <v>#N/A</v>
      </c>
      <c r="Z69" s="181" t="e">
        <f>HLOOKUP($Z$3,VaR_Calculo_Historico!$C$2:$ET$103,B69+1,0)</f>
        <v>#N/A</v>
      </c>
      <c r="AA69" s="182" t="e">
        <f t="shared" si="10"/>
        <v>#N/A</v>
      </c>
      <c r="AB69" s="181" t="e">
        <f>HLOOKUP($AB$3,VaR_Calculo_Historico!$C$2:$ET$103,B69+1,0)</f>
        <v>#N/A</v>
      </c>
      <c r="AC69" s="182" t="e">
        <f t="shared" si="11"/>
        <v>#N/A</v>
      </c>
      <c r="AD69" s="181" t="e">
        <f>HLOOKUP($AD$3,VaR_Calculo_Historico!$C$2:$ET$103,B69+1,0)</f>
        <v>#N/A</v>
      </c>
      <c r="AE69" s="182" t="e">
        <f t="shared" si="12"/>
        <v>#N/A</v>
      </c>
      <c r="AF69" s="181" t="e">
        <f>HLOOKUP($AF$3,VaR_Calculo_Historico!$C$2:$FZS$104,B69+1,0)</f>
        <v>#N/A</v>
      </c>
      <c r="AG69" s="182" t="e">
        <f t="shared" si="13"/>
        <v>#N/A</v>
      </c>
      <c r="AH69" s="181" t="e">
        <f>HLOOKUP($AH$3,VaR_Calculo_Historico!$C$2:$FS$104,B69+1,0)</f>
        <v>#N/A</v>
      </c>
      <c r="AI69" s="182" t="e">
        <f t="shared" si="14"/>
        <v>#N/A</v>
      </c>
      <c r="AJ69" s="181" t="e">
        <f>HLOOKUP($AJ$3,VaR_Calculo_Historico!$C$2:$ET$103,B69+1,0)</f>
        <v>#N/A</v>
      </c>
      <c r="AK69" s="182" t="e">
        <f t="shared" si="15"/>
        <v>#N/A</v>
      </c>
      <c r="AL69" s="181" t="e">
        <f>HLOOKUP($AL$3,VaR_Calculo_Historico!$C$2:$ET$103,B69+1,0)</f>
        <v>#N/A</v>
      </c>
      <c r="AM69" s="182" t="e">
        <f t="shared" si="16"/>
        <v>#N/A</v>
      </c>
      <c r="AN69" s="181" t="e">
        <f>HLOOKUP($AN$3,VaR_Calculo_Historico!$C$2:$ET$103,B69+1,0)</f>
        <v>#N/A</v>
      </c>
      <c r="AO69" s="182" t="e">
        <f t="shared" si="17"/>
        <v>#N/A</v>
      </c>
      <c r="AP69" s="181" t="e">
        <f>HLOOKUP($AP$3,VaR_Calculo_Historico!$C$2:$ET$103,B69+1,0)</f>
        <v>#N/A</v>
      </c>
      <c r="AQ69" s="182" t="e">
        <f t="shared" si="18"/>
        <v>#N/A</v>
      </c>
      <c r="AR69" s="181" t="e">
        <f>HLOOKUP($AR$3,VaR_Calculo_Historico!$C$2:$ET$103,B69+1,0)</f>
        <v>#N/A</v>
      </c>
      <c r="AS69" s="182" t="e">
        <f t="shared" si="19"/>
        <v>#N/A</v>
      </c>
      <c r="AT69" s="181" t="e">
        <f>HLOOKUP($AT$3,VaR_Calculo_Historico!$C$2:$ET$103,B69+1,0)</f>
        <v>#N/A</v>
      </c>
      <c r="AU69" s="182" t="e">
        <f t="shared" si="20"/>
        <v>#N/A</v>
      </c>
      <c r="AV69" s="181" t="e">
        <f>HLOOKUP($AV$3,VaR_Calculo_Historico!$C$2:$ET$103,B69+1,0)</f>
        <v>#N/A</v>
      </c>
      <c r="AW69" s="223" t="e">
        <f t="shared" si="21"/>
        <v>#N/A</v>
      </c>
      <c r="AX69" s="181" t="e">
        <f>HLOOKUP($AX$3,VaR_Calculo_Historico!$C$2:$ET$103,B69+1,0)</f>
        <v>#N/A</v>
      </c>
      <c r="AY69" s="182" t="e">
        <f t="shared" si="22"/>
        <v>#N/A</v>
      </c>
      <c r="AZ69" s="181" t="e">
        <f>HLOOKUP($AZ$3,VaR_Calculo_Historico!$C$2:$ET$103,B69+1,0)</f>
        <v>#N/A</v>
      </c>
      <c r="BA69" s="182" t="e">
        <f t="shared" si="23"/>
        <v>#N/A</v>
      </c>
      <c r="BB69" s="181" t="e">
        <f>HLOOKUP($BB$3,VaR_Calculo_Historico!$C$2:$ET$103,B69+1,0)</f>
        <v>#N/A</v>
      </c>
      <c r="BC69" s="182" t="e">
        <f t="shared" si="24"/>
        <v>#N/A</v>
      </c>
      <c r="BD69" s="181" t="e">
        <f>HLOOKUP($BD$3,VaR_Calculo_Historico!$C$2:$ET$103,B69+1,0)</f>
        <v>#N/A</v>
      </c>
      <c r="BE69" s="182" t="e">
        <f t="shared" si="25"/>
        <v>#N/A</v>
      </c>
      <c r="BF69" s="181" t="e">
        <f>HLOOKUP($BF$3,VaR_Calculo_Historico!$C$2:$ET$103,B69+1,0)</f>
        <v>#N/A</v>
      </c>
      <c r="BG69" s="182" t="e">
        <f t="shared" si="26"/>
        <v>#N/A</v>
      </c>
      <c r="BH69" s="181" t="e">
        <f>HLOOKUP($BH$3,VaR_Calculo_Historico!$C$2:$ET$103,B69+1,0)</f>
        <v>#N/A</v>
      </c>
      <c r="BI69" s="223" t="e">
        <f t="shared" si="27"/>
        <v>#N/A</v>
      </c>
      <c r="BJ69" s="181" t="e">
        <f>HLOOKUP($BJ$3,VaR_Calculo_Historico!$C$2:$ET$103,B69+1,0)</f>
        <v>#N/A</v>
      </c>
      <c r="BK69" s="223" t="e">
        <f t="shared" si="28"/>
        <v>#N/A</v>
      </c>
      <c r="BL69" s="181" t="e">
        <f>HLOOKUP($BL$3,VaR_Calculo_Historico!$C$2:$ET$103,B69+1,0)</f>
        <v>#N/A</v>
      </c>
      <c r="BM69" s="223" t="e">
        <f t="shared" si="29"/>
        <v>#N/A</v>
      </c>
      <c r="BN69" s="181" t="e">
        <f>HLOOKUP($BN$3,VaR_Calculo_Historico!$C$2:$EY$103,B69+1,0)</f>
        <v>#N/A</v>
      </c>
      <c r="BO69" s="223" t="e">
        <f t="shared" si="30"/>
        <v>#N/A</v>
      </c>
    </row>
    <row r="70" spans="2:67" x14ac:dyDescent="0.3">
      <c r="B70" s="166">
        <v>66</v>
      </c>
      <c r="C70" s="208">
        <f>VaR_Calculo_Historico!B67</f>
        <v>42405</v>
      </c>
      <c r="D70" s="181">
        <f>HLOOKUP($D$3,VaR_Calculo_Historico!$C$2:$ET$103,B70+1,0)</f>
        <v>3.4065018679999999</v>
      </c>
      <c r="E70" s="182">
        <f t="shared" si="0"/>
        <v>1.7727665744167722E-3</v>
      </c>
      <c r="F70" s="181">
        <f>HLOOKUP($F$3,VaR_Calculo_Historico!$C$2:$ET$103,B70+1,0)</f>
        <v>1.6164620000000001</v>
      </c>
      <c r="G70" s="182">
        <f t="shared" si="1"/>
        <v>5.3216769240717928E-4</v>
      </c>
      <c r="H70" s="181">
        <f>HLOOKUP($H$3,VaR_Calculo_Historico!$C$2:$ET$103,B70+1,0)</f>
        <v>1.1317209829999999</v>
      </c>
      <c r="I70" s="182">
        <f t="shared" si="2"/>
        <v>1.3147195082336004E-3</v>
      </c>
      <c r="J70" s="181">
        <f>HLOOKUP($J$3,VaR_Calculo_Historico!$C$2:$ET$103,B70+1,0)</f>
        <v>1.8614630000000001</v>
      </c>
      <c r="K70" s="182">
        <f t="shared" si="31"/>
        <v>1.0486499795282949E-3</v>
      </c>
      <c r="L70" s="181">
        <f>HLOOKUP($L$3,VaR_Calculo_Historico!$C$2:$ET$103,B70+1,0)</f>
        <v>1.100527</v>
      </c>
      <c r="M70" s="182">
        <f t="shared" si="3"/>
        <v>1.1737629446622326E-3</v>
      </c>
      <c r="N70" s="181">
        <f>HLOOKUP($N$3,VaR_Calculo_Historico!$C$2:$ET$103,B70+1,0)</f>
        <v>2.6296889999999999</v>
      </c>
      <c r="O70" s="182">
        <f t="shared" si="4"/>
        <v>5.2149037879583541E-4</v>
      </c>
      <c r="P70" s="181">
        <f>HLOOKUP($P$3,VaR_Calculo_Historico!$C$2:$ET$103,B70+1,0)</f>
        <v>1.7776110000000001</v>
      </c>
      <c r="Q70" s="182">
        <f t="shared" si="5"/>
        <v>1.0401382835641564E-3</v>
      </c>
      <c r="R70" s="181">
        <f>HLOOKUP($R$3,VaR_Calculo_Historico!$C$2:$ET$103,B70+1,0)</f>
        <v>1.2925759999999999</v>
      </c>
      <c r="S70" s="182">
        <f t="shared" si="6"/>
        <v>2.428335321217391E-3</v>
      </c>
      <c r="T70" s="181" t="e">
        <f>HLOOKUP($T$3,VaR_Calculo_Historico!$C$2:$ET$103,B70+1,0)</f>
        <v>#N/A</v>
      </c>
      <c r="U70" s="182" t="e">
        <f t="shared" si="7"/>
        <v>#N/A</v>
      </c>
      <c r="V70" s="181" t="e">
        <f>HLOOKUP($V$3,VaR_Calculo_Historico!$C$2:$ET$103,B70+1,0)</f>
        <v>#N/A</v>
      </c>
      <c r="W70" s="182" t="e">
        <f t="shared" si="8"/>
        <v>#N/A</v>
      </c>
      <c r="X70" s="181" t="e">
        <f>HLOOKUP($X$3,VaR_Calculo_Historico!$C$2:$ET$103,B70+1,0)</f>
        <v>#N/A</v>
      </c>
      <c r="Y70" s="182" t="e">
        <f t="shared" si="9"/>
        <v>#N/A</v>
      </c>
      <c r="Z70" s="181" t="e">
        <f>HLOOKUP($Z$3,VaR_Calculo_Historico!$C$2:$ET$103,B70+1,0)</f>
        <v>#N/A</v>
      </c>
      <c r="AA70" s="182" t="e">
        <f t="shared" si="10"/>
        <v>#N/A</v>
      </c>
      <c r="AB70" s="181" t="e">
        <f>HLOOKUP($AB$3,VaR_Calculo_Historico!$C$2:$ET$103,B70+1,0)</f>
        <v>#N/A</v>
      </c>
      <c r="AC70" s="182" t="e">
        <f t="shared" si="11"/>
        <v>#N/A</v>
      </c>
      <c r="AD70" s="181" t="e">
        <f>HLOOKUP($AD$3,VaR_Calculo_Historico!$C$2:$ET$103,B70+1,0)</f>
        <v>#N/A</v>
      </c>
      <c r="AE70" s="182" t="e">
        <f t="shared" si="12"/>
        <v>#N/A</v>
      </c>
      <c r="AF70" s="181" t="e">
        <f>HLOOKUP($AF$3,VaR_Calculo_Historico!$C$2:$FZS$104,B70+1,0)</f>
        <v>#N/A</v>
      </c>
      <c r="AG70" s="182" t="e">
        <f t="shared" si="13"/>
        <v>#N/A</v>
      </c>
      <c r="AH70" s="181" t="e">
        <f>HLOOKUP($AH$3,VaR_Calculo_Historico!$C$2:$FS$104,B70+1,0)</f>
        <v>#N/A</v>
      </c>
      <c r="AI70" s="182" t="e">
        <f t="shared" si="14"/>
        <v>#N/A</v>
      </c>
      <c r="AJ70" s="181" t="e">
        <f>HLOOKUP($AJ$3,VaR_Calculo_Historico!$C$2:$ET$103,B70+1,0)</f>
        <v>#N/A</v>
      </c>
      <c r="AK70" s="182" t="e">
        <f t="shared" si="15"/>
        <v>#N/A</v>
      </c>
      <c r="AL70" s="181" t="e">
        <f>HLOOKUP($AL$3,VaR_Calculo_Historico!$C$2:$ET$103,B70+1,0)</f>
        <v>#N/A</v>
      </c>
      <c r="AM70" s="182" t="e">
        <f t="shared" si="16"/>
        <v>#N/A</v>
      </c>
      <c r="AN70" s="181" t="e">
        <f>HLOOKUP($AN$3,VaR_Calculo_Historico!$C$2:$ET$103,B70+1,0)</f>
        <v>#N/A</v>
      </c>
      <c r="AO70" s="182" t="e">
        <f t="shared" si="17"/>
        <v>#N/A</v>
      </c>
      <c r="AP70" s="181" t="e">
        <f>HLOOKUP($AP$3,VaR_Calculo_Historico!$C$2:$ET$103,B70+1,0)</f>
        <v>#N/A</v>
      </c>
      <c r="AQ70" s="182" t="e">
        <f t="shared" si="18"/>
        <v>#N/A</v>
      </c>
      <c r="AR70" s="181" t="e">
        <f>HLOOKUP($AR$3,VaR_Calculo_Historico!$C$2:$ET$103,B70+1,0)</f>
        <v>#N/A</v>
      </c>
      <c r="AS70" s="182" t="e">
        <f t="shared" si="19"/>
        <v>#N/A</v>
      </c>
      <c r="AT70" s="181" t="e">
        <f>HLOOKUP($AT$3,VaR_Calculo_Historico!$C$2:$ET$103,B70+1,0)</f>
        <v>#N/A</v>
      </c>
      <c r="AU70" s="182" t="e">
        <f t="shared" si="20"/>
        <v>#N/A</v>
      </c>
      <c r="AV70" s="181" t="e">
        <f>HLOOKUP($AV$3,VaR_Calculo_Historico!$C$2:$ET$103,B70+1,0)</f>
        <v>#N/A</v>
      </c>
      <c r="AW70" s="223" t="e">
        <f t="shared" si="21"/>
        <v>#N/A</v>
      </c>
      <c r="AX70" s="181" t="e">
        <f>HLOOKUP($AX$3,VaR_Calculo_Historico!$C$2:$ET$103,B70+1,0)</f>
        <v>#N/A</v>
      </c>
      <c r="AY70" s="182" t="e">
        <f t="shared" si="22"/>
        <v>#N/A</v>
      </c>
      <c r="AZ70" s="181" t="e">
        <f>HLOOKUP($AZ$3,VaR_Calculo_Historico!$C$2:$ET$103,B70+1,0)</f>
        <v>#N/A</v>
      </c>
      <c r="BA70" s="182" t="e">
        <f t="shared" si="23"/>
        <v>#N/A</v>
      </c>
      <c r="BB70" s="181" t="e">
        <f>HLOOKUP($BB$3,VaR_Calculo_Historico!$C$2:$ET$103,B70+1,0)</f>
        <v>#N/A</v>
      </c>
      <c r="BC70" s="182" t="e">
        <f t="shared" si="24"/>
        <v>#N/A</v>
      </c>
      <c r="BD70" s="181" t="e">
        <f>HLOOKUP($BD$3,VaR_Calculo_Historico!$C$2:$ET$103,B70+1,0)</f>
        <v>#N/A</v>
      </c>
      <c r="BE70" s="182" t="e">
        <f t="shared" si="25"/>
        <v>#N/A</v>
      </c>
      <c r="BF70" s="181" t="e">
        <f>HLOOKUP($BF$3,VaR_Calculo_Historico!$C$2:$ET$103,B70+1,0)</f>
        <v>#N/A</v>
      </c>
      <c r="BG70" s="182" t="e">
        <f t="shared" si="26"/>
        <v>#N/A</v>
      </c>
      <c r="BH70" s="181" t="e">
        <f>HLOOKUP($BH$3,VaR_Calculo_Historico!$C$2:$ET$103,B70+1,0)</f>
        <v>#N/A</v>
      </c>
      <c r="BI70" s="223" t="e">
        <f t="shared" si="27"/>
        <v>#N/A</v>
      </c>
      <c r="BJ70" s="181" t="e">
        <f>HLOOKUP($BJ$3,VaR_Calculo_Historico!$C$2:$ET$103,B70+1,0)</f>
        <v>#N/A</v>
      </c>
      <c r="BK70" s="223" t="e">
        <f t="shared" si="28"/>
        <v>#N/A</v>
      </c>
      <c r="BL70" s="181" t="e">
        <f>HLOOKUP($BL$3,VaR_Calculo_Historico!$C$2:$ET$103,B70+1,0)</f>
        <v>#N/A</v>
      </c>
      <c r="BM70" s="223" t="e">
        <f t="shared" si="29"/>
        <v>#N/A</v>
      </c>
      <c r="BN70" s="181" t="e">
        <f>HLOOKUP($BN$3,VaR_Calculo_Historico!$C$2:$EY$103,B70+1,0)</f>
        <v>#N/A</v>
      </c>
      <c r="BO70" s="223" t="e">
        <f t="shared" si="30"/>
        <v>#N/A</v>
      </c>
    </row>
    <row r="71" spans="2:67" x14ac:dyDescent="0.3">
      <c r="B71" s="166">
        <v>67</v>
      </c>
      <c r="C71" s="208">
        <f>VaR_Calculo_Historico!B68</f>
        <v>42410</v>
      </c>
      <c r="D71" s="181">
        <f>HLOOKUP($D$3,VaR_Calculo_Historico!$C$2:$ET$103,B71+1,0)</f>
        <v>3.3994810530000001</v>
      </c>
      <c r="E71" s="182">
        <f t="shared" ref="E71:E105" si="32">LN(D71/D70)</f>
        <v>-2.0631310926990639E-3</v>
      </c>
      <c r="F71" s="181">
        <f>HLOOKUP($F$3,VaR_Calculo_Historico!$C$2:$ET$103,B71+1,0)</f>
        <v>1.617224</v>
      </c>
      <c r="G71" s="182">
        <f t="shared" ref="G71:G105" si="33">LN(F71/F70)</f>
        <v>4.7128881041896348E-4</v>
      </c>
      <c r="H71" s="181">
        <f>HLOOKUP($H$3,VaR_Calculo_Historico!$C$2:$ET$103,B71+1,0)</f>
        <v>1.132345833</v>
      </c>
      <c r="I71" s="182">
        <f t="shared" ref="I71:I105" si="34">LN(H71/H70)</f>
        <v>5.51971356542026E-4</v>
      </c>
      <c r="J71" s="181">
        <f>HLOOKUP($J$3,VaR_Calculo_Historico!$C$2:$ET$103,B71+1,0)</f>
        <v>1.862033</v>
      </c>
      <c r="K71" s="182">
        <f t="shared" ref="K71:K105" si="35">LN(J71/J70)</f>
        <v>3.0616388708476602E-4</v>
      </c>
      <c r="L71" s="181">
        <f>HLOOKUP($L$3,VaR_Calculo_Historico!$C$2:$ET$103,B71+1,0)</f>
        <v>1.1011200000000001</v>
      </c>
      <c r="M71" s="182">
        <f t="shared" ref="M71:M105" si="36">LN(L71/L70)</f>
        <v>5.3868764097050382E-4</v>
      </c>
      <c r="N71" s="181">
        <f>HLOOKUP($N$3,VaR_Calculo_Historico!$C$2:$ET$103,B71+1,0)</f>
        <v>2.6310730000000002</v>
      </c>
      <c r="O71" s="182">
        <f t="shared" ref="O71:O105" si="37">LN(N71/N70)</f>
        <v>5.2615953047462484E-4</v>
      </c>
      <c r="P71" s="181">
        <f>HLOOKUP($P$3,VaR_Calculo_Historico!$C$2:$ET$103,B71+1,0)</f>
        <v>1.7781690000000001</v>
      </c>
      <c r="Q71" s="182">
        <f t="shared" ref="Q71:Q105" si="38">LN(P71/P70)</f>
        <v>3.1385519046762191E-4</v>
      </c>
      <c r="R71" s="181">
        <f>HLOOKUP($R$3,VaR_Calculo_Historico!$C$2:$ET$103,B71+1,0)</f>
        <v>1.2872859999999999</v>
      </c>
      <c r="S71" s="182">
        <f t="shared" ref="S71:S105" si="39">LN(R71/R70)</f>
        <v>-4.1010002969326239E-3</v>
      </c>
      <c r="T71" s="181" t="e">
        <f>HLOOKUP($T$3,VaR_Calculo_Historico!$C$2:$ET$103,B71+1,0)</f>
        <v>#N/A</v>
      </c>
      <c r="U71" s="182" t="e">
        <f t="shared" ref="U71:U104" si="40">LN(T71/T70)</f>
        <v>#N/A</v>
      </c>
      <c r="V71" s="181" t="e">
        <f>HLOOKUP($V$3,VaR_Calculo_Historico!$C$2:$ET$103,B71+1,0)</f>
        <v>#N/A</v>
      </c>
      <c r="W71" s="182" t="e">
        <f t="shared" ref="W71:W105" si="41">LN(V71/V70)</f>
        <v>#N/A</v>
      </c>
      <c r="X71" s="181" t="e">
        <f>HLOOKUP($X$3,VaR_Calculo_Historico!$C$2:$ET$103,B71+1,0)</f>
        <v>#N/A</v>
      </c>
      <c r="Y71" s="182" t="e">
        <f t="shared" ref="Y71:Y105" si="42">LN(X71/X70)</f>
        <v>#N/A</v>
      </c>
      <c r="Z71" s="181" t="e">
        <f>HLOOKUP($Z$3,VaR_Calculo_Historico!$C$2:$ET$103,B71+1,0)</f>
        <v>#N/A</v>
      </c>
      <c r="AA71" s="182" t="e">
        <f t="shared" ref="AA71:AA105" si="43">LN(Z71/Z70)</f>
        <v>#N/A</v>
      </c>
      <c r="AB71" s="181" t="e">
        <f>HLOOKUP($AB$3,VaR_Calculo_Historico!$C$2:$ET$103,B71+1,0)</f>
        <v>#N/A</v>
      </c>
      <c r="AC71" s="182" t="e">
        <f t="shared" ref="AC71:AC105" si="44">LN(AB71/AB70)</f>
        <v>#N/A</v>
      </c>
      <c r="AD71" s="181" t="e">
        <f>HLOOKUP($AD$3,VaR_Calculo_Historico!$C$2:$ET$103,B71+1,0)</f>
        <v>#N/A</v>
      </c>
      <c r="AE71" s="182" t="e">
        <f t="shared" ref="AE71:AE105" si="45">LN(AD71/AD70)</f>
        <v>#N/A</v>
      </c>
      <c r="AF71" s="181" t="e">
        <f>HLOOKUP($AF$3,VaR_Calculo_Historico!$C$2:$FZS$104,B71+1,0)</f>
        <v>#N/A</v>
      </c>
      <c r="AG71" s="182" t="e">
        <f t="shared" ref="AG71:AG105" si="46">LN(AF71/AF70)</f>
        <v>#N/A</v>
      </c>
      <c r="AH71" s="181" t="e">
        <f>HLOOKUP($AH$3,VaR_Calculo_Historico!$C$2:$FS$104,B71+1,0)</f>
        <v>#N/A</v>
      </c>
      <c r="AI71" s="182" t="e">
        <f t="shared" ref="AI71:AI105" si="47">LN(AH71/AH70)</f>
        <v>#N/A</v>
      </c>
      <c r="AJ71" s="181" t="e">
        <f>HLOOKUP($AJ$3,VaR_Calculo_Historico!$C$2:$ET$103,B71+1,0)</f>
        <v>#N/A</v>
      </c>
      <c r="AK71" s="182" t="e">
        <f t="shared" ref="AK71:AK105" si="48">LN(AJ71/AJ70)</f>
        <v>#N/A</v>
      </c>
      <c r="AL71" s="181" t="e">
        <f>HLOOKUP($AL$3,VaR_Calculo_Historico!$C$2:$ET$103,B71+1,0)</f>
        <v>#N/A</v>
      </c>
      <c r="AM71" s="182" t="e">
        <f t="shared" ref="AM71:AM105" si="49">LN(AL71/AL70)</f>
        <v>#N/A</v>
      </c>
      <c r="AN71" s="181" t="e">
        <f>HLOOKUP($AN$3,VaR_Calculo_Historico!$C$2:$ET$103,B71+1,0)</f>
        <v>#N/A</v>
      </c>
      <c r="AO71" s="182" t="e">
        <f t="shared" ref="AO71:AO105" si="50">LN(AN71/AN70)</f>
        <v>#N/A</v>
      </c>
      <c r="AP71" s="181" t="e">
        <f>HLOOKUP($AP$3,VaR_Calculo_Historico!$C$2:$ET$103,B71+1,0)</f>
        <v>#N/A</v>
      </c>
      <c r="AQ71" s="182" t="e">
        <f t="shared" ref="AQ71:AQ105" si="51">LN(AP71/AP70)</f>
        <v>#N/A</v>
      </c>
      <c r="AR71" s="181" t="e">
        <f>HLOOKUP($AR$3,VaR_Calculo_Historico!$C$2:$ET$103,B71+1,0)</f>
        <v>#N/A</v>
      </c>
      <c r="AS71" s="182" t="e">
        <f t="shared" ref="AS71:AS105" si="52">LN(AR71/AR70)</f>
        <v>#N/A</v>
      </c>
      <c r="AT71" s="181" t="e">
        <f>HLOOKUP($AT$3,VaR_Calculo_Historico!$C$2:$ET$103,B71+1,0)</f>
        <v>#N/A</v>
      </c>
      <c r="AU71" s="182" t="e">
        <f t="shared" ref="AU71:AU105" si="53">LN(AT71/AT70)</f>
        <v>#N/A</v>
      </c>
      <c r="AV71" s="181" t="e">
        <f>HLOOKUP($AV$3,VaR_Calculo_Historico!$C$2:$ET$103,B71+1,0)</f>
        <v>#N/A</v>
      </c>
      <c r="AW71" s="223" t="e">
        <f t="shared" ref="AW71:AW105" si="54">LN(AV71/AV70)</f>
        <v>#N/A</v>
      </c>
      <c r="AX71" s="181" t="e">
        <f>HLOOKUP($AX$3,VaR_Calculo_Historico!$C$2:$ET$103,B71+1,0)</f>
        <v>#N/A</v>
      </c>
      <c r="AY71" s="182" t="e">
        <f t="shared" ref="AY71:AY105" si="55">LN(AX71/AX70)</f>
        <v>#N/A</v>
      </c>
      <c r="AZ71" s="181" t="e">
        <f>HLOOKUP($AZ$3,VaR_Calculo_Historico!$C$2:$ET$103,B71+1,0)</f>
        <v>#N/A</v>
      </c>
      <c r="BA71" s="182" t="e">
        <f t="shared" ref="BA71:BA105" si="56">LN(AZ71/AZ70)</f>
        <v>#N/A</v>
      </c>
      <c r="BB71" s="181" t="e">
        <f>HLOOKUP($BB$3,VaR_Calculo_Historico!$C$2:$ET$103,B71+1,0)</f>
        <v>#N/A</v>
      </c>
      <c r="BC71" s="182" t="e">
        <f t="shared" ref="BC71:BC105" si="57">LN(BB71/BB70)</f>
        <v>#N/A</v>
      </c>
      <c r="BD71" s="181" t="e">
        <f>HLOOKUP($BD$3,VaR_Calculo_Historico!$C$2:$ET$103,B71+1,0)</f>
        <v>#N/A</v>
      </c>
      <c r="BE71" s="182" t="e">
        <f t="shared" ref="BE71:BE105" si="58">LN(BD71/BD70)</f>
        <v>#N/A</v>
      </c>
      <c r="BF71" s="181" t="e">
        <f>HLOOKUP($BF$3,VaR_Calculo_Historico!$C$2:$ET$103,B71+1,0)</f>
        <v>#N/A</v>
      </c>
      <c r="BG71" s="182" t="e">
        <f t="shared" ref="BG71:BG105" si="59">LN(BF71/BF70)</f>
        <v>#N/A</v>
      </c>
      <c r="BH71" s="181" t="e">
        <f>HLOOKUP($BH$3,VaR_Calculo_Historico!$C$2:$ET$103,B71+1,0)</f>
        <v>#N/A</v>
      </c>
      <c r="BI71" s="223" t="e">
        <f t="shared" ref="BI71:BI105" si="60">LN(BH71/BH70)</f>
        <v>#N/A</v>
      </c>
      <c r="BJ71" s="181" t="e">
        <f>HLOOKUP($BJ$3,VaR_Calculo_Historico!$C$2:$ET$103,B71+1,0)</f>
        <v>#N/A</v>
      </c>
      <c r="BK71" s="223" t="e">
        <f t="shared" ref="BK71:BK105" si="61">LN(BJ71/BJ70)</f>
        <v>#N/A</v>
      </c>
      <c r="BL71" s="181" t="e">
        <f>HLOOKUP($BL$3,VaR_Calculo_Historico!$C$2:$ET$103,B71+1,0)</f>
        <v>#N/A</v>
      </c>
      <c r="BM71" s="223" t="e">
        <f t="shared" ref="BM71:BM105" si="62">LN(BL71/BL70)</f>
        <v>#N/A</v>
      </c>
      <c r="BN71" s="181" t="e">
        <f>HLOOKUP($BN$3,VaR_Calculo_Historico!$C$2:$EY$103,B71+1,0)</f>
        <v>#N/A</v>
      </c>
      <c r="BO71" s="223" t="e">
        <f t="shared" ref="BO71:BO105" si="63">LN(BN71/BN70)</f>
        <v>#N/A</v>
      </c>
    </row>
    <row r="72" spans="2:67" x14ac:dyDescent="0.3">
      <c r="B72" s="166">
        <v>68</v>
      </c>
      <c r="C72" s="208">
        <f>VaR_Calculo_Historico!B69</f>
        <v>42411</v>
      </c>
      <c r="D72" s="181">
        <f>HLOOKUP($D$3,VaR_Calculo_Historico!$C$2:$ET$103,B72+1,0)</f>
        <v>3.4050690100000001</v>
      </c>
      <c r="E72" s="182">
        <f t="shared" si="32"/>
        <v>1.6424181479766813E-3</v>
      </c>
      <c r="F72" s="181">
        <f>HLOOKUP($F$3,VaR_Calculo_Historico!$C$2:$ET$103,B72+1,0)</f>
        <v>1.6180509999999999</v>
      </c>
      <c r="G72" s="182">
        <f t="shared" si="33"/>
        <v>5.1123939573130995E-4</v>
      </c>
      <c r="H72" s="181">
        <f>HLOOKUP($H$3,VaR_Calculo_Historico!$C$2:$ET$103,B72+1,0)</f>
        <v>1.133670162</v>
      </c>
      <c r="I72" s="182">
        <f t="shared" si="34"/>
        <v>1.1688612557907406E-3</v>
      </c>
      <c r="J72" s="181">
        <f>HLOOKUP($J$3,VaR_Calculo_Historico!$C$2:$ET$103,B72+1,0)</f>
        <v>1.8633519999999999</v>
      </c>
      <c r="K72" s="182">
        <f t="shared" si="35"/>
        <v>7.0811476135491491E-4</v>
      </c>
      <c r="L72" s="181">
        <f>HLOOKUP($L$3,VaR_Calculo_Historico!$C$2:$ET$103,B72+1,0)</f>
        <v>1.1018650000000001</v>
      </c>
      <c r="M72" s="182">
        <f t="shared" si="36"/>
        <v>6.7635506224553144E-4</v>
      </c>
      <c r="N72" s="181">
        <f>HLOOKUP($N$3,VaR_Calculo_Historico!$C$2:$ET$103,B72+1,0)</f>
        <v>2.632444</v>
      </c>
      <c r="O72" s="182">
        <f t="shared" si="37"/>
        <v>5.2094446774099347E-4</v>
      </c>
      <c r="P72" s="181">
        <f>HLOOKUP($P$3,VaR_Calculo_Historico!$C$2:$ET$103,B72+1,0)</f>
        <v>1.7794319999999999</v>
      </c>
      <c r="Q72" s="182">
        <f t="shared" si="38"/>
        <v>7.1002906343950684E-4</v>
      </c>
      <c r="R72" s="181">
        <f>HLOOKUP($R$3,VaR_Calculo_Historico!$C$2:$ET$103,B72+1,0)</f>
        <v>1.290411</v>
      </c>
      <c r="S72" s="182">
        <f t="shared" si="39"/>
        <v>2.4246461325482561E-3</v>
      </c>
      <c r="T72" s="181" t="e">
        <f>HLOOKUP($T$3,VaR_Calculo_Historico!$C$2:$ET$103,B72+1,0)</f>
        <v>#N/A</v>
      </c>
      <c r="U72" s="182" t="e">
        <f t="shared" si="40"/>
        <v>#N/A</v>
      </c>
      <c r="V72" s="181" t="e">
        <f>HLOOKUP($V$3,VaR_Calculo_Historico!$C$2:$ET$103,B72+1,0)</f>
        <v>#N/A</v>
      </c>
      <c r="W72" s="182" t="e">
        <f t="shared" si="41"/>
        <v>#N/A</v>
      </c>
      <c r="X72" s="181" t="e">
        <f>HLOOKUP($X$3,VaR_Calculo_Historico!$C$2:$ET$103,B72+1,0)</f>
        <v>#N/A</v>
      </c>
      <c r="Y72" s="182" t="e">
        <f t="shared" si="42"/>
        <v>#N/A</v>
      </c>
      <c r="Z72" s="181" t="e">
        <f>HLOOKUP($Z$3,VaR_Calculo_Historico!$C$2:$ET$103,B72+1,0)</f>
        <v>#N/A</v>
      </c>
      <c r="AA72" s="182" t="e">
        <f t="shared" si="43"/>
        <v>#N/A</v>
      </c>
      <c r="AB72" s="181" t="e">
        <f>HLOOKUP($AB$3,VaR_Calculo_Historico!$C$2:$ET$103,B72+1,0)</f>
        <v>#N/A</v>
      </c>
      <c r="AC72" s="182" t="e">
        <f t="shared" si="44"/>
        <v>#N/A</v>
      </c>
      <c r="AD72" s="181" t="e">
        <f>HLOOKUP($AD$3,VaR_Calculo_Historico!$C$2:$ET$103,B72+1,0)</f>
        <v>#N/A</v>
      </c>
      <c r="AE72" s="182" t="e">
        <f t="shared" si="45"/>
        <v>#N/A</v>
      </c>
      <c r="AF72" s="181" t="e">
        <f>HLOOKUP($AF$3,VaR_Calculo_Historico!$C$2:$FZS$104,B72+1,0)</f>
        <v>#N/A</v>
      </c>
      <c r="AG72" s="182" t="e">
        <f t="shared" si="46"/>
        <v>#N/A</v>
      </c>
      <c r="AH72" s="181" t="e">
        <f>HLOOKUP($AH$3,VaR_Calculo_Historico!$C$2:$FS$104,B72+1,0)</f>
        <v>#N/A</v>
      </c>
      <c r="AI72" s="182" t="e">
        <f t="shared" si="47"/>
        <v>#N/A</v>
      </c>
      <c r="AJ72" s="181" t="e">
        <f>HLOOKUP($AJ$3,VaR_Calculo_Historico!$C$2:$ET$103,B72+1,0)</f>
        <v>#N/A</v>
      </c>
      <c r="AK72" s="182" t="e">
        <f t="shared" si="48"/>
        <v>#N/A</v>
      </c>
      <c r="AL72" s="181" t="e">
        <f>HLOOKUP($AL$3,VaR_Calculo_Historico!$C$2:$ET$103,B72+1,0)</f>
        <v>#N/A</v>
      </c>
      <c r="AM72" s="182" t="e">
        <f t="shared" si="49"/>
        <v>#N/A</v>
      </c>
      <c r="AN72" s="181" t="e">
        <f>HLOOKUP($AN$3,VaR_Calculo_Historico!$C$2:$ET$103,B72+1,0)</f>
        <v>#N/A</v>
      </c>
      <c r="AO72" s="182" t="e">
        <f t="shared" si="50"/>
        <v>#N/A</v>
      </c>
      <c r="AP72" s="181" t="e">
        <f>HLOOKUP($AP$3,VaR_Calculo_Historico!$C$2:$ET$103,B72+1,0)</f>
        <v>#N/A</v>
      </c>
      <c r="AQ72" s="182" t="e">
        <f t="shared" si="51"/>
        <v>#N/A</v>
      </c>
      <c r="AR72" s="181" t="e">
        <f>HLOOKUP($AR$3,VaR_Calculo_Historico!$C$2:$ET$103,B72+1,0)</f>
        <v>#N/A</v>
      </c>
      <c r="AS72" s="182" t="e">
        <f t="shared" si="52"/>
        <v>#N/A</v>
      </c>
      <c r="AT72" s="181" t="e">
        <f>HLOOKUP($AT$3,VaR_Calculo_Historico!$C$2:$ET$103,B72+1,0)</f>
        <v>#N/A</v>
      </c>
      <c r="AU72" s="182" t="e">
        <f t="shared" si="53"/>
        <v>#N/A</v>
      </c>
      <c r="AV72" s="181" t="e">
        <f>HLOOKUP($AV$3,VaR_Calculo_Historico!$C$2:$ET$103,B72+1,0)</f>
        <v>#N/A</v>
      </c>
      <c r="AW72" s="223" t="e">
        <f t="shared" si="54"/>
        <v>#N/A</v>
      </c>
      <c r="AX72" s="181" t="e">
        <f>HLOOKUP($AX$3,VaR_Calculo_Historico!$C$2:$ET$103,B72+1,0)</f>
        <v>#N/A</v>
      </c>
      <c r="AY72" s="182" t="e">
        <f t="shared" si="55"/>
        <v>#N/A</v>
      </c>
      <c r="AZ72" s="181" t="e">
        <f>HLOOKUP($AZ$3,VaR_Calculo_Historico!$C$2:$ET$103,B72+1,0)</f>
        <v>#N/A</v>
      </c>
      <c r="BA72" s="182" t="e">
        <f t="shared" si="56"/>
        <v>#N/A</v>
      </c>
      <c r="BB72" s="181" t="e">
        <f>HLOOKUP($BB$3,VaR_Calculo_Historico!$C$2:$ET$103,B72+1,0)</f>
        <v>#N/A</v>
      </c>
      <c r="BC72" s="182" t="e">
        <f t="shared" si="57"/>
        <v>#N/A</v>
      </c>
      <c r="BD72" s="181" t="e">
        <f>HLOOKUP($BD$3,VaR_Calculo_Historico!$C$2:$ET$103,B72+1,0)</f>
        <v>#N/A</v>
      </c>
      <c r="BE72" s="182" t="e">
        <f t="shared" si="58"/>
        <v>#N/A</v>
      </c>
      <c r="BF72" s="181" t="e">
        <f>HLOOKUP($BF$3,VaR_Calculo_Historico!$C$2:$ET$103,B72+1,0)</f>
        <v>#N/A</v>
      </c>
      <c r="BG72" s="182" t="e">
        <f t="shared" si="59"/>
        <v>#N/A</v>
      </c>
      <c r="BH72" s="181" t="e">
        <f>HLOOKUP($BH$3,VaR_Calculo_Historico!$C$2:$ET$103,B72+1,0)</f>
        <v>#N/A</v>
      </c>
      <c r="BI72" s="223" t="e">
        <f t="shared" si="60"/>
        <v>#N/A</v>
      </c>
      <c r="BJ72" s="181" t="e">
        <f>HLOOKUP($BJ$3,VaR_Calculo_Historico!$C$2:$ET$103,B72+1,0)</f>
        <v>#N/A</v>
      </c>
      <c r="BK72" s="223" t="e">
        <f t="shared" si="61"/>
        <v>#N/A</v>
      </c>
      <c r="BL72" s="181" t="e">
        <f>HLOOKUP($BL$3,VaR_Calculo_Historico!$C$2:$ET$103,B72+1,0)</f>
        <v>#N/A</v>
      </c>
      <c r="BM72" s="223" t="e">
        <f t="shared" si="62"/>
        <v>#N/A</v>
      </c>
      <c r="BN72" s="181" t="e">
        <f>HLOOKUP($BN$3,VaR_Calculo_Historico!$C$2:$EY$103,B72+1,0)</f>
        <v>#N/A</v>
      </c>
      <c r="BO72" s="223" t="e">
        <f t="shared" si="63"/>
        <v>#N/A</v>
      </c>
    </row>
    <row r="73" spans="2:67" x14ac:dyDescent="0.3">
      <c r="B73" s="166">
        <v>69</v>
      </c>
      <c r="C73" s="208">
        <f>VaR_Calculo_Historico!B70</f>
        <v>42412</v>
      </c>
      <c r="D73" s="181">
        <f>HLOOKUP($D$3,VaR_Calculo_Historico!$C$2:$ET$103,B73+1,0)</f>
        <v>3.4096892990000001</v>
      </c>
      <c r="E73" s="182">
        <f t="shared" si="32"/>
        <v>1.3559658313399387E-3</v>
      </c>
      <c r="F73" s="181">
        <f>HLOOKUP($F$3,VaR_Calculo_Historico!$C$2:$ET$103,B73+1,0)</f>
        <v>1.6189020000000001</v>
      </c>
      <c r="G73" s="182">
        <f t="shared" si="33"/>
        <v>5.2580313622497719E-4</v>
      </c>
      <c r="H73" s="181">
        <f>HLOOKUP($H$3,VaR_Calculo_Historico!$C$2:$ET$103,B73+1,0)</f>
        <v>1.1347646929999999</v>
      </c>
      <c r="I73" s="182">
        <f t="shared" si="34"/>
        <v>9.6500993407594069E-4</v>
      </c>
      <c r="J73" s="181">
        <f>HLOOKUP($J$3,VaR_Calculo_Historico!$C$2:$ET$103,B73+1,0)</f>
        <v>1.8644480000000001</v>
      </c>
      <c r="K73" s="182">
        <f t="shared" si="35"/>
        <v>5.8801439539654069E-4</v>
      </c>
      <c r="L73" s="181">
        <f>HLOOKUP($L$3,VaR_Calculo_Historico!$C$2:$ET$103,B73+1,0)</f>
        <v>1.1026629999999999</v>
      </c>
      <c r="M73" s="182">
        <f t="shared" si="36"/>
        <v>7.2396452651472159E-4</v>
      </c>
      <c r="N73" s="181">
        <f>HLOOKUP($N$3,VaR_Calculo_Historico!$C$2:$ET$103,B73+1,0)</f>
        <v>2.633807</v>
      </c>
      <c r="O73" s="182">
        <f t="shared" si="37"/>
        <v>5.1763580218044524E-4</v>
      </c>
      <c r="P73" s="181">
        <f>HLOOKUP($P$3,VaR_Calculo_Historico!$C$2:$ET$103,B73+1,0)</f>
        <v>1.7804819999999999</v>
      </c>
      <c r="Q73" s="182">
        <f t="shared" si="38"/>
        <v>5.8990190799478872E-4</v>
      </c>
      <c r="R73" s="181">
        <f>HLOOKUP($R$3,VaR_Calculo_Historico!$C$2:$ET$103,B73+1,0)</f>
        <v>1.292961</v>
      </c>
      <c r="S73" s="182">
        <f t="shared" si="39"/>
        <v>1.9741646407732904E-3</v>
      </c>
      <c r="T73" s="181" t="e">
        <f>HLOOKUP($T$3,VaR_Calculo_Historico!$C$2:$ET$103,B73+1,0)</f>
        <v>#N/A</v>
      </c>
      <c r="U73" s="182" t="e">
        <f t="shared" si="40"/>
        <v>#N/A</v>
      </c>
      <c r="V73" s="181" t="e">
        <f>HLOOKUP($V$3,VaR_Calculo_Historico!$C$2:$ET$103,B73+1,0)</f>
        <v>#N/A</v>
      </c>
      <c r="W73" s="182" t="e">
        <f t="shared" si="41"/>
        <v>#N/A</v>
      </c>
      <c r="X73" s="181" t="e">
        <f>HLOOKUP($X$3,VaR_Calculo_Historico!$C$2:$ET$103,B73+1,0)</f>
        <v>#N/A</v>
      </c>
      <c r="Y73" s="182" t="e">
        <f t="shared" si="42"/>
        <v>#N/A</v>
      </c>
      <c r="Z73" s="181" t="e">
        <f>HLOOKUP($Z$3,VaR_Calculo_Historico!$C$2:$ET$103,B73+1,0)</f>
        <v>#N/A</v>
      </c>
      <c r="AA73" s="182" t="e">
        <f t="shared" si="43"/>
        <v>#N/A</v>
      </c>
      <c r="AB73" s="181" t="e">
        <f>HLOOKUP($AB$3,VaR_Calculo_Historico!$C$2:$ET$103,B73+1,0)</f>
        <v>#N/A</v>
      </c>
      <c r="AC73" s="182" t="e">
        <f t="shared" si="44"/>
        <v>#N/A</v>
      </c>
      <c r="AD73" s="181" t="e">
        <f>HLOOKUP($AD$3,VaR_Calculo_Historico!$C$2:$ET$103,B73+1,0)</f>
        <v>#N/A</v>
      </c>
      <c r="AE73" s="182" t="e">
        <f t="shared" si="45"/>
        <v>#N/A</v>
      </c>
      <c r="AF73" s="181" t="e">
        <f>HLOOKUP($AF$3,VaR_Calculo_Historico!$C$2:$FZS$104,B73+1,0)</f>
        <v>#N/A</v>
      </c>
      <c r="AG73" s="182" t="e">
        <f t="shared" si="46"/>
        <v>#N/A</v>
      </c>
      <c r="AH73" s="181" t="e">
        <f>HLOOKUP($AH$3,VaR_Calculo_Historico!$C$2:$FS$104,B73+1,0)</f>
        <v>#N/A</v>
      </c>
      <c r="AI73" s="182" t="e">
        <f t="shared" si="47"/>
        <v>#N/A</v>
      </c>
      <c r="AJ73" s="181" t="e">
        <f>HLOOKUP($AJ$3,VaR_Calculo_Historico!$C$2:$ET$103,B73+1,0)</f>
        <v>#N/A</v>
      </c>
      <c r="AK73" s="182" t="e">
        <f t="shared" si="48"/>
        <v>#N/A</v>
      </c>
      <c r="AL73" s="181" t="e">
        <f>HLOOKUP($AL$3,VaR_Calculo_Historico!$C$2:$ET$103,B73+1,0)</f>
        <v>#N/A</v>
      </c>
      <c r="AM73" s="182" t="e">
        <f t="shared" si="49"/>
        <v>#N/A</v>
      </c>
      <c r="AN73" s="181" t="e">
        <f>HLOOKUP($AN$3,VaR_Calculo_Historico!$C$2:$ET$103,B73+1,0)</f>
        <v>#N/A</v>
      </c>
      <c r="AO73" s="182" t="e">
        <f t="shared" si="50"/>
        <v>#N/A</v>
      </c>
      <c r="AP73" s="181" t="e">
        <f>HLOOKUP($AP$3,VaR_Calculo_Historico!$C$2:$ET$103,B73+1,0)</f>
        <v>#N/A</v>
      </c>
      <c r="AQ73" s="182" t="e">
        <f t="shared" si="51"/>
        <v>#N/A</v>
      </c>
      <c r="AR73" s="181" t="e">
        <f>HLOOKUP($AR$3,VaR_Calculo_Historico!$C$2:$ET$103,B73+1,0)</f>
        <v>#N/A</v>
      </c>
      <c r="AS73" s="182" t="e">
        <f t="shared" si="52"/>
        <v>#N/A</v>
      </c>
      <c r="AT73" s="181" t="e">
        <f>HLOOKUP($AT$3,VaR_Calculo_Historico!$C$2:$ET$103,B73+1,0)</f>
        <v>#N/A</v>
      </c>
      <c r="AU73" s="182" t="e">
        <f t="shared" si="53"/>
        <v>#N/A</v>
      </c>
      <c r="AV73" s="181" t="e">
        <f>HLOOKUP($AV$3,VaR_Calculo_Historico!$C$2:$ET$103,B73+1,0)</f>
        <v>#N/A</v>
      </c>
      <c r="AW73" s="223" t="e">
        <f t="shared" si="54"/>
        <v>#N/A</v>
      </c>
      <c r="AX73" s="181" t="e">
        <f>HLOOKUP($AX$3,VaR_Calculo_Historico!$C$2:$ET$103,B73+1,0)</f>
        <v>#N/A</v>
      </c>
      <c r="AY73" s="182" t="e">
        <f t="shared" si="55"/>
        <v>#N/A</v>
      </c>
      <c r="AZ73" s="181" t="e">
        <f>HLOOKUP($AZ$3,VaR_Calculo_Historico!$C$2:$ET$103,B73+1,0)</f>
        <v>#N/A</v>
      </c>
      <c r="BA73" s="182" t="e">
        <f t="shared" si="56"/>
        <v>#N/A</v>
      </c>
      <c r="BB73" s="181" t="e">
        <f>HLOOKUP($BB$3,VaR_Calculo_Historico!$C$2:$ET$103,B73+1,0)</f>
        <v>#N/A</v>
      </c>
      <c r="BC73" s="182" t="e">
        <f t="shared" si="57"/>
        <v>#N/A</v>
      </c>
      <c r="BD73" s="181" t="e">
        <f>HLOOKUP($BD$3,VaR_Calculo_Historico!$C$2:$ET$103,B73+1,0)</f>
        <v>#N/A</v>
      </c>
      <c r="BE73" s="182" t="e">
        <f t="shared" si="58"/>
        <v>#N/A</v>
      </c>
      <c r="BF73" s="181" t="e">
        <f>HLOOKUP($BF$3,VaR_Calculo_Historico!$C$2:$ET$103,B73+1,0)</f>
        <v>#N/A</v>
      </c>
      <c r="BG73" s="182" t="e">
        <f t="shared" si="59"/>
        <v>#N/A</v>
      </c>
      <c r="BH73" s="181" t="e">
        <f>HLOOKUP($BH$3,VaR_Calculo_Historico!$C$2:$ET$103,B73+1,0)</f>
        <v>#N/A</v>
      </c>
      <c r="BI73" s="223" t="e">
        <f t="shared" si="60"/>
        <v>#N/A</v>
      </c>
      <c r="BJ73" s="181" t="e">
        <f>HLOOKUP($BJ$3,VaR_Calculo_Historico!$C$2:$ET$103,B73+1,0)</f>
        <v>#N/A</v>
      </c>
      <c r="BK73" s="223" t="e">
        <f t="shared" si="61"/>
        <v>#N/A</v>
      </c>
      <c r="BL73" s="181" t="e">
        <f>HLOOKUP($BL$3,VaR_Calculo_Historico!$C$2:$ET$103,B73+1,0)</f>
        <v>#N/A</v>
      </c>
      <c r="BM73" s="223" t="e">
        <f t="shared" si="62"/>
        <v>#N/A</v>
      </c>
      <c r="BN73" s="181" t="e">
        <f>HLOOKUP($BN$3,VaR_Calculo_Historico!$C$2:$EY$103,B73+1,0)</f>
        <v>#N/A</v>
      </c>
      <c r="BO73" s="223" t="e">
        <f t="shared" si="63"/>
        <v>#N/A</v>
      </c>
    </row>
    <row r="74" spans="2:67" x14ac:dyDescent="0.3">
      <c r="B74" s="166">
        <v>70</v>
      </c>
      <c r="C74" s="208">
        <f>VaR_Calculo_Historico!B71</f>
        <v>42415</v>
      </c>
      <c r="D74" s="181">
        <f>HLOOKUP($D$3,VaR_Calculo_Historico!$C$2:$ET$103,B74+1,0)</f>
        <v>3.4140258939999999</v>
      </c>
      <c r="E74" s="182">
        <f t="shared" si="32"/>
        <v>1.271036513444918E-3</v>
      </c>
      <c r="F74" s="181">
        <f>HLOOKUP($F$3,VaR_Calculo_Historico!$C$2:$ET$103,B74+1,0)</f>
        <v>1.6197490000000001</v>
      </c>
      <c r="G74" s="182">
        <f t="shared" si="33"/>
        <v>5.2305729719629064E-4</v>
      </c>
      <c r="H74" s="181">
        <f>HLOOKUP($H$3,VaR_Calculo_Historico!$C$2:$ET$103,B74+1,0)</f>
        <v>1.1360936909999999</v>
      </c>
      <c r="I74" s="182">
        <f t="shared" si="34"/>
        <v>1.1704808728662346E-3</v>
      </c>
      <c r="J74" s="181">
        <f>HLOOKUP($J$3,VaR_Calculo_Historico!$C$2:$ET$103,B74+1,0)</f>
        <v>1.8661509999999999</v>
      </c>
      <c r="K74" s="182">
        <f t="shared" si="35"/>
        <v>9.1299017573015951E-4</v>
      </c>
      <c r="L74" s="181">
        <f>HLOOKUP($L$3,VaR_Calculo_Historico!$C$2:$ET$103,B74+1,0)</f>
        <v>1.1035630000000001</v>
      </c>
      <c r="M74" s="182">
        <f t="shared" si="36"/>
        <v>8.1587294313809251E-4</v>
      </c>
      <c r="N74" s="181">
        <f>HLOOKUP($N$3,VaR_Calculo_Historico!$C$2:$ET$103,B74+1,0)</f>
        <v>2.6351710000000002</v>
      </c>
      <c r="O74" s="182">
        <f t="shared" si="37"/>
        <v>5.1774747606450253E-4</v>
      </c>
      <c r="P74" s="181">
        <f>HLOOKUP($P$3,VaR_Calculo_Historico!$C$2:$ET$103,B74+1,0)</f>
        <v>1.7821009999999999</v>
      </c>
      <c r="Q74" s="182">
        <f t="shared" si="38"/>
        <v>9.0889116770194456E-4</v>
      </c>
      <c r="R74" s="181">
        <f>HLOOKUP($R$3,VaR_Calculo_Historico!$C$2:$ET$103,B74+1,0)</f>
        <v>1.2948249999999999</v>
      </c>
      <c r="S74" s="182">
        <f t="shared" si="39"/>
        <v>1.4406139629581831E-3</v>
      </c>
      <c r="T74" s="181" t="e">
        <f>HLOOKUP($T$3,VaR_Calculo_Historico!$C$2:$ET$103,B74+1,0)</f>
        <v>#N/A</v>
      </c>
      <c r="U74" s="182" t="e">
        <f t="shared" si="40"/>
        <v>#N/A</v>
      </c>
      <c r="V74" s="181" t="e">
        <f>HLOOKUP($V$3,VaR_Calculo_Historico!$C$2:$ET$103,B74+1,0)</f>
        <v>#N/A</v>
      </c>
      <c r="W74" s="182" t="e">
        <f t="shared" si="41"/>
        <v>#N/A</v>
      </c>
      <c r="X74" s="181" t="e">
        <f>HLOOKUP($X$3,VaR_Calculo_Historico!$C$2:$ET$103,B74+1,0)</f>
        <v>#N/A</v>
      </c>
      <c r="Y74" s="182" t="e">
        <f t="shared" si="42"/>
        <v>#N/A</v>
      </c>
      <c r="Z74" s="181" t="e">
        <f>HLOOKUP($Z$3,VaR_Calculo_Historico!$C$2:$ET$103,B74+1,0)</f>
        <v>#N/A</v>
      </c>
      <c r="AA74" s="182" t="e">
        <f t="shared" si="43"/>
        <v>#N/A</v>
      </c>
      <c r="AB74" s="181" t="e">
        <f>HLOOKUP($AB$3,VaR_Calculo_Historico!$C$2:$ET$103,B74+1,0)</f>
        <v>#N/A</v>
      </c>
      <c r="AC74" s="182" t="e">
        <f t="shared" si="44"/>
        <v>#N/A</v>
      </c>
      <c r="AD74" s="181" t="e">
        <f>HLOOKUP($AD$3,VaR_Calculo_Historico!$C$2:$ET$103,B74+1,0)</f>
        <v>#N/A</v>
      </c>
      <c r="AE74" s="182" t="e">
        <f t="shared" si="45"/>
        <v>#N/A</v>
      </c>
      <c r="AF74" s="181" t="e">
        <f>HLOOKUP($AF$3,VaR_Calculo_Historico!$C$2:$FZS$104,B74+1,0)</f>
        <v>#N/A</v>
      </c>
      <c r="AG74" s="182" t="e">
        <f t="shared" si="46"/>
        <v>#N/A</v>
      </c>
      <c r="AH74" s="181" t="e">
        <f>HLOOKUP($AH$3,VaR_Calculo_Historico!$C$2:$FS$104,B74+1,0)</f>
        <v>#N/A</v>
      </c>
      <c r="AI74" s="182" t="e">
        <f t="shared" si="47"/>
        <v>#N/A</v>
      </c>
      <c r="AJ74" s="181" t="e">
        <f>HLOOKUP($AJ$3,VaR_Calculo_Historico!$C$2:$ET$103,B74+1,0)</f>
        <v>#N/A</v>
      </c>
      <c r="AK74" s="182" t="e">
        <f t="shared" si="48"/>
        <v>#N/A</v>
      </c>
      <c r="AL74" s="181" t="e">
        <f>HLOOKUP($AL$3,VaR_Calculo_Historico!$C$2:$ET$103,B74+1,0)</f>
        <v>#N/A</v>
      </c>
      <c r="AM74" s="182" t="e">
        <f t="shared" si="49"/>
        <v>#N/A</v>
      </c>
      <c r="AN74" s="181" t="e">
        <f>HLOOKUP($AN$3,VaR_Calculo_Historico!$C$2:$ET$103,B74+1,0)</f>
        <v>#N/A</v>
      </c>
      <c r="AO74" s="182" t="e">
        <f t="shared" si="50"/>
        <v>#N/A</v>
      </c>
      <c r="AP74" s="181" t="e">
        <f>HLOOKUP($AP$3,VaR_Calculo_Historico!$C$2:$ET$103,B74+1,0)</f>
        <v>#N/A</v>
      </c>
      <c r="AQ74" s="182" t="e">
        <f t="shared" si="51"/>
        <v>#N/A</v>
      </c>
      <c r="AR74" s="181" t="e">
        <f>HLOOKUP($AR$3,VaR_Calculo_Historico!$C$2:$ET$103,B74+1,0)</f>
        <v>#N/A</v>
      </c>
      <c r="AS74" s="182" t="e">
        <f t="shared" si="52"/>
        <v>#N/A</v>
      </c>
      <c r="AT74" s="181" t="e">
        <f>HLOOKUP($AT$3,VaR_Calculo_Historico!$C$2:$ET$103,B74+1,0)</f>
        <v>#N/A</v>
      </c>
      <c r="AU74" s="182" t="e">
        <f t="shared" si="53"/>
        <v>#N/A</v>
      </c>
      <c r="AV74" s="181" t="e">
        <f>HLOOKUP($AV$3,VaR_Calculo_Historico!$C$2:$ET$103,B74+1,0)</f>
        <v>#N/A</v>
      </c>
      <c r="AW74" s="223" t="e">
        <f t="shared" si="54"/>
        <v>#N/A</v>
      </c>
      <c r="AX74" s="181" t="e">
        <f>HLOOKUP($AX$3,VaR_Calculo_Historico!$C$2:$ET$103,B74+1,0)</f>
        <v>#N/A</v>
      </c>
      <c r="AY74" s="182" t="e">
        <f t="shared" si="55"/>
        <v>#N/A</v>
      </c>
      <c r="AZ74" s="181" t="e">
        <f>HLOOKUP($AZ$3,VaR_Calculo_Historico!$C$2:$ET$103,B74+1,0)</f>
        <v>#N/A</v>
      </c>
      <c r="BA74" s="182" t="e">
        <f t="shared" si="56"/>
        <v>#N/A</v>
      </c>
      <c r="BB74" s="181" t="e">
        <f>HLOOKUP($BB$3,VaR_Calculo_Historico!$C$2:$ET$103,B74+1,0)</f>
        <v>#N/A</v>
      </c>
      <c r="BC74" s="182" t="e">
        <f t="shared" si="57"/>
        <v>#N/A</v>
      </c>
      <c r="BD74" s="181" t="e">
        <f>HLOOKUP($BD$3,VaR_Calculo_Historico!$C$2:$ET$103,B74+1,0)</f>
        <v>#N/A</v>
      </c>
      <c r="BE74" s="182" t="e">
        <f t="shared" si="58"/>
        <v>#N/A</v>
      </c>
      <c r="BF74" s="181" t="e">
        <f>HLOOKUP($BF$3,VaR_Calculo_Historico!$C$2:$ET$103,B74+1,0)</f>
        <v>#N/A</v>
      </c>
      <c r="BG74" s="182" t="e">
        <f t="shared" si="59"/>
        <v>#N/A</v>
      </c>
      <c r="BH74" s="181" t="e">
        <f>HLOOKUP($BH$3,VaR_Calculo_Historico!$C$2:$ET$103,B74+1,0)</f>
        <v>#N/A</v>
      </c>
      <c r="BI74" s="223" t="e">
        <f t="shared" si="60"/>
        <v>#N/A</v>
      </c>
      <c r="BJ74" s="181" t="e">
        <f>HLOOKUP($BJ$3,VaR_Calculo_Historico!$C$2:$ET$103,B74+1,0)</f>
        <v>#N/A</v>
      </c>
      <c r="BK74" s="223" t="e">
        <f t="shared" si="61"/>
        <v>#N/A</v>
      </c>
      <c r="BL74" s="181" t="e">
        <f>HLOOKUP($BL$3,VaR_Calculo_Historico!$C$2:$ET$103,B74+1,0)</f>
        <v>#N/A</v>
      </c>
      <c r="BM74" s="223" t="e">
        <f t="shared" si="62"/>
        <v>#N/A</v>
      </c>
      <c r="BN74" s="181" t="e">
        <f>HLOOKUP($BN$3,VaR_Calculo_Historico!$C$2:$EY$103,B74+1,0)</f>
        <v>#N/A</v>
      </c>
      <c r="BO74" s="223" t="e">
        <f t="shared" si="63"/>
        <v>#N/A</v>
      </c>
    </row>
    <row r="75" spans="2:67" x14ac:dyDescent="0.3">
      <c r="B75" s="166">
        <v>71</v>
      </c>
      <c r="C75" s="208">
        <f>VaR_Calculo_Historico!B72</f>
        <v>42416</v>
      </c>
      <c r="D75" s="181">
        <f>HLOOKUP($D$3,VaR_Calculo_Historico!$C$2:$ET$103,B75+1,0)</f>
        <v>3.4263536779999999</v>
      </c>
      <c r="E75" s="182">
        <f t="shared" si="32"/>
        <v>3.604419087260185E-3</v>
      </c>
      <c r="F75" s="181">
        <f>HLOOKUP($F$3,VaR_Calculo_Historico!$C$2:$ET$103,B75+1,0)</f>
        <v>1.6206100000000001</v>
      </c>
      <c r="G75" s="182">
        <f t="shared" si="33"/>
        <v>5.3142261105207388E-4</v>
      </c>
      <c r="H75" s="181">
        <f>HLOOKUP($H$3,VaR_Calculo_Historico!$C$2:$ET$103,B75+1,0)</f>
        <v>1.1371290590000001</v>
      </c>
      <c r="I75" s="182">
        <f t="shared" si="34"/>
        <v>9.1092531217599137E-4</v>
      </c>
      <c r="J75" s="181">
        <f>HLOOKUP($J$3,VaR_Calculo_Historico!$C$2:$ET$103,B75+1,0)</f>
        <v>1.867426</v>
      </c>
      <c r="K75" s="182">
        <f t="shared" si="35"/>
        <v>6.82991163467739E-4</v>
      </c>
      <c r="L75" s="181">
        <f>HLOOKUP($L$3,VaR_Calculo_Historico!$C$2:$ET$103,B75+1,0)</f>
        <v>1.104338</v>
      </c>
      <c r="M75" s="182">
        <f t="shared" si="36"/>
        <v>7.0202425908498381E-4</v>
      </c>
      <c r="N75" s="181">
        <f>HLOOKUP($N$3,VaR_Calculo_Historico!$C$2:$ET$103,B75+1,0)</f>
        <v>2.6365660000000002</v>
      </c>
      <c r="O75" s="182">
        <f t="shared" si="37"/>
        <v>5.2923733963227782E-4</v>
      </c>
      <c r="P75" s="181">
        <f>HLOOKUP($P$3,VaR_Calculo_Historico!$C$2:$ET$103,B75+1,0)</f>
        <v>1.7833209999999999</v>
      </c>
      <c r="Q75" s="182">
        <f t="shared" si="38"/>
        <v>6.8435099554236417E-4</v>
      </c>
      <c r="R75" s="181">
        <f>HLOOKUP($R$3,VaR_Calculo_Historico!$C$2:$ET$103,B75+1,0)</f>
        <v>1.3027010000000001</v>
      </c>
      <c r="S75" s="182">
        <f t="shared" si="39"/>
        <v>6.0642504727433759E-3</v>
      </c>
      <c r="T75" s="181" t="e">
        <f>HLOOKUP($T$3,VaR_Calculo_Historico!$C$2:$ET$103,B75+1,0)</f>
        <v>#N/A</v>
      </c>
      <c r="U75" s="182" t="e">
        <f t="shared" si="40"/>
        <v>#N/A</v>
      </c>
      <c r="V75" s="181" t="e">
        <f>HLOOKUP($V$3,VaR_Calculo_Historico!$C$2:$ET$103,B75+1,0)</f>
        <v>#N/A</v>
      </c>
      <c r="W75" s="182" t="e">
        <f t="shared" si="41"/>
        <v>#N/A</v>
      </c>
      <c r="X75" s="181" t="e">
        <f>HLOOKUP($X$3,VaR_Calculo_Historico!$C$2:$ET$103,B75+1,0)</f>
        <v>#N/A</v>
      </c>
      <c r="Y75" s="182" t="e">
        <f t="shared" si="42"/>
        <v>#N/A</v>
      </c>
      <c r="Z75" s="181" t="e">
        <f>HLOOKUP($Z$3,VaR_Calculo_Historico!$C$2:$ET$103,B75+1,0)</f>
        <v>#N/A</v>
      </c>
      <c r="AA75" s="182" t="e">
        <f t="shared" si="43"/>
        <v>#N/A</v>
      </c>
      <c r="AB75" s="181" t="e">
        <f>HLOOKUP($AB$3,VaR_Calculo_Historico!$C$2:$ET$103,B75+1,0)</f>
        <v>#N/A</v>
      </c>
      <c r="AC75" s="182" t="e">
        <f t="shared" si="44"/>
        <v>#N/A</v>
      </c>
      <c r="AD75" s="181" t="e">
        <f>HLOOKUP($AD$3,VaR_Calculo_Historico!$C$2:$ET$103,B75+1,0)</f>
        <v>#N/A</v>
      </c>
      <c r="AE75" s="182" t="e">
        <f t="shared" si="45"/>
        <v>#N/A</v>
      </c>
      <c r="AF75" s="181" t="e">
        <f>HLOOKUP($AF$3,VaR_Calculo_Historico!$C$2:$FZS$104,B75+1,0)</f>
        <v>#N/A</v>
      </c>
      <c r="AG75" s="182" t="e">
        <f t="shared" si="46"/>
        <v>#N/A</v>
      </c>
      <c r="AH75" s="181" t="e">
        <f>HLOOKUP($AH$3,VaR_Calculo_Historico!$C$2:$FS$104,B75+1,0)</f>
        <v>#N/A</v>
      </c>
      <c r="AI75" s="182" t="e">
        <f t="shared" si="47"/>
        <v>#N/A</v>
      </c>
      <c r="AJ75" s="181" t="e">
        <f>HLOOKUP($AJ$3,VaR_Calculo_Historico!$C$2:$ET$103,B75+1,0)</f>
        <v>#N/A</v>
      </c>
      <c r="AK75" s="182" t="e">
        <f t="shared" si="48"/>
        <v>#N/A</v>
      </c>
      <c r="AL75" s="181" t="e">
        <f>HLOOKUP($AL$3,VaR_Calculo_Historico!$C$2:$ET$103,B75+1,0)</f>
        <v>#N/A</v>
      </c>
      <c r="AM75" s="182" t="e">
        <f t="shared" si="49"/>
        <v>#N/A</v>
      </c>
      <c r="AN75" s="181" t="e">
        <f>HLOOKUP($AN$3,VaR_Calculo_Historico!$C$2:$ET$103,B75+1,0)</f>
        <v>#N/A</v>
      </c>
      <c r="AO75" s="182" t="e">
        <f t="shared" si="50"/>
        <v>#N/A</v>
      </c>
      <c r="AP75" s="181" t="e">
        <f>HLOOKUP($AP$3,VaR_Calculo_Historico!$C$2:$ET$103,B75+1,0)</f>
        <v>#N/A</v>
      </c>
      <c r="AQ75" s="182" t="e">
        <f t="shared" si="51"/>
        <v>#N/A</v>
      </c>
      <c r="AR75" s="181" t="e">
        <f>HLOOKUP($AR$3,VaR_Calculo_Historico!$C$2:$ET$103,B75+1,0)</f>
        <v>#N/A</v>
      </c>
      <c r="AS75" s="182" t="e">
        <f t="shared" si="52"/>
        <v>#N/A</v>
      </c>
      <c r="AT75" s="181" t="e">
        <f>HLOOKUP($AT$3,VaR_Calculo_Historico!$C$2:$ET$103,B75+1,0)</f>
        <v>#N/A</v>
      </c>
      <c r="AU75" s="182" t="e">
        <f t="shared" si="53"/>
        <v>#N/A</v>
      </c>
      <c r="AV75" s="181" t="e">
        <f>HLOOKUP($AV$3,VaR_Calculo_Historico!$C$2:$ET$103,B75+1,0)</f>
        <v>#N/A</v>
      </c>
      <c r="AW75" s="223" t="e">
        <f t="shared" si="54"/>
        <v>#N/A</v>
      </c>
      <c r="AX75" s="181" t="e">
        <f>HLOOKUP($AX$3,VaR_Calculo_Historico!$C$2:$ET$103,B75+1,0)</f>
        <v>#N/A</v>
      </c>
      <c r="AY75" s="182" t="e">
        <f t="shared" si="55"/>
        <v>#N/A</v>
      </c>
      <c r="AZ75" s="181" t="e">
        <f>HLOOKUP($AZ$3,VaR_Calculo_Historico!$C$2:$ET$103,B75+1,0)</f>
        <v>#N/A</v>
      </c>
      <c r="BA75" s="182" t="e">
        <f t="shared" si="56"/>
        <v>#N/A</v>
      </c>
      <c r="BB75" s="181" t="e">
        <f>HLOOKUP($BB$3,VaR_Calculo_Historico!$C$2:$ET$103,B75+1,0)</f>
        <v>#N/A</v>
      </c>
      <c r="BC75" s="182" t="e">
        <f t="shared" si="57"/>
        <v>#N/A</v>
      </c>
      <c r="BD75" s="181" t="e">
        <f>HLOOKUP($BD$3,VaR_Calculo_Historico!$C$2:$ET$103,B75+1,0)</f>
        <v>#N/A</v>
      </c>
      <c r="BE75" s="182" t="e">
        <f t="shared" si="58"/>
        <v>#N/A</v>
      </c>
      <c r="BF75" s="181" t="e">
        <f>HLOOKUP($BF$3,VaR_Calculo_Historico!$C$2:$ET$103,B75+1,0)</f>
        <v>#N/A</v>
      </c>
      <c r="BG75" s="182" t="e">
        <f t="shared" si="59"/>
        <v>#N/A</v>
      </c>
      <c r="BH75" s="181" t="e">
        <f>HLOOKUP($BH$3,VaR_Calculo_Historico!$C$2:$ET$103,B75+1,0)</f>
        <v>#N/A</v>
      </c>
      <c r="BI75" s="223" t="e">
        <f t="shared" si="60"/>
        <v>#N/A</v>
      </c>
      <c r="BJ75" s="181" t="e">
        <f>HLOOKUP($BJ$3,VaR_Calculo_Historico!$C$2:$ET$103,B75+1,0)</f>
        <v>#N/A</v>
      </c>
      <c r="BK75" s="223" t="e">
        <f t="shared" si="61"/>
        <v>#N/A</v>
      </c>
      <c r="BL75" s="181" t="e">
        <f>HLOOKUP($BL$3,VaR_Calculo_Historico!$C$2:$ET$103,B75+1,0)</f>
        <v>#N/A</v>
      </c>
      <c r="BM75" s="223" t="e">
        <f t="shared" si="62"/>
        <v>#N/A</v>
      </c>
      <c r="BN75" s="181" t="e">
        <f>HLOOKUP($BN$3,VaR_Calculo_Historico!$C$2:$EY$103,B75+1,0)</f>
        <v>#N/A</v>
      </c>
      <c r="BO75" s="223" t="e">
        <f t="shared" si="63"/>
        <v>#N/A</v>
      </c>
    </row>
    <row r="76" spans="2:67" x14ac:dyDescent="0.3">
      <c r="B76" s="166">
        <v>72</v>
      </c>
      <c r="C76" s="208">
        <f>VaR_Calculo_Historico!B73</f>
        <v>42417</v>
      </c>
      <c r="D76" s="181">
        <f>HLOOKUP($D$3,VaR_Calculo_Historico!$C$2:$ET$103,B76+1,0)</f>
        <v>3.4236692350000002</v>
      </c>
      <c r="E76" s="182">
        <f t="shared" si="32"/>
        <v>-7.8377639652196936E-4</v>
      </c>
      <c r="F76" s="181">
        <f>HLOOKUP($F$3,VaR_Calculo_Historico!$C$2:$ET$103,B76+1,0)</f>
        <v>1.621434</v>
      </c>
      <c r="G76" s="182">
        <f t="shared" si="33"/>
        <v>5.0832130454898168E-4</v>
      </c>
      <c r="H76" s="181">
        <f>HLOOKUP($H$3,VaR_Calculo_Historico!$C$2:$ET$103,B76+1,0)</f>
        <v>1.1369831290000001</v>
      </c>
      <c r="I76" s="182">
        <f t="shared" si="34"/>
        <v>-1.2834019444626235E-4</v>
      </c>
      <c r="J76" s="181">
        <f>HLOOKUP($J$3,VaR_Calculo_Historico!$C$2:$ET$103,B76+1,0)</f>
        <v>1.8678589999999999</v>
      </c>
      <c r="K76" s="182">
        <f t="shared" si="35"/>
        <v>2.3184308663960906E-4</v>
      </c>
      <c r="L76" s="181">
        <f>HLOOKUP($L$3,VaR_Calculo_Historico!$C$2:$ET$103,B76+1,0)</f>
        <v>1.104549</v>
      </c>
      <c r="M76" s="182">
        <f t="shared" si="36"/>
        <v>1.9104644161671374E-4</v>
      </c>
      <c r="N76" s="181">
        <f>HLOOKUP($N$3,VaR_Calculo_Historico!$C$2:$ET$103,B76+1,0)</f>
        <v>2.63795</v>
      </c>
      <c r="O76" s="182">
        <f t="shared" si="37"/>
        <v>5.2478749965407048E-4</v>
      </c>
      <c r="P76" s="181">
        <f>HLOOKUP($P$3,VaR_Calculo_Historico!$C$2:$ET$103,B76+1,0)</f>
        <v>1.7837430000000001</v>
      </c>
      <c r="Q76" s="182">
        <f t="shared" si="38"/>
        <v>2.3660915642057133E-4</v>
      </c>
      <c r="R76" s="181">
        <f>HLOOKUP($R$3,VaR_Calculo_Historico!$C$2:$ET$103,B76+1,0)</f>
        <v>1.300419</v>
      </c>
      <c r="S76" s="182">
        <f t="shared" si="39"/>
        <v>-1.7532811277016598E-3</v>
      </c>
      <c r="T76" s="181" t="e">
        <f>HLOOKUP($T$3,VaR_Calculo_Historico!$C$2:$ET$103,B76+1,0)</f>
        <v>#N/A</v>
      </c>
      <c r="U76" s="182" t="e">
        <f t="shared" si="40"/>
        <v>#N/A</v>
      </c>
      <c r="V76" s="181" t="e">
        <f>HLOOKUP($V$3,VaR_Calculo_Historico!$C$2:$ET$103,B76+1,0)</f>
        <v>#N/A</v>
      </c>
      <c r="W76" s="182" t="e">
        <f t="shared" si="41"/>
        <v>#N/A</v>
      </c>
      <c r="X76" s="181" t="e">
        <f>HLOOKUP($X$3,VaR_Calculo_Historico!$C$2:$ET$103,B76+1,0)</f>
        <v>#N/A</v>
      </c>
      <c r="Y76" s="182" t="e">
        <f t="shared" si="42"/>
        <v>#N/A</v>
      </c>
      <c r="Z76" s="181" t="e">
        <f>HLOOKUP($Z$3,VaR_Calculo_Historico!$C$2:$ET$103,B76+1,0)</f>
        <v>#N/A</v>
      </c>
      <c r="AA76" s="182" t="e">
        <f t="shared" si="43"/>
        <v>#N/A</v>
      </c>
      <c r="AB76" s="181" t="e">
        <f>HLOOKUP($AB$3,VaR_Calculo_Historico!$C$2:$ET$103,B76+1,0)</f>
        <v>#N/A</v>
      </c>
      <c r="AC76" s="182" t="e">
        <f t="shared" si="44"/>
        <v>#N/A</v>
      </c>
      <c r="AD76" s="181" t="e">
        <f>HLOOKUP($AD$3,VaR_Calculo_Historico!$C$2:$ET$103,B76+1,0)</f>
        <v>#N/A</v>
      </c>
      <c r="AE76" s="182" t="e">
        <f t="shared" si="45"/>
        <v>#N/A</v>
      </c>
      <c r="AF76" s="181" t="e">
        <f>HLOOKUP($AF$3,VaR_Calculo_Historico!$C$2:$FZS$104,B76+1,0)</f>
        <v>#N/A</v>
      </c>
      <c r="AG76" s="182" t="e">
        <f t="shared" si="46"/>
        <v>#N/A</v>
      </c>
      <c r="AH76" s="181" t="e">
        <f>HLOOKUP($AH$3,VaR_Calculo_Historico!$C$2:$FS$104,B76+1,0)</f>
        <v>#N/A</v>
      </c>
      <c r="AI76" s="182" t="e">
        <f t="shared" si="47"/>
        <v>#N/A</v>
      </c>
      <c r="AJ76" s="181" t="e">
        <f>HLOOKUP($AJ$3,VaR_Calculo_Historico!$C$2:$ET$103,B76+1,0)</f>
        <v>#N/A</v>
      </c>
      <c r="AK76" s="182" t="e">
        <f t="shared" si="48"/>
        <v>#N/A</v>
      </c>
      <c r="AL76" s="181" t="e">
        <f>HLOOKUP($AL$3,VaR_Calculo_Historico!$C$2:$ET$103,B76+1,0)</f>
        <v>#N/A</v>
      </c>
      <c r="AM76" s="182" t="e">
        <f t="shared" si="49"/>
        <v>#N/A</v>
      </c>
      <c r="AN76" s="181" t="e">
        <f>HLOOKUP($AN$3,VaR_Calculo_Historico!$C$2:$ET$103,B76+1,0)</f>
        <v>#N/A</v>
      </c>
      <c r="AO76" s="182" t="e">
        <f t="shared" si="50"/>
        <v>#N/A</v>
      </c>
      <c r="AP76" s="181" t="e">
        <f>HLOOKUP($AP$3,VaR_Calculo_Historico!$C$2:$ET$103,B76+1,0)</f>
        <v>#N/A</v>
      </c>
      <c r="AQ76" s="182" t="e">
        <f t="shared" si="51"/>
        <v>#N/A</v>
      </c>
      <c r="AR76" s="181" t="e">
        <f>HLOOKUP($AR$3,VaR_Calculo_Historico!$C$2:$ET$103,B76+1,0)</f>
        <v>#N/A</v>
      </c>
      <c r="AS76" s="182" t="e">
        <f t="shared" si="52"/>
        <v>#N/A</v>
      </c>
      <c r="AT76" s="181" t="e">
        <f>HLOOKUP($AT$3,VaR_Calculo_Historico!$C$2:$ET$103,B76+1,0)</f>
        <v>#N/A</v>
      </c>
      <c r="AU76" s="182" t="e">
        <f t="shared" si="53"/>
        <v>#N/A</v>
      </c>
      <c r="AV76" s="181" t="e">
        <f>HLOOKUP($AV$3,VaR_Calculo_Historico!$C$2:$ET$103,B76+1,0)</f>
        <v>#N/A</v>
      </c>
      <c r="AW76" s="223" t="e">
        <f t="shared" si="54"/>
        <v>#N/A</v>
      </c>
      <c r="AX76" s="181" t="e">
        <f>HLOOKUP($AX$3,VaR_Calculo_Historico!$C$2:$ET$103,B76+1,0)</f>
        <v>#N/A</v>
      </c>
      <c r="AY76" s="182" t="e">
        <f t="shared" si="55"/>
        <v>#N/A</v>
      </c>
      <c r="AZ76" s="181" t="e">
        <f>HLOOKUP($AZ$3,VaR_Calculo_Historico!$C$2:$ET$103,B76+1,0)</f>
        <v>#N/A</v>
      </c>
      <c r="BA76" s="182" t="e">
        <f t="shared" si="56"/>
        <v>#N/A</v>
      </c>
      <c r="BB76" s="181" t="e">
        <f>HLOOKUP($BB$3,VaR_Calculo_Historico!$C$2:$ET$103,B76+1,0)</f>
        <v>#N/A</v>
      </c>
      <c r="BC76" s="182" t="e">
        <f t="shared" si="57"/>
        <v>#N/A</v>
      </c>
      <c r="BD76" s="181" t="e">
        <f>HLOOKUP($BD$3,VaR_Calculo_Historico!$C$2:$ET$103,B76+1,0)</f>
        <v>#N/A</v>
      </c>
      <c r="BE76" s="182" t="e">
        <f t="shared" si="58"/>
        <v>#N/A</v>
      </c>
      <c r="BF76" s="181" t="e">
        <f>HLOOKUP($BF$3,VaR_Calculo_Historico!$C$2:$ET$103,B76+1,0)</f>
        <v>#N/A</v>
      </c>
      <c r="BG76" s="182" t="e">
        <f t="shared" si="59"/>
        <v>#N/A</v>
      </c>
      <c r="BH76" s="181" t="e">
        <f>HLOOKUP($BH$3,VaR_Calculo_Historico!$C$2:$ET$103,B76+1,0)</f>
        <v>#N/A</v>
      </c>
      <c r="BI76" s="223" t="e">
        <f t="shared" si="60"/>
        <v>#N/A</v>
      </c>
      <c r="BJ76" s="181" t="e">
        <f>HLOOKUP($BJ$3,VaR_Calculo_Historico!$C$2:$ET$103,B76+1,0)</f>
        <v>#N/A</v>
      </c>
      <c r="BK76" s="223" t="e">
        <f t="shared" si="61"/>
        <v>#N/A</v>
      </c>
      <c r="BL76" s="181" t="e">
        <f>HLOOKUP($BL$3,VaR_Calculo_Historico!$C$2:$ET$103,B76+1,0)</f>
        <v>#N/A</v>
      </c>
      <c r="BM76" s="223" t="e">
        <f t="shared" si="62"/>
        <v>#N/A</v>
      </c>
      <c r="BN76" s="181" t="e">
        <f>HLOOKUP($BN$3,VaR_Calculo_Historico!$C$2:$EY$103,B76+1,0)</f>
        <v>#N/A</v>
      </c>
      <c r="BO76" s="223" t="e">
        <f t="shared" si="63"/>
        <v>#N/A</v>
      </c>
    </row>
    <row r="77" spans="2:67" x14ac:dyDescent="0.3">
      <c r="B77" s="166">
        <v>73</v>
      </c>
      <c r="C77" s="208">
        <f>VaR_Calculo_Historico!B74</f>
        <v>42418</v>
      </c>
      <c r="D77" s="181">
        <f>HLOOKUP($D$3,VaR_Calculo_Historico!$C$2:$ET$103,B77+1,0)</f>
        <v>3.4336622010000002</v>
      </c>
      <c r="E77" s="182">
        <f t="shared" si="32"/>
        <v>2.9145369935977962E-3</v>
      </c>
      <c r="F77" s="181">
        <f>HLOOKUP($F$3,VaR_Calculo_Historico!$C$2:$ET$103,B77+1,0)</f>
        <v>1.6222890000000001</v>
      </c>
      <c r="G77" s="182">
        <f t="shared" si="33"/>
        <v>5.2717203028805279E-4</v>
      </c>
      <c r="H77" s="181">
        <f>HLOOKUP($H$3,VaR_Calculo_Historico!$C$2:$ET$103,B77+1,0)</f>
        <v>1.137143665</v>
      </c>
      <c r="I77" s="182">
        <f t="shared" si="34"/>
        <v>1.4118474017381523E-4</v>
      </c>
      <c r="J77" s="181">
        <f>HLOOKUP($J$3,VaR_Calculo_Historico!$C$2:$ET$103,B77+1,0)</f>
        <v>1.869324</v>
      </c>
      <c r="K77" s="182">
        <f t="shared" si="35"/>
        <v>7.8401302534123558E-4</v>
      </c>
      <c r="L77" s="181">
        <f>HLOOKUP($L$3,VaR_Calculo_Historico!$C$2:$ET$103,B77+1,0)</f>
        <v>1.074065</v>
      </c>
      <c r="M77" s="182">
        <f t="shared" si="36"/>
        <v>-2.798659118898247E-2</v>
      </c>
      <c r="N77" s="181">
        <f>HLOOKUP($N$3,VaR_Calculo_Historico!$C$2:$ET$103,B77+1,0)</f>
        <v>2.63931</v>
      </c>
      <c r="O77" s="182">
        <f t="shared" si="37"/>
        <v>5.1541899777834044E-4</v>
      </c>
      <c r="P77" s="181">
        <f>HLOOKUP($P$3,VaR_Calculo_Historico!$C$2:$ET$103,B77+1,0)</f>
        <v>1.78515</v>
      </c>
      <c r="Q77" s="182">
        <f t="shared" si="38"/>
        <v>7.8847982996080627E-4</v>
      </c>
      <c r="R77" s="181">
        <f>HLOOKUP($R$3,VaR_Calculo_Historico!$C$2:$ET$103,B77+1,0)</f>
        <v>1.3064910000000001</v>
      </c>
      <c r="S77" s="182">
        <f t="shared" si="39"/>
        <v>4.6583970912166912E-3</v>
      </c>
      <c r="T77" s="181" t="e">
        <f>HLOOKUP($T$3,VaR_Calculo_Historico!$C$2:$ET$103,B77+1,0)</f>
        <v>#N/A</v>
      </c>
      <c r="U77" s="182" t="e">
        <f t="shared" si="40"/>
        <v>#N/A</v>
      </c>
      <c r="V77" s="181" t="e">
        <f>HLOOKUP($V$3,VaR_Calculo_Historico!$C$2:$ET$103,B77+1,0)</f>
        <v>#N/A</v>
      </c>
      <c r="W77" s="182" t="e">
        <f t="shared" si="41"/>
        <v>#N/A</v>
      </c>
      <c r="X77" s="181" t="e">
        <f>HLOOKUP($X$3,VaR_Calculo_Historico!$C$2:$ET$103,B77+1,0)</f>
        <v>#N/A</v>
      </c>
      <c r="Y77" s="182" t="e">
        <f t="shared" si="42"/>
        <v>#N/A</v>
      </c>
      <c r="Z77" s="181" t="e">
        <f>HLOOKUP($Z$3,VaR_Calculo_Historico!$C$2:$ET$103,B77+1,0)</f>
        <v>#N/A</v>
      </c>
      <c r="AA77" s="182" t="e">
        <f t="shared" si="43"/>
        <v>#N/A</v>
      </c>
      <c r="AB77" s="181" t="e">
        <f>HLOOKUP($AB$3,VaR_Calculo_Historico!$C$2:$ET$103,B77+1,0)</f>
        <v>#N/A</v>
      </c>
      <c r="AC77" s="182" t="e">
        <f t="shared" si="44"/>
        <v>#N/A</v>
      </c>
      <c r="AD77" s="181" t="e">
        <f>HLOOKUP($AD$3,VaR_Calculo_Historico!$C$2:$ET$103,B77+1,0)</f>
        <v>#N/A</v>
      </c>
      <c r="AE77" s="182" t="e">
        <f t="shared" si="45"/>
        <v>#N/A</v>
      </c>
      <c r="AF77" s="181" t="e">
        <f>HLOOKUP($AF$3,VaR_Calculo_Historico!$C$2:$FZS$104,B77+1,0)</f>
        <v>#N/A</v>
      </c>
      <c r="AG77" s="182" t="e">
        <f t="shared" si="46"/>
        <v>#N/A</v>
      </c>
      <c r="AH77" s="181" t="e">
        <f>HLOOKUP($AH$3,VaR_Calculo_Historico!$C$2:$FS$104,B77+1,0)</f>
        <v>#N/A</v>
      </c>
      <c r="AI77" s="182" t="e">
        <f t="shared" si="47"/>
        <v>#N/A</v>
      </c>
      <c r="AJ77" s="181" t="e">
        <f>HLOOKUP($AJ$3,VaR_Calculo_Historico!$C$2:$ET$103,B77+1,0)</f>
        <v>#N/A</v>
      </c>
      <c r="AK77" s="182" t="e">
        <f t="shared" si="48"/>
        <v>#N/A</v>
      </c>
      <c r="AL77" s="181" t="e">
        <f>HLOOKUP($AL$3,VaR_Calculo_Historico!$C$2:$ET$103,B77+1,0)</f>
        <v>#N/A</v>
      </c>
      <c r="AM77" s="182" t="e">
        <f t="shared" si="49"/>
        <v>#N/A</v>
      </c>
      <c r="AN77" s="181" t="e">
        <f>HLOOKUP($AN$3,VaR_Calculo_Historico!$C$2:$ET$103,B77+1,0)</f>
        <v>#N/A</v>
      </c>
      <c r="AO77" s="182" t="e">
        <f t="shared" si="50"/>
        <v>#N/A</v>
      </c>
      <c r="AP77" s="181" t="e">
        <f>HLOOKUP($AP$3,VaR_Calculo_Historico!$C$2:$ET$103,B77+1,0)</f>
        <v>#N/A</v>
      </c>
      <c r="AQ77" s="182" t="e">
        <f t="shared" si="51"/>
        <v>#N/A</v>
      </c>
      <c r="AR77" s="181" t="e">
        <f>HLOOKUP($AR$3,VaR_Calculo_Historico!$C$2:$ET$103,B77+1,0)</f>
        <v>#N/A</v>
      </c>
      <c r="AS77" s="182" t="e">
        <f t="shared" si="52"/>
        <v>#N/A</v>
      </c>
      <c r="AT77" s="181" t="e">
        <f>HLOOKUP($AT$3,VaR_Calculo_Historico!$C$2:$ET$103,B77+1,0)</f>
        <v>#N/A</v>
      </c>
      <c r="AU77" s="182" t="e">
        <f t="shared" si="53"/>
        <v>#N/A</v>
      </c>
      <c r="AV77" s="181" t="e">
        <f>HLOOKUP($AV$3,VaR_Calculo_Historico!$C$2:$ET$103,B77+1,0)</f>
        <v>#N/A</v>
      </c>
      <c r="AW77" s="223" t="e">
        <f t="shared" si="54"/>
        <v>#N/A</v>
      </c>
      <c r="AX77" s="181" t="e">
        <f>HLOOKUP($AX$3,VaR_Calculo_Historico!$C$2:$ET$103,B77+1,0)</f>
        <v>#N/A</v>
      </c>
      <c r="AY77" s="182" t="e">
        <f t="shared" si="55"/>
        <v>#N/A</v>
      </c>
      <c r="AZ77" s="181" t="e">
        <f>HLOOKUP($AZ$3,VaR_Calculo_Historico!$C$2:$ET$103,B77+1,0)</f>
        <v>#N/A</v>
      </c>
      <c r="BA77" s="182" t="e">
        <f t="shared" si="56"/>
        <v>#N/A</v>
      </c>
      <c r="BB77" s="181" t="e">
        <f>HLOOKUP($BB$3,VaR_Calculo_Historico!$C$2:$ET$103,B77+1,0)</f>
        <v>#N/A</v>
      </c>
      <c r="BC77" s="182" t="e">
        <f t="shared" si="57"/>
        <v>#N/A</v>
      </c>
      <c r="BD77" s="181" t="e">
        <f>HLOOKUP($BD$3,VaR_Calculo_Historico!$C$2:$ET$103,B77+1,0)</f>
        <v>#N/A</v>
      </c>
      <c r="BE77" s="182" t="e">
        <f t="shared" si="58"/>
        <v>#N/A</v>
      </c>
      <c r="BF77" s="181" t="e">
        <f>HLOOKUP($BF$3,VaR_Calculo_Historico!$C$2:$ET$103,B77+1,0)</f>
        <v>#N/A</v>
      </c>
      <c r="BG77" s="182" t="e">
        <f t="shared" si="59"/>
        <v>#N/A</v>
      </c>
      <c r="BH77" s="181" t="e">
        <f>HLOOKUP($BH$3,VaR_Calculo_Historico!$C$2:$ET$103,B77+1,0)</f>
        <v>#N/A</v>
      </c>
      <c r="BI77" s="223" t="e">
        <f t="shared" si="60"/>
        <v>#N/A</v>
      </c>
      <c r="BJ77" s="181" t="e">
        <f>HLOOKUP($BJ$3,VaR_Calculo_Historico!$C$2:$ET$103,B77+1,0)</f>
        <v>#N/A</v>
      </c>
      <c r="BK77" s="223" t="e">
        <f t="shared" si="61"/>
        <v>#N/A</v>
      </c>
      <c r="BL77" s="181" t="e">
        <f>HLOOKUP($BL$3,VaR_Calculo_Historico!$C$2:$ET$103,B77+1,0)</f>
        <v>#N/A</v>
      </c>
      <c r="BM77" s="223" t="e">
        <f t="shared" si="62"/>
        <v>#N/A</v>
      </c>
      <c r="BN77" s="181" t="e">
        <f>HLOOKUP($BN$3,VaR_Calculo_Historico!$C$2:$EY$103,B77+1,0)</f>
        <v>#N/A</v>
      </c>
      <c r="BO77" s="223" t="e">
        <f t="shared" si="63"/>
        <v>#N/A</v>
      </c>
    </row>
    <row r="78" spans="2:67" x14ac:dyDescent="0.3">
      <c r="B78" s="166">
        <v>74</v>
      </c>
      <c r="C78" s="208">
        <f>VaR_Calculo_Historico!B75</f>
        <v>42419</v>
      </c>
      <c r="D78" s="181">
        <f>HLOOKUP($D$3,VaR_Calculo_Historico!$C$2:$ET$103,B78+1,0)</f>
        <v>3.4460132909999999</v>
      </c>
      <c r="E78" s="182">
        <f t="shared" si="32"/>
        <v>3.5906063546208081E-3</v>
      </c>
      <c r="F78" s="181">
        <f>HLOOKUP($F$3,VaR_Calculo_Historico!$C$2:$ET$103,B78+1,0)</f>
        <v>1.6230599999999999</v>
      </c>
      <c r="G78" s="182">
        <f t="shared" si="33"/>
        <v>4.7514151143981297E-4</v>
      </c>
      <c r="H78" s="181">
        <f>HLOOKUP($H$3,VaR_Calculo_Historico!$C$2:$ET$103,B78+1,0)</f>
        <v>1.1373693469999999</v>
      </c>
      <c r="I78" s="182">
        <f t="shared" si="34"/>
        <v>1.9844423799719618E-4</v>
      </c>
      <c r="J78" s="181">
        <f>HLOOKUP($J$3,VaR_Calculo_Historico!$C$2:$ET$103,B78+1,0)</f>
        <v>1.8706480000000001</v>
      </c>
      <c r="K78" s="182">
        <f t="shared" si="35"/>
        <v>7.0802672068691688E-4</v>
      </c>
      <c r="L78" s="181">
        <f>HLOOKUP($L$3,VaR_Calculo_Historico!$C$2:$ET$103,B78+1,0)</f>
        <v>1.074476</v>
      </c>
      <c r="M78" s="182">
        <f t="shared" si="36"/>
        <v>3.825852101618936E-4</v>
      </c>
      <c r="N78" s="181">
        <f>HLOOKUP($N$3,VaR_Calculo_Historico!$C$2:$ET$103,B78+1,0)</f>
        <v>2.6406770000000002</v>
      </c>
      <c r="O78" s="182">
        <f t="shared" si="37"/>
        <v>5.178043167696182E-4</v>
      </c>
      <c r="P78" s="181">
        <f>HLOOKUP($P$3,VaR_Calculo_Historico!$C$2:$ET$103,B78+1,0)</f>
        <v>1.786419</v>
      </c>
      <c r="Q78" s="182">
        <f t="shared" si="38"/>
        <v>7.1061208863698946E-4</v>
      </c>
      <c r="R78" s="181">
        <f>HLOOKUP($R$3,VaR_Calculo_Historico!$C$2:$ET$103,B78+1,0)</f>
        <v>1.3135220000000001</v>
      </c>
      <c r="S78" s="182">
        <f t="shared" si="39"/>
        <v>5.3671618256528738E-3</v>
      </c>
      <c r="T78" s="181" t="e">
        <f>HLOOKUP($T$3,VaR_Calculo_Historico!$C$2:$ET$103,B78+1,0)</f>
        <v>#N/A</v>
      </c>
      <c r="U78" s="182" t="e">
        <f t="shared" si="40"/>
        <v>#N/A</v>
      </c>
      <c r="V78" s="181" t="e">
        <f>HLOOKUP($V$3,VaR_Calculo_Historico!$C$2:$ET$103,B78+1,0)</f>
        <v>#N/A</v>
      </c>
      <c r="W78" s="182" t="e">
        <f t="shared" si="41"/>
        <v>#N/A</v>
      </c>
      <c r="X78" s="181" t="e">
        <f>HLOOKUP($X$3,VaR_Calculo_Historico!$C$2:$ET$103,B78+1,0)</f>
        <v>#N/A</v>
      </c>
      <c r="Y78" s="182" t="e">
        <f t="shared" si="42"/>
        <v>#N/A</v>
      </c>
      <c r="Z78" s="181" t="e">
        <f>HLOOKUP($Z$3,VaR_Calculo_Historico!$C$2:$ET$103,B78+1,0)</f>
        <v>#N/A</v>
      </c>
      <c r="AA78" s="182" t="e">
        <f t="shared" si="43"/>
        <v>#N/A</v>
      </c>
      <c r="AB78" s="181" t="e">
        <f>HLOOKUP($AB$3,VaR_Calculo_Historico!$C$2:$ET$103,B78+1,0)</f>
        <v>#N/A</v>
      </c>
      <c r="AC78" s="182" t="e">
        <f t="shared" si="44"/>
        <v>#N/A</v>
      </c>
      <c r="AD78" s="181" t="e">
        <f>HLOOKUP($AD$3,VaR_Calculo_Historico!$C$2:$ET$103,B78+1,0)</f>
        <v>#N/A</v>
      </c>
      <c r="AE78" s="182" t="e">
        <f t="shared" si="45"/>
        <v>#N/A</v>
      </c>
      <c r="AF78" s="181" t="e">
        <f>HLOOKUP($AF$3,VaR_Calculo_Historico!$C$2:$FZS$104,B78+1,0)</f>
        <v>#N/A</v>
      </c>
      <c r="AG78" s="182" t="e">
        <f t="shared" si="46"/>
        <v>#N/A</v>
      </c>
      <c r="AH78" s="181" t="e">
        <f>HLOOKUP($AH$3,VaR_Calculo_Historico!$C$2:$FS$104,B78+1,0)</f>
        <v>#N/A</v>
      </c>
      <c r="AI78" s="182" t="e">
        <f t="shared" si="47"/>
        <v>#N/A</v>
      </c>
      <c r="AJ78" s="181" t="e">
        <f>HLOOKUP($AJ$3,VaR_Calculo_Historico!$C$2:$ET$103,B78+1,0)</f>
        <v>#N/A</v>
      </c>
      <c r="AK78" s="182" t="e">
        <f t="shared" si="48"/>
        <v>#N/A</v>
      </c>
      <c r="AL78" s="181" t="e">
        <f>HLOOKUP($AL$3,VaR_Calculo_Historico!$C$2:$ET$103,B78+1,0)</f>
        <v>#N/A</v>
      </c>
      <c r="AM78" s="182" t="e">
        <f t="shared" si="49"/>
        <v>#N/A</v>
      </c>
      <c r="AN78" s="181" t="e">
        <f>HLOOKUP($AN$3,VaR_Calculo_Historico!$C$2:$ET$103,B78+1,0)</f>
        <v>#N/A</v>
      </c>
      <c r="AO78" s="182" t="e">
        <f t="shared" si="50"/>
        <v>#N/A</v>
      </c>
      <c r="AP78" s="181" t="e">
        <f>HLOOKUP($AP$3,VaR_Calculo_Historico!$C$2:$ET$103,B78+1,0)</f>
        <v>#N/A</v>
      </c>
      <c r="AQ78" s="182" t="e">
        <f t="shared" si="51"/>
        <v>#N/A</v>
      </c>
      <c r="AR78" s="181" t="e">
        <f>HLOOKUP($AR$3,VaR_Calculo_Historico!$C$2:$ET$103,B78+1,0)</f>
        <v>#N/A</v>
      </c>
      <c r="AS78" s="182" t="e">
        <f t="shared" si="52"/>
        <v>#N/A</v>
      </c>
      <c r="AT78" s="181" t="e">
        <f>HLOOKUP($AT$3,VaR_Calculo_Historico!$C$2:$ET$103,B78+1,0)</f>
        <v>#N/A</v>
      </c>
      <c r="AU78" s="182" t="e">
        <f t="shared" si="53"/>
        <v>#N/A</v>
      </c>
      <c r="AV78" s="181" t="e">
        <f>HLOOKUP($AV$3,VaR_Calculo_Historico!$C$2:$ET$103,B78+1,0)</f>
        <v>#N/A</v>
      </c>
      <c r="AW78" s="223" t="e">
        <f t="shared" si="54"/>
        <v>#N/A</v>
      </c>
      <c r="AX78" s="181" t="e">
        <f>HLOOKUP($AX$3,VaR_Calculo_Historico!$C$2:$ET$103,B78+1,0)</f>
        <v>#N/A</v>
      </c>
      <c r="AY78" s="182" t="e">
        <f t="shared" si="55"/>
        <v>#N/A</v>
      </c>
      <c r="AZ78" s="181" t="e">
        <f>HLOOKUP($AZ$3,VaR_Calculo_Historico!$C$2:$ET$103,B78+1,0)</f>
        <v>#N/A</v>
      </c>
      <c r="BA78" s="182" t="e">
        <f t="shared" si="56"/>
        <v>#N/A</v>
      </c>
      <c r="BB78" s="181" t="e">
        <f>HLOOKUP($BB$3,VaR_Calculo_Historico!$C$2:$ET$103,B78+1,0)</f>
        <v>#N/A</v>
      </c>
      <c r="BC78" s="182" t="e">
        <f t="shared" si="57"/>
        <v>#N/A</v>
      </c>
      <c r="BD78" s="181" t="e">
        <f>HLOOKUP($BD$3,VaR_Calculo_Historico!$C$2:$ET$103,B78+1,0)</f>
        <v>#N/A</v>
      </c>
      <c r="BE78" s="182" t="e">
        <f t="shared" si="58"/>
        <v>#N/A</v>
      </c>
      <c r="BF78" s="181" t="e">
        <f>HLOOKUP($BF$3,VaR_Calculo_Historico!$C$2:$ET$103,B78+1,0)</f>
        <v>#N/A</v>
      </c>
      <c r="BG78" s="182" t="e">
        <f t="shared" si="59"/>
        <v>#N/A</v>
      </c>
      <c r="BH78" s="181" t="e">
        <f>HLOOKUP($BH$3,VaR_Calculo_Historico!$C$2:$ET$103,B78+1,0)</f>
        <v>#N/A</v>
      </c>
      <c r="BI78" s="223" t="e">
        <f t="shared" si="60"/>
        <v>#N/A</v>
      </c>
      <c r="BJ78" s="181" t="e">
        <f>HLOOKUP($BJ$3,VaR_Calculo_Historico!$C$2:$ET$103,B78+1,0)</f>
        <v>#N/A</v>
      </c>
      <c r="BK78" s="223" t="e">
        <f t="shared" si="61"/>
        <v>#N/A</v>
      </c>
      <c r="BL78" s="181" t="e">
        <f>HLOOKUP($BL$3,VaR_Calculo_Historico!$C$2:$ET$103,B78+1,0)</f>
        <v>#N/A</v>
      </c>
      <c r="BM78" s="223" t="e">
        <f t="shared" si="62"/>
        <v>#N/A</v>
      </c>
      <c r="BN78" s="181" t="e">
        <f>HLOOKUP($BN$3,VaR_Calculo_Historico!$C$2:$EY$103,B78+1,0)</f>
        <v>#N/A</v>
      </c>
      <c r="BO78" s="223" t="e">
        <f t="shared" si="63"/>
        <v>#N/A</v>
      </c>
    </row>
    <row r="79" spans="2:67" x14ac:dyDescent="0.3">
      <c r="B79" s="166">
        <v>75</v>
      </c>
      <c r="C79" s="208">
        <f>VaR_Calculo_Historico!B76</f>
        <v>42422</v>
      </c>
      <c r="D79" s="181">
        <f>HLOOKUP($D$3,VaR_Calculo_Historico!$C$2:$ET$103,B79+1,0)</f>
        <v>3.441900698</v>
      </c>
      <c r="E79" s="182">
        <f t="shared" si="32"/>
        <v>-1.1941477478600781E-3</v>
      </c>
      <c r="F79" s="181">
        <f>HLOOKUP($F$3,VaR_Calculo_Historico!$C$2:$ET$103,B79+1,0)</f>
        <v>1.6238600000000001</v>
      </c>
      <c r="G79" s="182">
        <f t="shared" si="33"/>
        <v>4.92774701063508E-4</v>
      </c>
      <c r="H79" s="181">
        <f>HLOOKUP($H$3,VaR_Calculo_Historico!$C$2:$ET$103,B79+1,0)</f>
        <v>1.1374098479999999</v>
      </c>
      <c r="I79" s="182">
        <f t="shared" si="34"/>
        <v>3.5608730810683605E-5</v>
      </c>
      <c r="J79" s="181">
        <f>HLOOKUP($J$3,VaR_Calculo_Historico!$C$2:$ET$103,B79+1,0)</f>
        <v>1.871402</v>
      </c>
      <c r="K79" s="182">
        <f t="shared" si="35"/>
        <v>4.0298767264156072E-4</v>
      </c>
      <c r="L79" s="181">
        <f>HLOOKUP($L$3,VaR_Calculo_Historico!$C$2:$ET$103,B79+1,0)</f>
        <v>1.0745549999999999</v>
      </c>
      <c r="M79" s="182">
        <f t="shared" si="36"/>
        <v>7.3521508098831905E-5</v>
      </c>
      <c r="N79" s="181">
        <f>HLOOKUP($N$3,VaR_Calculo_Historico!$C$2:$ET$103,B79+1,0)</f>
        <v>2.6420599999999999</v>
      </c>
      <c r="O79" s="182">
        <f t="shared" si="37"/>
        <v>5.2359223319105937E-4</v>
      </c>
      <c r="P79" s="181">
        <f>HLOOKUP($P$3,VaR_Calculo_Historico!$C$2:$ET$103,B79+1,0)</f>
        <v>1.787145</v>
      </c>
      <c r="Q79" s="182">
        <f t="shared" si="38"/>
        <v>4.0631706049666243E-4</v>
      </c>
      <c r="R79" s="181">
        <f>HLOOKUP($R$3,VaR_Calculo_Historico!$C$2:$ET$103,B79+1,0)</f>
        <v>1.310252</v>
      </c>
      <c r="S79" s="182">
        <f t="shared" si="39"/>
        <v>-2.4925940214738308E-3</v>
      </c>
      <c r="T79" s="181" t="e">
        <f>HLOOKUP($T$3,VaR_Calculo_Historico!$C$2:$ET$103,B79+1,0)</f>
        <v>#N/A</v>
      </c>
      <c r="U79" s="182" t="e">
        <f t="shared" si="40"/>
        <v>#N/A</v>
      </c>
      <c r="V79" s="181" t="e">
        <f>HLOOKUP($V$3,VaR_Calculo_Historico!$C$2:$ET$103,B79+1,0)</f>
        <v>#N/A</v>
      </c>
      <c r="W79" s="182" t="e">
        <f t="shared" si="41"/>
        <v>#N/A</v>
      </c>
      <c r="X79" s="181" t="e">
        <f>HLOOKUP($X$3,VaR_Calculo_Historico!$C$2:$ET$103,B79+1,0)</f>
        <v>#N/A</v>
      </c>
      <c r="Y79" s="182" t="e">
        <f t="shared" si="42"/>
        <v>#N/A</v>
      </c>
      <c r="Z79" s="181" t="e">
        <f>HLOOKUP($Z$3,VaR_Calculo_Historico!$C$2:$ET$103,B79+1,0)</f>
        <v>#N/A</v>
      </c>
      <c r="AA79" s="182" t="e">
        <f t="shared" si="43"/>
        <v>#N/A</v>
      </c>
      <c r="AB79" s="181" t="e">
        <f>HLOOKUP($AB$3,VaR_Calculo_Historico!$C$2:$ET$103,B79+1,0)</f>
        <v>#N/A</v>
      </c>
      <c r="AC79" s="182" t="e">
        <f t="shared" si="44"/>
        <v>#N/A</v>
      </c>
      <c r="AD79" s="181" t="e">
        <f>HLOOKUP($AD$3,VaR_Calculo_Historico!$C$2:$ET$103,B79+1,0)</f>
        <v>#N/A</v>
      </c>
      <c r="AE79" s="182" t="e">
        <f t="shared" si="45"/>
        <v>#N/A</v>
      </c>
      <c r="AF79" s="181" t="e">
        <f>HLOOKUP($AF$3,VaR_Calculo_Historico!$C$2:$FZS$104,B79+1,0)</f>
        <v>#N/A</v>
      </c>
      <c r="AG79" s="182" t="e">
        <f t="shared" si="46"/>
        <v>#N/A</v>
      </c>
      <c r="AH79" s="181" t="e">
        <f>HLOOKUP($AH$3,VaR_Calculo_Historico!$C$2:$FS$104,B79+1,0)</f>
        <v>#N/A</v>
      </c>
      <c r="AI79" s="182" t="e">
        <f t="shared" si="47"/>
        <v>#N/A</v>
      </c>
      <c r="AJ79" s="181" t="e">
        <f>HLOOKUP($AJ$3,VaR_Calculo_Historico!$C$2:$ET$103,B79+1,0)</f>
        <v>#N/A</v>
      </c>
      <c r="AK79" s="182" t="e">
        <f t="shared" si="48"/>
        <v>#N/A</v>
      </c>
      <c r="AL79" s="181" t="e">
        <f>HLOOKUP($AL$3,VaR_Calculo_Historico!$C$2:$ET$103,B79+1,0)</f>
        <v>#N/A</v>
      </c>
      <c r="AM79" s="182" t="e">
        <f t="shared" si="49"/>
        <v>#N/A</v>
      </c>
      <c r="AN79" s="181" t="e">
        <f>HLOOKUP($AN$3,VaR_Calculo_Historico!$C$2:$ET$103,B79+1,0)</f>
        <v>#N/A</v>
      </c>
      <c r="AO79" s="182" t="e">
        <f t="shared" si="50"/>
        <v>#N/A</v>
      </c>
      <c r="AP79" s="181" t="e">
        <f>HLOOKUP($AP$3,VaR_Calculo_Historico!$C$2:$ET$103,B79+1,0)</f>
        <v>#N/A</v>
      </c>
      <c r="AQ79" s="182" t="e">
        <f t="shared" si="51"/>
        <v>#N/A</v>
      </c>
      <c r="AR79" s="181" t="e">
        <f>HLOOKUP($AR$3,VaR_Calculo_Historico!$C$2:$ET$103,B79+1,0)</f>
        <v>#N/A</v>
      </c>
      <c r="AS79" s="182" t="e">
        <f t="shared" si="52"/>
        <v>#N/A</v>
      </c>
      <c r="AT79" s="181" t="e">
        <f>HLOOKUP($AT$3,VaR_Calculo_Historico!$C$2:$ET$103,B79+1,0)</f>
        <v>#N/A</v>
      </c>
      <c r="AU79" s="182" t="e">
        <f t="shared" si="53"/>
        <v>#N/A</v>
      </c>
      <c r="AV79" s="181" t="e">
        <f>HLOOKUP($AV$3,VaR_Calculo_Historico!$C$2:$ET$103,B79+1,0)</f>
        <v>#N/A</v>
      </c>
      <c r="AW79" s="223" t="e">
        <f t="shared" si="54"/>
        <v>#N/A</v>
      </c>
      <c r="AX79" s="181" t="e">
        <f>HLOOKUP($AX$3,VaR_Calculo_Historico!$C$2:$ET$103,B79+1,0)</f>
        <v>#N/A</v>
      </c>
      <c r="AY79" s="182" t="e">
        <f t="shared" si="55"/>
        <v>#N/A</v>
      </c>
      <c r="AZ79" s="181" t="e">
        <f>HLOOKUP($AZ$3,VaR_Calculo_Historico!$C$2:$ET$103,B79+1,0)</f>
        <v>#N/A</v>
      </c>
      <c r="BA79" s="182" t="e">
        <f t="shared" si="56"/>
        <v>#N/A</v>
      </c>
      <c r="BB79" s="181" t="e">
        <f>HLOOKUP($BB$3,VaR_Calculo_Historico!$C$2:$ET$103,B79+1,0)</f>
        <v>#N/A</v>
      </c>
      <c r="BC79" s="182" t="e">
        <f t="shared" si="57"/>
        <v>#N/A</v>
      </c>
      <c r="BD79" s="181" t="e">
        <f>HLOOKUP($BD$3,VaR_Calculo_Historico!$C$2:$ET$103,B79+1,0)</f>
        <v>#N/A</v>
      </c>
      <c r="BE79" s="182" t="e">
        <f t="shared" si="58"/>
        <v>#N/A</v>
      </c>
      <c r="BF79" s="181" t="e">
        <f>HLOOKUP($BF$3,VaR_Calculo_Historico!$C$2:$ET$103,B79+1,0)</f>
        <v>#N/A</v>
      </c>
      <c r="BG79" s="182" t="e">
        <f t="shared" si="59"/>
        <v>#N/A</v>
      </c>
      <c r="BH79" s="181" t="e">
        <f>HLOOKUP($BH$3,VaR_Calculo_Historico!$C$2:$ET$103,B79+1,0)</f>
        <v>#N/A</v>
      </c>
      <c r="BI79" s="223" t="e">
        <f t="shared" si="60"/>
        <v>#N/A</v>
      </c>
      <c r="BJ79" s="181" t="e">
        <f>HLOOKUP($BJ$3,VaR_Calculo_Historico!$C$2:$ET$103,B79+1,0)</f>
        <v>#N/A</v>
      </c>
      <c r="BK79" s="223" t="e">
        <f t="shared" si="61"/>
        <v>#N/A</v>
      </c>
      <c r="BL79" s="181" t="e">
        <f>HLOOKUP($BL$3,VaR_Calculo_Historico!$C$2:$ET$103,B79+1,0)</f>
        <v>#N/A</v>
      </c>
      <c r="BM79" s="223" t="e">
        <f t="shared" si="62"/>
        <v>#N/A</v>
      </c>
      <c r="BN79" s="181" t="e">
        <f>HLOOKUP($BN$3,VaR_Calculo_Historico!$C$2:$EY$103,B79+1,0)</f>
        <v>#N/A</v>
      </c>
      <c r="BO79" s="223" t="e">
        <f t="shared" si="63"/>
        <v>#N/A</v>
      </c>
    </row>
    <row r="80" spans="2:67" x14ac:dyDescent="0.3">
      <c r="B80" s="166">
        <v>76</v>
      </c>
      <c r="C80" s="208">
        <f>VaR_Calculo_Historico!B77</f>
        <v>42423</v>
      </c>
      <c r="D80" s="181">
        <f>HLOOKUP($D$3,VaR_Calculo_Historico!$C$2:$ET$103,B80+1,0)</f>
        <v>3.4475154940000001</v>
      </c>
      <c r="E80" s="182">
        <f t="shared" si="32"/>
        <v>1.629977660414295E-3</v>
      </c>
      <c r="F80" s="181">
        <f>HLOOKUP($F$3,VaR_Calculo_Historico!$C$2:$ET$103,B80+1,0)</f>
        <v>1.624652</v>
      </c>
      <c r="G80" s="182">
        <f t="shared" si="33"/>
        <v>4.8760787443126539E-4</v>
      </c>
      <c r="H80" s="181">
        <f>HLOOKUP($H$3,VaR_Calculo_Historico!$C$2:$ET$103,B80+1,0)</f>
        <v>1.137603677</v>
      </c>
      <c r="I80" s="182">
        <f t="shared" si="34"/>
        <v>1.703981082652977E-4</v>
      </c>
      <c r="J80" s="181">
        <f>HLOOKUP($J$3,VaR_Calculo_Historico!$C$2:$ET$103,B80+1,0)</f>
        <v>1.87256</v>
      </c>
      <c r="K80" s="182">
        <f t="shared" si="35"/>
        <v>6.1859604180099562E-4</v>
      </c>
      <c r="L80" s="181">
        <f>HLOOKUP($L$3,VaR_Calculo_Historico!$C$2:$ET$103,B80+1,0)</f>
        <v>1.0746610000000001</v>
      </c>
      <c r="M80" s="182">
        <f t="shared" si="36"/>
        <v>9.8640620659860533E-5</v>
      </c>
      <c r="N80" s="181">
        <f>HLOOKUP($N$3,VaR_Calculo_Historico!$C$2:$ET$103,B80+1,0)</f>
        <v>2.643427</v>
      </c>
      <c r="O80" s="182">
        <f t="shared" si="37"/>
        <v>5.1726549719256125E-4</v>
      </c>
      <c r="P80" s="181">
        <f>HLOOKUP($P$3,VaR_Calculo_Historico!$C$2:$ET$103,B80+1,0)</f>
        <v>1.7882659999999999</v>
      </c>
      <c r="Q80" s="182">
        <f t="shared" si="38"/>
        <v>6.2706079761562993E-4</v>
      </c>
      <c r="R80" s="181">
        <f>HLOOKUP($R$3,VaR_Calculo_Historico!$C$2:$ET$103,B80+1,0)</f>
        <v>1.3135159999999999</v>
      </c>
      <c r="S80" s="182">
        <f t="shared" si="39"/>
        <v>2.4880261393189053E-3</v>
      </c>
      <c r="T80" s="181" t="e">
        <f>HLOOKUP($T$3,VaR_Calculo_Historico!$C$2:$ET$103,B80+1,0)</f>
        <v>#N/A</v>
      </c>
      <c r="U80" s="182" t="e">
        <f t="shared" si="40"/>
        <v>#N/A</v>
      </c>
      <c r="V80" s="181" t="e">
        <f>HLOOKUP($V$3,VaR_Calculo_Historico!$C$2:$ET$103,B80+1,0)</f>
        <v>#N/A</v>
      </c>
      <c r="W80" s="182" t="e">
        <f t="shared" si="41"/>
        <v>#N/A</v>
      </c>
      <c r="X80" s="181" t="e">
        <f>HLOOKUP($X$3,VaR_Calculo_Historico!$C$2:$ET$103,B80+1,0)</f>
        <v>#N/A</v>
      </c>
      <c r="Y80" s="182" t="e">
        <f t="shared" si="42"/>
        <v>#N/A</v>
      </c>
      <c r="Z80" s="181" t="e">
        <f>HLOOKUP($Z$3,VaR_Calculo_Historico!$C$2:$ET$103,B80+1,0)</f>
        <v>#N/A</v>
      </c>
      <c r="AA80" s="182" t="e">
        <f t="shared" si="43"/>
        <v>#N/A</v>
      </c>
      <c r="AB80" s="181" t="e">
        <f>HLOOKUP($AB$3,VaR_Calculo_Historico!$C$2:$ET$103,B80+1,0)</f>
        <v>#N/A</v>
      </c>
      <c r="AC80" s="182" t="e">
        <f t="shared" si="44"/>
        <v>#N/A</v>
      </c>
      <c r="AD80" s="181" t="e">
        <f>HLOOKUP($AD$3,VaR_Calculo_Historico!$C$2:$ET$103,B80+1,0)</f>
        <v>#N/A</v>
      </c>
      <c r="AE80" s="182" t="e">
        <f t="shared" si="45"/>
        <v>#N/A</v>
      </c>
      <c r="AF80" s="181" t="e">
        <f>HLOOKUP($AF$3,VaR_Calculo_Historico!$C$2:$FZS$104,B80+1,0)</f>
        <v>#N/A</v>
      </c>
      <c r="AG80" s="182" t="e">
        <f t="shared" si="46"/>
        <v>#N/A</v>
      </c>
      <c r="AH80" s="181" t="e">
        <f>HLOOKUP($AH$3,VaR_Calculo_Historico!$C$2:$FS$104,B80+1,0)</f>
        <v>#N/A</v>
      </c>
      <c r="AI80" s="182" t="e">
        <f t="shared" si="47"/>
        <v>#N/A</v>
      </c>
      <c r="AJ80" s="181" t="e">
        <f>HLOOKUP($AJ$3,VaR_Calculo_Historico!$C$2:$ET$103,B80+1,0)</f>
        <v>#N/A</v>
      </c>
      <c r="AK80" s="182" t="e">
        <f t="shared" si="48"/>
        <v>#N/A</v>
      </c>
      <c r="AL80" s="181" t="e">
        <f>HLOOKUP($AL$3,VaR_Calculo_Historico!$C$2:$ET$103,B80+1,0)</f>
        <v>#N/A</v>
      </c>
      <c r="AM80" s="182" t="e">
        <f t="shared" si="49"/>
        <v>#N/A</v>
      </c>
      <c r="AN80" s="181" t="e">
        <f>HLOOKUP($AN$3,VaR_Calculo_Historico!$C$2:$ET$103,B80+1,0)</f>
        <v>#N/A</v>
      </c>
      <c r="AO80" s="182" t="e">
        <f t="shared" si="50"/>
        <v>#N/A</v>
      </c>
      <c r="AP80" s="181" t="e">
        <f>HLOOKUP($AP$3,VaR_Calculo_Historico!$C$2:$ET$103,B80+1,0)</f>
        <v>#N/A</v>
      </c>
      <c r="AQ80" s="182" t="e">
        <f t="shared" si="51"/>
        <v>#N/A</v>
      </c>
      <c r="AR80" s="181" t="e">
        <f>HLOOKUP($AR$3,VaR_Calculo_Historico!$C$2:$ET$103,B80+1,0)</f>
        <v>#N/A</v>
      </c>
      <c r="AS80" s="182" t="e">
        <f t="shared" si="52"/>
        <v>#N/A</v>
      </c>
      <c r="AT80" s="181" t="e">
        <f>HLOOKUP($AT$3,VaR_Calculo_Historico!$C$2:$ET$103,B80+1,0)</f>
        <v>#N/A</v>
      </c>
      <c r="AU80" s="182" t="e">
        <f t="shared" si="53"/>
        <v>#N/A</v>
      </c>
      <c r="AV80" s="181" t="e">
        <f>HLOOKUP($AV$3,VaR_Calculo_Historico!$C$2:$ET$103,B80+1,0)</f>
        <v>#N/A</v>
      </c>
      <c r="AW80" s="223" t="e">
        <f t="shared" si="54"/>
        <v>#N/A</v>
      </c>
      <c r="AX80" s="181" t="e">
        <f>HLOOKUP($AX$3,VaR_Calculo_Historico!$C$2:$ET$103,B80+1,0)</f>
        <v>#N/A</v>
      </c>
      <c r="AY80" s="182" t="e">
        <f t="shared" si="55"/>
        <v>#N/A</v>
      </c>
      <c r="AZ80" s="181" t="e">
        <f>HLOOKUP($AZ$3,VaR_Calculo_Historico!$C$2:$ET$103,B80+1,0)</f>
        <v>#N/A</v>
      </c>
      <c r="BA80" s="182" t="e">
        <f t="shared" si="56"/>
        <v>#N/A</v>
      </c>
      <c r="BB80" s="181" t="e">
        <f>HLOOKUP($BB$3,VaR_Calculo_Historico!$C$2:$ET$103,B80+1,0)</f>
        <v>#N/A</v>
      </c>
      <c r="BC80" s="182" t="e">
        <f t="shared" si="57"/>
        <v>#N/A</v>
      </c>
      <c r="BD80" s="181" t="e">
        <f>HLOOKUP($BD$3,VaR_Calculo_Historico!$C$2:$ET$103,B80+1,0)</f>
        <v>#N/A</v>
      </c>
      <c r="BE80" s="182" t="e">
        <f t="shared" si="58"/>
        <v>#N/A</v>
      </c>
      <c r="BF80" s="181" t="e">
        <f>HLOOKUP($BF$3,VaR_Calculo_Historico!$C$2:$ET$103,B80+1,0)</f>
        <v>#N/A</v>
      </c>
      <c r="BG80" s="182" t="e">
        <f t="shared" si="59"/>
        <v>#N/A</v>
      </c>
      <c r="BH80" s="181" t="e">
        <f>HLOOKUP($BH$3,VaR_Calculo_Historico!$C$2:$ET$103,B80+1,0)</f>
        <v>#N/A</v>
      </c>
      <c r="BI80" s="223" t="e">
        <f t="shared" si="60"/>
        <v>#N/A</v>
      </c>
      <c r="BJ80" s="181" t="e">
        <f>HLOOKUP($BJ$3,VaR_Calculo_Historico!$C$2:$ET$103,B80+1,0)</f>
        <v>#N/A</v>
      </c>
      <c r="BK80" s="223" t="e">
        <f t="shared" si="61"/>
        <v>#N/A</v>
      </c>
      <c r="BL80" s="181" t="e">
        <f>HLOOKUP($BL$3,VaR_Calculo_Historico!$C$2:$ET$103,B80+1,0)</f>
        <v>#N/A</v>
      </c>
      <c r="BM80" s="223" t="e">
        <f t="shared" si="62"/>
        <v>#N/A</v>
      </c>
      <c r="BN80" s="181" t="e">
        <f>HLOOKUP($BN$3,VaR_Calculo_Historico!$C$2:$EY$103,B80+1,0)</f>
        <v>#N/A</v>
      </c>
      <c r="BO80" s="223" t="e">
        <f t="shared" si="63"/>
        <v>#N/A</v>
      </c>
    </row>
    <row r="81" spans="2:67" x14ac:dyDescent="0.3">
      <c r="B81" s="166">
        <v>77</v>
      </c>
      <c r="C81" s="208">
        <f>VaR_Calculo_Historico!B78</f>
        <v>42424</v>
      </c>
      <c r="D81" s="181">
        <f>HLOOKUP($D$3,VaR_Calculo_Historico!$C$2:$ET$103,B81+1,0)</f>
        <v>3.4413277039999999</v>
      </c>
      <c r="E81" s="182">
        <f t="shared" si="32"/>
        <v>-1.7964675595893752E-3</v>
      </c>
      <c r="F81" s="181">
        <f>HLOOKUP($F$3,VaR_Calculo_Historico!$C$2:$ET$103,B81+1,0)</f>
        <v>1.625459</v>
      </c>
      <c r="G81" s="182">
        <f t="shared" si="33"/>
        <v>4.9659843407474957E-4</v>
      </c>
      <c r="H81" s="181">
        <f>HLOOKUP($H$3,VaR_Calculo_Historico!$C$2:$ET$103,B81+1,0)</f>
        <v>1.138532104</v>
      </c>
      <c r="I81" s="182">
        <f t="shared" si="34"/>
        <v>8.1579232595919797E-4</v>
      </c>
      <c r="J81" s="181">
        <f>HLOOKUP($J$3,VaR_Calculo_Historico!$C$2:$ET$103,B81+1,0)</f>
        <v>1.873273</v>
      </c>
      <c r="K81" s="182">
        <f t="shared" si="35"/>
        <v>3.8068969364661988E-4</v>
      </c>
      <c r="L81" s="181">
        <f>HLOOKUP($L$3,VaR_Calculo_Historico!$C$2:$ET$103,B81+1,0)</f>
        <v>1.0755440000000001</v>
      </c>
      <c r="M81" s="182">
        <f t="shared" si="36"/>
        <v>8.2131708338176808E-4</v>
      </c>
      <c r="N81" s="181">
        <f>HLOOKUP($N$3,VaR_Calculo_Historico!$C$2:$ET$103,B81+1,0)</f>
        <v>2.6448160000000001</v>
      </c>
      <c r="O81" s="182">
        <f t="shared" si="37"/>
        <v>5.2531626551284474E-4</v>
      </c>
      <c r="P81" s="181">
        <f>HLOOKUP($P$3,VaR_Calculo_Historico!$C$2:$ET$103,B81+1,0)</f>
        <v>1.7889429999999999</v>
      </c>
      <c r="Q81" s="182">
        <f t="shared" si="38"/>
        <v>3.7850738275711906E-4</v>
      </c>
      <c r="R81" s="181">
        <f>HLOOKUP($R$3,VaR_Calculo_Historico!$C$2:$ET$103,B81+1,0)</f>
        <v>1.3092079999999999</v>
      </c>
      <c r="S81" s="182">
        <f t="shared" si="39"/>
        <v>-3.2851370364340698E-3</v>
      </c>
      <c r="T81" s="181" t="e">
        <f>HLOOKUP($T$3,VaR_Calculo_Historico!$C$2:$ET$103,B81+1,0)</f>
        <v>#N/A</v>
      </c>
      <c r="U81" s="182" t="e">
        <f t="shared" si="40"/>
        <v>#N/A</v>
      </c>
      <c r="V81" s="181" t="e">
        <f>HLOOKUP($V$3,VaR_Calculo_Historico!$C$2:$ET$103,B81+1,0)</f>
        <v>#N/A</v>
      </c>
      <c r="W81" s="182" t="e">
        <f t="shared" si="41"/>
        <v>#N/A</v>
      </c>
      <c r="X81" s="181" t="e">
        <f>HLOOKUP($X$3,VaR_Calculo_Historico!$C$2:$ET$103,B81+1,0)</f>
        <v>#N/A</v>
      </c>
      <c r="Y81" s="182" t="e">
        <f t="shared" si="42"/>
        <v>#N/A</v>
      </c>
      <c r="Z81" s="181" t="e">
        <f>HLOOKUP($Z$3,VaR_Calculo_Historico!$C$2:$ET$103,B81+1,0)</f>
        <v>#N/A</v>
      </c>
      <c r="AA81" s="182" t="e">
        <f t="shared" si="43"/>
        <v>#N/A</v>
      </c>
      <c r="AB81" s="181" t="e">
        <f>HLOOKUP($AB$3,VaR_Calculo_Historico!$C$2:$ET$103,B81+1,0)</f>
        <v>#N/A</v>
      </c>
      <c r="AC81" s="182" t="e">
        <f t="shared" si="44"/>
        <v>#N/A</v>
      </c>
      <c r="AD81" s="181" t="e">
        <f>HLOOKUP($AD$3,VaR_Calculo_Historico!$C$2:$ET$103,B81+1,0)</f>
        <v>#N/A</v>
      </c>
      <c r="AE81" s="182" t="e">
        <f t="shared" si="45"/>
        <v>#N/A</v>
      </c>
      <c r="AF81" s="181" t="e">
        <f>HLOOKUP($AF$3,VaR_Calculo_Historico!$C$2:$FZS$104,B81+1,0)</f>
        <v>#N/A</v>
      </c>
      <c r="AG81" s="182" t="e">
        <f t="shared" si="46"/>
        <v>#N/A</v>
      </c>
      <c r="AH81" s="181" t="e">
        <f>HLOOKUP($AH$3,VaR_Calculo_Historico!$C$2:$FS$104,B81+1,0)</f>
        <v>#N/A</v>
      </c>
      <c r="AI81" s="182" t="e">
        <f t="shared" si="47"/>
        <v>#N/A</v>
      </c>
      <c r="AJ81" s="181" t="e">
        <f>HLOOKUP($AJ$3,VaR_Calculo_Historico!$C$2:$ET$103,B81+1,0)</f>
        <v>#N/A</v>
      </c>
      <c r="AK81" s="182" t="e">
        <f t="shared" si="48"/>
        <v>#N/A</v>
      </c>
      <c r="AL81" s="181" t="e">
        <f>HLOOKUP($AL$3,VaR_Calculo_Historico!$C$2:$ET$103,B81+1,0)</f>
        <v>#N/A</v>
      </c>
      <c r="AM81" s="182" t="e">
        <f t="shared" si="49"/>
        <v>#N/A</v>
      </c>
      <c r="AN81" s="181" t="e">
        <f>HLOOKUP($AN$3,VaR_Calculo_Historico!$C$2:$ET$103,B81+1,0)</f>
        <v>#N/A</v>
      </c>
      <c r="AO81" s="182" t="e">
        <f t="shared" si="50"/>
        <v>#N/A</v>
      </c>
      <c r="AP81" s="181" t="e">
        <f>HLOOKUP($AP$3,VaR_Calculo_Historico!$C$2:$ET$103,B81+1,0)</f>
        <v>#N/A</v>
      </c>
      <c r="AQ81" s="182" t="e">
        <f t="shared" si="51"/>
        <v>#N/A</v>
      </c>
      <c r="AR81" s="181" t="e">
        <f>HLOOKUP($AR$3,VaR_Calculo_Historico!$C$2:$ET$103,B81+1,0)</f>
        <v>#N/A</v>
      </c>
      <c r="AS81" s="182" t="e">
        <f t="shared" si="52"/>
        <v>#N/A</v>
      </c>
      <c r="AT81" s="181" t="e">
        <f>HLOOKUP($AT$3,VaR_Calculo_Historico!$C$2:$ET$103,B81+1,0)</f>
        <v>#N/A</v>
      </c>
      <c r="AU81" s="182" t="e">
        <f t="shared" si="53"/>
        <v>#N/A</v>
      </c>
      <c r="AV81" s="181" t="e">
        <f>HLOOKUP($AV$3,VaR_Calculo_Historico!$C$2:$ET$103,B81+1,0)</f>
        <v>#N/A</v>
      </c>
      <c r="AW81" s="223" t="e">
        <f t="shared" si="54"/>
        <v>#N/A</v>
      </c>
      <c r="AX81" s="181" t="e">
        <f>HLOOKUP($AX$3,VaR_Calculo_Historico!$C$2:$ET$103,B81+1,0)</f>
        <v>#N/A</v>
      </c>
      <c r="AY81" s="182" t="e">
        <f t="shared" si="55"/>
        <v>#N/A</v>
      </c>
      <c r="AZ81" s="181" t="e">
        <f>HLOOKUP($AZ$3,VaR_Calculo_Historico!$C$2:$ET$103,B81+1,0)</f>
        <v>#N/A</v>
      </c>
      <c r="BA81" s="182" t="e">
        <f t="shared" si="56"/>
        <v>#N/A</v>
      </c>
      <c r="BB81" s="181" t="e">
        <f>HLOOKUP($BB$3,VaR_Calculo_Historico!$C$2:$ET$103,B81+1,0)</f>
        <v>#N/A</v>
      </c>
      <c r="BC81" s="182" t="e">
        <f t="shared" si="57"/>
        <v>#N/A</v>
      </c>
      <c r="BD81" s="181" t="e">
        <f>HLOOKUP($BD$3,VaR_Calculo_Historico!$C$2:$ET$103,B81+1,0)</f>
        <v>#N/A</v>
      </c>
      <c r="BE81" s="182" t="e">
        <f t="shared" si="58"/>
        <v>#N/A</v>
      </c>
      <c r="BF81" s="181" t="e">
        <f>HLOOKUP($BF$3,VaR_Calculo_Historico!$C$2:$ET$103,B81+1,0)</f>
        <v>#N/A</v>
      </c>
      <c r="BG81" s="182" t="e">
        <f t="shared" si="59"/>
        <v>#N/A</v>
      </c>
      <c r="BH81" s="181" t="e">
        <f>HLOOKUP($BH$3,VaR_Calculo_Historico!$C$2:$ET$103,B81+1,0)</f>
        <v>#N/A</v>
      </c>
      <c r="BI81" s="223" t="e">
        <f t="shared" si="60"/>
        <v>#N/A</v>
      </c>
      <c r="BJ81" s="181" t="e">
        <f>HLOOKUP($BJ$3,VaR_Calculo_Historico!$C$2:$ET$103,B81+1,0)</f>
        <v>#N/A</v>
      </c>
      <c r="BK81" s="223" t="e">
        <f t="shared" si="61"/>
        <v>#N/A</v>
      </c>
      <c r="BL81" s="181" t="e">
        <f>HLOOKUP($BL$3,VaR_Calculo_Historico!$C$2:$ET$103,B81+1,0)</f>
        <v>#N/A</v>
      </c>
      <c r="BM81" s="223" t="e">
        <f t="shared" si="62"/>
        <v>#N/A</v>
      </c>
      <c r="BN81" s="181" t="e">
        <f>HLOOKUP($BN$3,VaR_Calculo_Historico!$C$2:$EY$103,B81+1,0)</f>
        <v>#N/A</v>
      </c>
      <c r="BO81" s="223" t="e">
        <f t="shared" si="63"/>
        <v>#N/A</v>
      </c>
    </row>
    <row r="82" spans="2:67" x14ac:dyDescent="0.3">
      <c r="B82" s="166">
        <v>78</v>
      </c>
      <c r="C82" s="208">
        <f>VaR_Calculo_Historico!B79</f>
        <v>42425</v>
      </c>
      <c r="D82" s="181">
        <f>HLOOKUP($D$3,VaR_Calculo_Historico!$C$2:$ET$103,B82+1,0)</f>
        <v>3.4391640689999998</v>
      </c>
      <c r="E82" s="182">
        <f t="shared" si="32"/>
        <v>-6.2891872927083492E-4</v>
      </c>
      <c r="F82" s="181">
        <f>HLOOKUP($F$3,VaR_Calculo_Historico!$C$2:$ET$103,B82+1,0)</f>
        <v>1.626282</v>
      </c>
      <c r="G82" s="182">
        <f t="shared" si="33"/>
        <v>5.0619038697915337E-4</v>
      </c>
      <c r="H82" s="181">
        <f>HLOOKUP($H$3,VaR_Calculo_Historico!$C$2:$ET$103,B82+1,0)</f>
        <v>1.138539242</v>
      </c>
      <c r="I82" s="182">
        <f t="shared" si="34"/>
        <v>6.2694566092819098E-6</v>
      </c>
      <c r="J82" s="181">
        <f>HLOOKUP($J$3,VaR_Calculo_Historico!$C$2:$ET$103,B82+1,0)</f>
        <v>1.87415</v>
      </c>
      <c r="K82" s="182">
        <f t="shared" si="35"/>
        <v>4.680549892609971E-4</v>
      </c>
      <c r="L82" s="181">
        <f>HLOOKUP($L$3,VaR_Calculo_Historico!$C$2:$ET$103,B82+1,0)</f>
        <v>1.0757639999999999</v>
      </c>
      <c r="M82" s="182">
        <f t="shared" si="36"/>
        <v>2.0452673514612121E-4</v>
      </c>
      <c r="N82" s="181">
        <f>HLOOKUP($N$3,VaR_Calculo_Historico!$C$2:$ET$103,B82+1,0)</f>
        <v>2.6460900000000001</v>
      </c>
      <c r="O82" s="182">
        <f t="shared" si="37"/>
        <v>4.8158104665721365E-4</v>
      </c>
      <c r="P82" s="181">
        <f>HLOOKUP($P$3,VaR_Calculo_Historico!$C$2:$ET$103,B82+1,0)</f>
        <v>1.7897510000000001</v>
      </c>
      <c r="Q82" s="182">
        <f t="shared" si="38"/>
        <v>4.5156138732722678E-4</v>
      </c>
      <c r="R82" s="181">
        <f>HLOOKUP($R$3,VaR_Calculo_Historico!$C$2:$ET$103,B82+1,0)</f>
        <v>1.308371</v>
      </c>
      <c r="S82" s="182">
        <f t="shared" si="39"/>
        <v>-6.3952226735229244E-4</v>
      </c>
      <c r="T82" s="181" t="e">
        <f>HLOOKUP($T$3,VaR_Calculo_Historico!$C$2:$ET$103,B82+1,0)</f>
        <v>#N/A</v>
      </c>
      <c r="U82" s="182" t="e">
        <f t="shared" si="40"/>
        <v>#N/A</v>
      </c>
      <c r="V82" s="181" t="e">
        <f>HLOOKUP($V$3,VaR_Calculo_Historico!$C$2:$ET$103,B82+1,0)</f>
        <v>#N/A</v>
      </c>
      <c r="W82" s="182" t="e">
        <f t="shared" si="41"/>
        <v>#N/A</v>
      </c>
      <c r="X82" s="181" t="e">
        <f>HLOOKUP($X$3,VaR_Calculo_Historico!$C$2:$ET$103,B82+1,0)</f>
        <v>#N/A</v>
      </c>
      <c r="Y82" s="182" t="e">
        <f t="shared" si="42"/>
        <v>#N/A</v>
      </c>
      <c r="Z82" s="181" t="e">
        <f>HLOOKUP($Z$3,VaR_Calculo_Historico!$C$2:$ET$103,B82+1,0)</f>
        <v>#N/A</v>
      </c>
      <c r="AA82" s="182" t="e">
        <f t="shared" si="43"/>
        <v>#N/A</v>
      </c>
      <c r="AB82" s="181" t="e">
        <f>HLOOKUP($AB$3,VaR_Calculo_Historico!$C$2:$ET$103,B82+1,0)</f>
        <v>#N/A</v>
      </c>
      <c r="AC82" s="182" t="e">
        <f t="shared" si="44"/>
        <v>#N/A</v>
      </c>
      <c r="AD82" s="181" t="e">
        <f>HLOOKUP($AD$3,VaR_Calculo_Historico!$C$2:$ET$103,B82+1,0)</f>
        <v>#N/A</v>
      </c>
      <c r="AE82" s="182" t="e">
        <f t="shared" si="45"/>
        <v>#N/A</v>
      </c>
      <c r="AF82" s="181" t="e">
        <f>HLOOKUP($AF$3,VaR_Calculo_Historico!$C$2:$FZS$104,B82+1,0)</f>
        <v>#N/A</v>
      </c>
      <c r="AG82" s="182" t="e">
        <f t="shared" si="46"/>
        <v>#N/A</v>
      </c>
      <c r="AH82" s="181" t="e">
        <f>HLOOKUP($AH$3,VaR_Calculo_Historico!$C$2:$FS$104,B82+1,0)</f>
        <v>#N/A</v>
      </c>
      <c r="AI82" s="182" t="e">
        <f t="shared" si="47"/>
        <v>#N/A</v>
      </c>
      <c r="AJ82" s="181" t="e">
        <f>HLOOKUP($AJ$3,VaR_Calculo_Historico!$C$2:$ET$103,B82+1,0)</f>
        <v>#N/A</v>
      </c>
      <c r="AK82" s="182" t="e">
        <f t="shared" si="48"/>
        <v>#N/A</v>
      </c>
      <c r="AL82" s="181" t="e">
        <f>HLOOKUP($AL$3,VaR_Calculo_Historico!$C$2:$ET$103,B82+1,0)</f>
        <v>#N/A</v>
      </c>
      <c r="AM82" s="182" t="e">
        <f t="shared" si="49"/>
        <v>#N/A</v>
      </c>
      <c r="AN82" s="181" t="e">
        <f>HLOOKUP($AN$3,VaR_Calculo_Historico!$C$2:$ET$103,B82+1,0)</f>
        <v>#N/A</v>
      </c>
      <c r="AO82" s="182" t="e">
        <f t="shared" si="50"/>
        <v>#N/A</v>
      </c>
      <c r="AP82" s="181" t="e">
        <f>HLOOKUP($AP$3,VaR_Calculo_Historico!$C$2:$ET$103,B82+1,0)</f>
        <v>#N/A</v>
      </c>
      <c r="AQ82" s="182" t="e">
        <f t="shared" si="51"/>
        <v>#N/A</v>
      </c>
      <c r="AR82" s="181" t="e">
        <f>HLOOKUP($AR$3,VaR_Calculo_Historico!$C$2:$ET$103,B82+1,0)</f>
        <v>#N/A</v>
      </c>
      <c r="AS82" s="182" t="e">
        <f t="shared" si="52"/>
        <v>#N/A</v>
      </c>
      <c r="AT82" s="181" t="e">
        <f>HLOOKUP($AT$3,VaR_Calculo_Historico!$C$2:$ET$103,B82+1,0)</f>
        <v>#N/A</v>
      </c>
      <c r="AU82" s="182" t="e">
        <f t="shared" si="53"/>
        <v>#N/A</v>
      </c>
      <c r="AV82" s="181" t="e">
        <f>HLOOKUP($AV$3,VaR_Calculo_Historico!$C$2:$ET$103,B82+1,0)</f>
        <v>#N/A</v>
      </c>
      <c r="AW82" s="223" t="e">
        <f t="shared" si="54"/>
        <v>#N/A</v>
      </c>
      <c r="AX82" s="181" t="e">
        <f>HLOOKUP($AX$3,VaR_Calculo_Historico!$C$2:$ET$103,B82+1,0)</f>
        <v>#N/A</v>
      </c>
      <c r="AY82" s="182" t="e">
        <f t="shared" si="55"/>
        <v>#N/A</v>
      </c>
      <c r="AZ82" s="181" t="e">
        <f>HLOOKUP($AZ$3,VaR_Calculo_Historico!$C$2:$ET$103,B82+1,0)</f>
        <v>#N/A</v>
      </c>
      <c r="BA82" s="182" t="e">
        <f t="shared" si="56"/>
        <v>#N/A</v>
      </c>
      <c r="BB82" s="181" t="e">
        <f>HLOOKUP($BB$3,VaR_Calculo_Historico!$C$2:$ET$103,B82+1,0)</f>
        <v>#N/A</v>
      </c>
      <c r="BC82" s="182" t="e">
        <f t="shared" si="57"/>
        <v>#N/A</v>
      </c>
      <c r="BD82" s="181" t="e">
        <f>HLOOKUP($BD$3,VaR_Calculo_Historico!$C$2:$ET$103,B82+1,0)</f>
        <v>#N/A</v>
      </c>
      <c r="BE82" s="182" t="e">
        <f t="shared" si="58"/>
        <v>#N/A</v>
      </c>
      <c r="BF82" s="181" t="e">
        <f>HLOOKUP($BF$3,VaR_Calculo_Historico!$C$2:$ET$103,B82+1,0)</f>
        <v>#N/A</v>
      </c>
      <c r="BG82" s="182" t="e">
        <f t="shared" si="59"/>
        <v>#N/A</v>
      </c>
      <c r="BH82" s="181" t="e">
        <f>HLOOKUP($BH$3,VaR_Calculo_Historico!$C$2:$ET$103,B82+1,0)</f>
        <v>#N/A</v>
      </c>
      <c r="BI82" s="223" t="e">
        <f t="shared" si="60"/>
        <v>#N/A</v>
      </c>
      <c r="BJ82" s="181" t="e">
        <f>HLOOKUP($BJ$3,VaR_Calculo_Historico!$C$2:$ET$103,B82+1,0)</f>
        <v>#N/A</v>
      </c>
      <c r="BK82" s="223" t="e">
        <f t="shared" si="61"/>
        <v>#N/A</v>
      </c>
      <c r="BL82" s="181" t="e">
        <f>HLOOKUP($BL$3,VaR_Calculo_Historico!$C$2:$ET$103,B82+1,0)</f>
        <v>#N/A</v>
      </c>
      <c r="BM82" s="223" t="e">
        <f t="shared" si="62"/>
        <v>#N/A</v>
      </c>
      <c r="BN82" s="181" t="e">
        <f>HLOOKUP($BN$3,VaR_Calculo_Historico!$C$2:$EY$103,B82+1,0)</f>
        <v>#N/A</v>
      </c>
      <c r="BO82" s="223" t="e">
        <f t="shared" si="63"/>
        <v>#N/A</v>
      </c>
    </row>
    <row r="83" spans="2:67" x14ac:dyDescent="0.3">
      <c r="B83" s="166">
        <v>79</v>
      </c>
      <c r="C83" s="208">
        <f>VaR_Calculo_Historico!B80</f>
        <v>42426</v>
      </c>
      <c r="D83" s="181">
        <f>HLOOKUP($D$3,VaR_Calculo_Historico!$C$2:$ET$103,B83+1,0)</f>
        <v>3.4466615470000002</v>
      </c>
      <c r="E83" s="182">
        <f t="shared" si="32"/>
        <v>2.1776563569804743E-3</v>
      </c>
      <c r="F83" s="181">
        <f>HLOOKUP($F$3,VaR_Calculo_Historico!$C$2:$ET$103,B83+1,0)</f>
        <v>1.627102</v>
      </c>
      <c r="G83" s="182">
        <f t="shared" si="33"/>
        <v>5.0409052074030874E-4</v>
      </c>
      <c r="H83" s="181">
        <f>HLOOKUP($H$3,VaR_Calculo_Historico!$C$2:$ET$103,B83+1,0)</f>
        <v>1.139419875</v>
      </c>
      <c r="I83" s="182">
        <f t="shared" si="34"/>
        <v>7.7317721577909772E-4</v>
      </c>
      <c r="J83" s="181">
        <f>HLOOKUP($J$3,VaR_Calculo_Historico!$C$2:$ET$103,B83+1,0)</f>
        <v>1.875373</v>
      </c>
      <c r="K83" s="182">
        <f t="shared" si="35"/>
        <v>6.5234966867613311E-4</v>
      </c>
      <c r="L83" s="181">
        <f>HLOOKUP($L$3,VaR_Calculo_Historico!$C$2:$ET$103,B83+1,0)</f>
        <v>1.0764119999999999</v>
      </c>
      <c r="M83" s="182">
        <f t="shared" si="36"/>
        <v>6.0218125244543763E-4</v>
      </c>
      <c r="N83" s="181">
        <f>HLOOKUP($N$3,VaR_Calculo_Historico!$C$2:$ET$103,B83+1,0)</f>
        <v>2.6474600000000001</v>
      </c>
      <c r="O83" s="182">
        <f t="shared" si="37"/>
        <v>5.1761106651979755E-4</v>
      </c>
      <c r="P83" s="181">
        <f>HLOOKUP($P$3,VaR_Calculo_Historico!$C$2:$ET$103,B83+1,0)</f>
        <v>1.790905</v>
      </c>
      <c r="Q83" s="182">
        <f t="shared" si="38"/>
        <v>6.4457464774887773E-4</v>
      </c>
      <c r="R83" s="181">
        <f>HLOOKUP($R$3,VaR_Calculo_Historico!$C$2:$ET$103,B83+1,0)</f>
        <v>1.3131120000000001</v>
      </c>
      <c r="S83" s="182">
        <f t="shared" si="39"/>
        <v>3.617040559765008E-3</v>
      </c>
      <c r="T83" s="181" t="e">
        <f>HLOOKUP($T$3,VaR_Calculo_Historico!$C$2:$ET$103,B83+1,0)</f>
        <v>#N/A</v>
      </c>
      <c r="U83" s="182" t="e">
        <f t="shared" si="40"/>
        <v>#N/A</v>
      </c>
      <c r="V83" s="181" t="e">
        <f>HLOOKUP($V$3,VaR_Calculo_Historico!$C$2:$ET$103,B83+1,0)</f>
        <v>#N/A</v>
      </c>
      <c r="W83" s="182" t="e">
        <f t="shared" si="41"/>
        <v>#N/A</v>
      </c>
      <c r="X83" s="181" t="e">
        <f>HLOOKUP($X$3,VaR_Calculo_Historico!$C$2:$ET$103,B83+1,0)</f>
        <v>#N/A</v>
      </c>
      <c r="Y83" s="182" t="e">
        <f t="shared" si="42"/>
        <v>#N/A</v>
      </c>
      <c r="Z83" s="181" t="e">
        <f>HLOOKUP($Z$3,VaR_Calculo_Historico!$C$2:$ET$103,B83+1,0)</f>
        <v>#N/A</v>
      </c>
      <c r="AA83" s="182" t="e">
        <f t="shared" si="43"/>
        <v>#N/A</v>
      </c>
      <c r="AB83" s="181" t="e">
        <f>HLOOKUP($AB$3,VaR_Calculo_Historico!$C$2:$ET$103,B83+1,0)</f>
        <v>#N/A</v>
      </c>
      <c r="AC83" s="182" t="e">
        <f t="shared" si="44"/>
        <v>#N/A</v>
      </c>
      <c r="AD83" s="181" t="e">
        <f>HLOOKUP($AD$3,VaR_Calculo_Historico!$C$2:$ET$103,B83+1,0)</f>
        <v>#N/A</v>
      </c>
      <c r="AE83" s="182" t="e">
        <f t="shared" si="45"/>
        <v>#N/A</v>
      </c>
      <c r="AF83" s="181" t="e">
        <f>HLOOKUP($AF$3,VaR_Calculo_Historico!$C$2:$FZS$104,B83+1,0)</f>
        <v>#N/A</v>
      </c>
      <c r="AG83" s="182" t="e">
        <f t="shared" si="46"/>
        <v>#N/A</v>
      </c>
      <c r="AH83" s="181" t="e">
        <f>HLOOKUP($AH$3,VaR_Calculo_Historico!$C$2:$FS$104,B83+1,0)</f>
        <v>#N/A</v>
      </c>
      <c r="AI83" s="182" t="e">
        <f t="shared" si="47"/>
        <v>#N/A</v>
      </c>
      <c r="AJ83" s="181" t="e">
        <f>HLOOKUP($AJ$3,VaR_Calculo_Historico!$C$2:$ET$103,B83+1,0)</f>
        <v>#N/A</v>
      </c>
      <c r="AK83" s="182" t="e">
        <f t="shared" si="48"/>
        <v>#N/A</v>
      </c>
      <c r="AL83" s="181" t="e">
        <f>HLOOKUP($AL$3,VaR_Calculo_Historico!$C$2:$ET$103,B83+1,0)</f>
        <v>#N/A</v>
      </c>
      <c r="AM83" s="182" t="e">
        <f t="shared" si="49"/>
        <v>#N/A</v>
      </c>
      <c r="AN83" s="181" t="e">
        <f>HLOOKUP($AN$3,VaR_Calculo_Historico!$C$2:$ET$103,B83+1,0)</f>
        <v>#N/A</v>
      </c>
      <c r="AO83" s="182" t="e">
        <f t="shared" si="50"/>
        <v>#N/A</v>
      </c>
      <c r="AP83" s="181" t="e">
        <f>HLOOKUP($AP$3,VaR_Calculo_Historico!$C$2:$ET$103,B83+1,0)</f>
        <v>#N/A</v>
      </c>
      <c r="AQ83" s="182" t="e">
        <f t="shared" si="51"/>
        <v>#N/A</v>
      </c>
      <c r="AR83" s="181" t="e">
        <f>HLOOKUP($AR$3,VaR_Calculo_Historico!$C$2:$ET$103,B83+1,0)</f>
        <v>#N/A</v>
      </c>
      <c r="AS83" s="182" t="e">
        <f t="shared" si="52"/>
        <v>#N/A</v>
      </c>
      <c r="AT83" s="181" t="e">
        <f>HLOOKUP($AT$3,VaR_Calculo_Historico!$C$2:$ET$103,B83+1,0)</f>
        <v>#N/A</v>
      </c>
      <c r="AU83" s="182" t="e">
        <f t="shared" si="53"/>
        <v>#N/A</v>
      </c>
      <c r="AV83" s="181" t="e">
        <f>HLOOKUP($AV$3,VaR_Calculo_Historico!$C$2:$ET$103,B83+1,0)</f>
        <v>#N/A</v>
      </c>
      <c r="AW83" s="223" t="e">
        <f t="shared" si="54"/>
        <v>#N/A</v>
      </c>
      <c r="AX83" s="181" t="e">
        <f>HLOOKUP($AX$3,VaR_Calculo_Historico!$C$2:$ET$103,B83+1,0)</f>
        <v>#N/A</v>
      </c>
      <c r="AY83" s="182" t="e">
        <f t="shared" si="55"/>
        <v>#N/A</v>
      </c>
      <c r="AZ83" s="181" t="e">
        <f>HLOOKUP($AZ$3,VaR_Calculo_Historico!$C$2:$ET$103,B83+1,0)</f>
        <v>#N/A</v>
      </c>
      <c r="BA83" s="182" t="e">
        <f t="shared" si="56"/>
        <v>#N/A</v>
      </c>
      <c r="BB83" s="181" t="e">
        <f>HLOOKUP($BB$3,VaR_Calculo_Historico!$C$2:$ET$103,B83+1,0)</f>
        <v>#N/A</v>
      </c>
      <c r="BC83" s="182" t="e">
        <f t="shared" si="57"/>
        <v>#N/A</v>
      </c>
      <c r="BD83" s="181" t="e">
        <f>HLOOKUP($BD$3,VaR_Calculo_Historico!$C$2:$ET$103,B83+1,0)</f>
        <v>#N/A</v>
      </c>
      <c r="BE83" s="182" t="e">
        <f t="shared" si="58"/>
        <v>#N/A</v>
      </c>
      <c r="BF83" s="181" t="e">
        <f>HLOOKUP($BF$3,VaR_Calculo_Historico!$C$2:$ET$103,B83+1,0)</f>
        <v>#N/A</v>
      </c>
      <c r="BG83" s="182" t="e">
        <f t="shared" si="59"/>
        <v>#N/A</v>
      </c>
      <c r="BH83" s="181" t="e">
        <f>HLOOKUP($BH$3,VaR_Calculo_Historico!$C$2:$ET$103,B83+1,0)</f>
        <v>#N/A</v>
      </c>
      <c r="BI83" s="223" t="e">
        <f t="shared" si="60"/>
        <v>#N/A</v>
      </c>
      <c r="BJ83" s="181" t="e">
        <f>HLOOKUP($BJ$3,VaR_Calculo_Historico!$C$2:$ET$103,B83+1,0)</f>
        <v>#N/A</v>
      </c>
      <c r="BK83" s="223" t="e">
        <f t="shared" si="61"/>
        <v>#N/A</v>
      </c>
      <c r="BL83" s="181" t="e">
        <f>HLOOKUP($BL$3,VaR_Calculo_Historico!$C$2:$ET$103,B83+1,0)</f>
        <v>#N/A</v>
      </c>
      <c r="BM83" s="223" t="e">
        <f t="shared" si="62"/>
        <v>#N/A</v>
      </c>
      <c r="BN83" s="181" t="e">
        <f>HLOOKUP($BN$3,VaR_Calculo_Historico!$C$2:$EY$103,B83+1,0)</f>
        <v>#N/A</v>
      </c>
      <c r="BO83" s="223" t="e">
        <f t="shared" si="63"/>
        <v>#N/A</v>
      </c>
    </row>
    <row r="84" spans="2:67" x14ac:dyDescent="0.3">
      <c r="B84" s="166">
        <v>80</v>
      </c>
      <c r="C84" s="208">
        <f>VaR_Calculo_Historico!B81</f>
        <v>42429</v>
      </c>
      <c r="D84" s="181">
        <f>HLOOKUP($D$3,VaR_Calculo_Historico!$C$2:$ET$103,B84+1,0)</f>
        <v>3.4595983929999998</v>
      </c>
      <c r="E84" s="182">
        <f t="shared" si="32"/>
        <v>3.7464159309930404E-3</v>
      </c>
      <c r="F84" s="181">
        <f>HLOOKUP($F$3,VaR_Calculo_Historico!$C$2:$ET$103,B84+1,0)</f>
        <v>1.6279090000000001</v>
      </c>
      <c r="G84" s="182">
        <f t="shared" si="33"/>
        <v>4.9585086903527857E-4</v>
      </c>
      <c r="H84" s="181">
        <f>HLOOKUP($H$3,VaR_Calculo_Historico!$C$2:$ET$103,B84+1,0)</f>
        <v>1.141082938</v>
      </c>
      <c r="I84" s="182">
        <f t="shared" si="34"/>
        <v>1.4585058043610185E-3</v>
      </c>
      <c r="J84" s="181">
        <f>HLOOKUP($J$3,VaR_Calculo_Historico!$C$2:$ET$103,B84+1,0)</f>
        <v>1.8772740000000001</v>
      </c>
      <c r="K84" s="182">
        <f t="shared" si="35"/>
        <v>1.0131516034473814E-3</v>
      </c>
      <c r="L84" s="181">
        <f>HLOOKUP($L$3,VaR_Calculo_Historico!$C$2:$ET$103,B84+1,0)</f>
        <v>1.0774619999999999</v>
      </c>
      <c r="M84" s="182">
        <f t="shared" si="36"/>
        <v>9.7498747204100619E-4</v>
      </c>
      <c r="N84" s="181">
        <f>HLOOKUP($N$3,VaR_Calculo_Historico!$C$2:$ET$103,B84+1,0)</f>
        <v>2.6492110000000002</v>
      </c>
      <c r="O84" s="182">
        <f t="shared" si="37"/>
        <v>6.6117003068036665E-4</v>
      </c>
      <c r="P84" s="181">
        <f>HLOOKUP($P$3,VaR_Calculo_Historico!$C$2:$ET$103,B84+1,0)</f>
        <v>1.7927280000000001</v>
      </c>
      <c r="Q84" s="182">
        <f t="shared" si="38"/>
        <v>1.0174033765459273E-3</v>
      </c>
      <c r="R84" s="181">
        <f>HLOOKUP($R$3,VaR_Calculo_Historico!$C$2:$ET$103,B84+1,0)</f>
        <v>1.320972</v>
      </c>
      <c r="S84" s="182">
        <f t="shared" si="39"/>
        <v>5.9679367314347418E-3</v>
      </c>
      <c r="T84" s="181" t="e">
        <f>HLOOKUP($T$3,VaR_Calculo_Historico!$C$2:$ET$103,B84+1,0)</f>
        <v>#N/A</v>
      </c>
      <c r="U84" s="182" t="e">
        <f t="shared" si="40"/>
        <v>#N/A</v>
      </c>
      <c r="V84" s="181" t="e">
        <f>HLOOKUP($V$3,VaR_Calculo_Historico!$C$2:$ET$103,B84+1,0)</f>
        <v>#N/A</v>
      </c>
      <c r="W84" s="182" t="e">
        <f t="shared" si="41"/>
        <v>#N/A</v>
      </c>
      <c r="X84" s="181" t="e">
        <f>HLOOKUP($X$3,VaR_Calculo_Historico!$C$2:$ET$103,B84+1,0)</f>
        <v>#N/A</v>
      </c>
      <c r="Y84" s="182" t="e">
        <f t="shared" si="42"/>
        <v>#N/A</v>
      </c>
      <c r="Z84" s="181" t="e">
        <f>HLOOKUP($Z$3,VaR_Calculo_Historico!$C$2:$ET$103,B84+1,0)</f>
        <v>#N/A</v>
      </c>
      <c r="AA84" s="182" t="e">
        <f t="shared" si="43"/>
        <v>#N/A</v>
      </c>
      <c r="AB84" s="181" t="e">
        <f>HLOOKUP($AB$3,VaR_Calculo_Historico!$C$2:$ET$103,B84+1,0)</f>
        <v>#N/A</v>
      </c>
      <c r="AC84" s="182" t="e">
        <f t="shared" si="44"/>
        <v>#N/A</v>
      </c>
      <c r="AD84" s="181" t="e">
        <f>HLOOKUP($AD$3,VaR_Calculo_Historico!$C$2:$ET$103,B84+1,0)</f>
        <v>#N/A</v>
      </c>
      <c r="AE84" s="182" t="e">
        <f t="shared" si="45"/>
        <v>#N/A</v>
      </c>
      <c r="AF84" s="181" t="e">
        <f>HLOOKUP($AF$3,VaR_Calculo_Historico!$C$2:$FZS$104,B84+1,0)</f>
        <v>#N/A</v>
      </c>
      <c r="AG84" s="182" t="e">
        <f t="shared" si="46"/>
        <v>#N/A</v>
      </c>
      <c r="AH84" s="181" t="e">
        <f>HLOOKUP($AH$3,VaR_Calculo_Historico!$C$2:$FS$104,B84+1,0)</f>
        <v>#N/A</v>
      </c>
      <c r="AI84" s="182" t="e">
        <f t="shared" si="47"/>
        <v>#N/A</v>
      </c>
      <c r="AJ84" s="181" t="e">
        <f>HLOOKUP($AJ$3,VaR_Calculo_Historico!$C$2:$ET$103,B84+1,0)</f>
        <v>#N/A</v>
      </c>
      <c r="AK84" s="182" t="e">
        <f t="shared" si="48"/>
        <v>#N/A</v>
      </c>
      <c r="AL84" s="181" t="e">
        <f>HLOOKUP($AL$3,VaR_Calculo_Historico!$C$2:$ET$103,B84+1,0)</f>
        <v>#N/A</v>
      </c>
      <c r="AM84" s="182" t="e">
        <f t="shared" si="49"/>
        <v>#N/A</v>
      </c>
      <c r="AN84" s="181" t="e">
        <f>HLOOKUP($AN$3,VaR_Calculo_Historico!$C$2:$ET$103,B84+1,0)</f>
        <v>#N/A</v>
      </c>
      <c r="AO84" s="182" t="e">
        <f t="shared" si="50"/>
        <v>#N/A</v>
      </c>
      <c r="AP84" s="181" t="e">
        <f>HLOOKUP($AP$3,VaR_Calculo_Historico!$C$2:$ET$103,B84+1,0)</f>
        <v>#N/A</v>
      </c>
      <c r="AQ84" s="182" t="e">
        <f t="shared" si="51"/>
        <v>#N/A</v>
      </c>
      <c r="AR84" s="181" t="e">
        <f>HLOOKUP($AR$3,VaR_Calculo_Historico!$C$2:$ET$103,B84+1,0)</f>
        <v>#N/A</v>
      </c>
      <c r="AS84" s="182" t="e">
        <f t="shared" si="52"/>
        <v>#N/A</v>
      </c>
      <c r="AT84" s="181" t="e">
        <f>HLOOKUP($AT$3,VaR_Calculo_Historico!$C$2:$ET$103,B84+1,0)</f>
        <v>#N/A</v>
      </c>
      <c r="AU84" s="182" t="e">
        <f t="shared" si="53"/>
        <v>#N/A</v>
      </c>
      <c r="AV84" s="181" t="e">
        <f>HLOOKUP($AV$3,VaR_Calculo_Historico!$C$2:$ET$103,B84+1,0)</f>
        <v>#N/A</v>
      </c>
      <c r="AW84" s="223" t="e">
        <f t="shared" si="54"/>
        <v>#N/A</v>
      </c>
      <c r="AX84" s="181" t="e">
        <f>HLOOKUP($AX$3,VaR_Calculo_Historico!$C$2:$ET$103,B84+1,0)</f>
        <v>#N/A</v>
      </c>
      <c r="AY84" s="182" t="e">
        <f t="shared" si="55"/>
        <v>#N/A</v>
      </c>
      <c r="AZ84" s="181" t="e">
        <f>HLOOKUP($AZ$3,VaR_Calculo_Historico!$C$2:$ET$103,B84+1,0)</f>
        <v>#N/A</v>
      </c>
      <c r="BA84" s="182" t="e">
        <f t="shared" si="56"/>
        <v>#N/A</v>
      </c>
      <c r="BB84" s="181" t="e">
        <f>HLOOKUP($BB$3,VaR_Calculo_Historico!$C$2:$ET$103,B84+1,0)</f>
        <v>#N/A</v>
      </c>
      <c r="BC84" s="182" t="e">
        <f t="shared" si="57"/>
        <v>#N/A</v>
      </c>
      <c r="BD84" s="181" t="e">
        <f>HLOOKUP($BD$3,VaR_Calculo_Historico!$C$2:$ET$103,B84+1,0)</f>
        <v>#N/A</v>
      </c>
      <c r="BE84" s="182" t="e">
        <f t="shared" si="58"/>
        <v>#N/A</v>
      </c>
      <c r="BF84" s="181" t="e">
        <f>HLOOKUP($BF$3,VaR_Calculo_Historico!$C$2:$ET$103,B84+1,0)</f>
        <v>#N/A</v>
      </c>
      <c r="BG84" s="182" t="e">
        <f t="shared" si="59"/>
        <v>#N/A</v>
      </c>
      <c r="BH84" s="181" t="e">
        <f>HLOOKUP($BH$3,VaR_Calculo_Historico!$C$2:$ET$103,B84+1,0)</f>
        <v>#N/A</v>
      </c>
      <c r="BI84" s="223" t="e">
        <f t="shared" si="60"/>
        <v>#N/A</v>
      </c>
      <c r="BJ84" s="181" t="e">
        <f>HLOOKUP($BJ$3,VaR_Calculo_Historico!$C$2:$ET$103,B84+1,0)</f>
        <v>#N/A</v>
      </c>
      <c r="BK84" s="223" t="e">
        <f t="shared" si="61"/>
        <v>#N/A</v>
      </c>
      <c r="BL84" s="181" t="e">
        <f>HLOOKUP($BL$3,VaR_Calculo_Historico!$C$2:$ET$103,B84+1,0)</f>
        <v>#N/A</v>
      </c>
      <c r="BM84" s="223" t="e">
        <f t="shared" si="62"/>
        <v>#N/A</v>
      </c>
      <c r="BN84" s="181" t="e">
        <f>HLOOKUP($BN$3,VaR_Calculo_Historico!$C$2:$EY$103,B84+1,0)</f>
        <v>#N/A</v>
      </c>
      <c r="BO84" s="223" t="e">
        <f t="shared" si="63"/>
        <v>#N/A</v>
      </c>
    </row>
    <row r="85" spans="2:67" x14ac:dyDescent="0.3">
      <c r="B85" s="166">
        <v>81</v>
      </c>
      <c r="C85" s="208">
        <f>VaR_Calculo_Historico!B82</f>
        <v>42430</v>
      </c>
      <c r="D85" s="181">
        <f>HLOOKUP($D$3,VaR_Calculo_Historico!$C$2:$ET$103,B85+1,0)</f>
        <v>3.4660116830000001</v>
      </c>
      <c r="E85" s="182">
        <f t="shared" si="32"/>
        <v>1.8520510865625485E-3</v>
      </c>
      <c r="F85" s="181">
        <f>HLOOKUP($F$3,VaR_Calculo_Historico!$C$2:$ET$103,B85+1,0)</f>
        <v>1.6287430000000001</v>
      </c>
      <c r="G85" s="182">
        <f t="shared" si="33"/>
        <v>5.1218246114835455E-4</v>
      </c>
      <c r="H85" s="181">
        <f>HLOOKUP($H$3,VaR_Calculo_Historico!$C$2:$ET$103,B85+1,0)</f>
        <v>1.1418626359999999</v>
      </c>
      <c r="I85" s="182">
        <f t="shared" si="34"/>
        <v>6.8306317872429115E-4</v>
      </c>
      <c r="J85" s="181">
        <f>HLOOKUP($J$3,VaR_Calculo_Historico!$C$2:$ET$103,B85+1,0)</f>
        <v>1.878077</v>
      </c>
      <c r="K85" s="182">
        <f t="shared" si="35"/>
        <v>4.2765643596997919E-4</v>
      </c>
      <c r="L85" s="181">
        <f>HLOOKUP($L$3,VaR_Calculo_Historico!$C$2:$ET$103,B85+1,0)</f>
        <v>1.0780799999999999</v>
      </c>
      <c r="M85" s="182">
        <f t="shared" si="36"/>
        <v>5.734056835198163E-4</v>
      </c>
      <c r="N85" s="181">
        <f>HLOOKUP($N$3,VaR_Calculo_Historico!$C$2:$ET$103,B85+1,0)</f>
        <v>2.6505749999999999</v>
      </c>
      <c r="O85" s="182">
        <f t="shared" si="37"/>
        <v>5.1473777624832801E-4</v>
      </c>
      <c r="P85" s="181">
        <f>HLOOKUP($P$3,VaR_Calculo_Historico!$C$2:$ET$103,B85+1,0)</f>
        <v>1.7935270000000001</v>
      </c>
      <c r="Q85" s="182">
        <f t="shared" si="38"/>
        <v>4.455901843122194E-4</v>
      </c>
      <c r="R85" s="181">
        <f>HLOOKUP($R$3,VaR_Calculo_Historico!$C$2:$ET$103,B85+1,0)</f>
        <v>1.3245880000000001</v>
      </c>
      <c r="S85" s="182">
        <f t="shared" si="39"/>
        <v>2.733638437077354E-3</v>
      </c>
      <c r="T85" s="181" t="e">
        <f>HLOOKUP($T$3,VaR_Calculo_Historico!$C$2:$ET$103,B85+1,0)</f>
        <v>#N/A</v>
      </c>
      <c r="U85" s="182" t="e">
        <f t="shared" si="40"/>
        <v>#N/A</v>
      </c>
      <c r="V85" s="181" t="e">
        <f>HLOOKUP($V$3,VaR_Calculo_Historico!$C$2:$ET$103,B85+1,0)</f>
        <v>#N/A</v>
      </c>
      <c r="W85" s="182" t="e">
        <f t="shared" si="41"/>
        <v>#N/A</v>
      </c>
      <c r="X85" s="181" t="e">
        <f>HLOOKUP($X$3,VaR_Calculo_Historico!$C$2:$ET$103,B85+1,0)</f>
        <v>#N/A</v>
      </c>
      <c r="Y85" s="182" t="e">
        <f t="shared" si="42"/>
        <v>#N/A</v>
      </c>
      <c r="Z85" s="181" t="e">
        <f>HLOOKUP($Z$3,VaR_Calculo_Historico!$C$2:$ET$103,B85+1,0)</f>
        <v>#N/A</v>
      </c>
      <c r="AA85" s="182" t="e">
        <f t="shared" si="43"/>
        <v>#N/A</v>
      </c>
      <c r="AB85" s="181" t="e">
        <f>HLOOKUP($AB$3,VaR_Calculo_Historico!$C$2:$ET$103,B85+1,0)</f>
        <v>#N/A</v>
      </c>
      <c r="AC85" s="182" t="e">
        <f t="shared" si="44"/>
        <v>#N/A</v>
      </c>
      <c r="AD85" s="181" t="e">
        <f>HLOOKUP($AD$3,VaR_Calculo_Historico!$C$2:$ET$103,B85+1,0)</f>
        <v>#N/A</v>
      </c>
      <c r="AE85" s="182" t="e">
        <f t="shared" si="45"/>
        <v>#N/A</v>
      </c>
      <c r="AF85" s="181" t="e">
        <f>HLOOKUP($AF$3,VaR_Calculo_Historico!$C$2:$FZS$104,B85+1,0)</f>
        <v>#N/A</v>
      </c>
      <c r="AG85" s="182" t="e">
        <f t="shared" si="46"/>
        <v>#N/A</v>
      </c>
      <c r="AH85" s="181" t="e">
        <f>HLOOKUP($AH$3,VaR_Calculo_Historico!$C$2:$FS$104,B85+1,0)</f>
        <v>#N/A</v>
      </c>
      <c r="AI85" s="182" t="e">
        <f t="shared" si="47"/>
        <v>#N/A</v>
      </c>
      <c r="AJ85" s="181" t="e">
        <f>HLOOKUP($AJ$3,VaR_Calculo_Historico!$C$2:$ET$103,B85+1,0)</f>
        <v>#N/A</v>
      </c>
      <c r="AK85" s="182" t="e">
        <f t="shared" si="48"/>
        <v>#N/A</v>
      </c>
      <c r="AL85" s="181" t="e">
        <f>HLOOKUP($AL$3,VaR_Calculo_Historico!$C$2:$ET$103,B85+1,0)</f>
        <v>#N/A</v>
      </c>
      <c r="AM85" s="182" t="e">
        <f t="shared" si="49"/>
        <v>#N/A</v>
      </c>
      <c r="AN85" s="181" t="e">
        <f>HLOOKUP($AN$3,VaR_Calculo_Historico!$C$2:$ET$103,B85+1,0)</f>
        <v>#N/A</v>
      </c>
      <c r="AO85" s="182" t="e">
        <f t="shared" si="50"/>
        <v>#N/A</v>
      </c>
      <c r="AP85" s="181" t="e">
        <f>HLOOKUP($AP$3,VaR_Calculo_Historico!$C$2:$ET$103,B85+1,0)</f>
        <v>#N/A</v>
      </c>
      <c r="AQ85" s="182" t="e">
        <f t="shared" si="51"/>
        <v>#N/A</v>
      </c>
      <c r="AR85" s="181" t="e">
        <f>HLOOKUP($AR$3,VaR_Calculo_Historico!$C$2:$ET$103,B85+1,0)</f>
        <v>#N/A</v>
      </c>
      <c r="AS85" s="182" t="e">
        <f t="shared" si="52"/>
        <v>#N/A</v>
      </c>
      <c r="AT85" s="181" t="e">
        <f>HLOOKUP($AT$3,VaR_Calculo_Historico!$C$2:$ET$103,B85+1,0)</f>
        <v>#N/A</v>
      </c>
      <c r="AU85" s="182" t="e">
        <f t="shared" si="53"/>
        <v>#N/A</v>
      </c>
      <c r="AV85" s="181" t="e">
        <f>HLOOKUP($AV$3,VaR_Calculo_Historico!$C$2:$ET$103,B85+1,0)</f>
        <v>#N/A</v>
      </c>
      <c r="AW85" s="223" t="e">
        <f t="shared" si="54"/>
        <v>#N/A</v>
      </c>
      <c r="AX85" s="181" t="e">
        <f>HLOOKUP($AX$3,VaR_Calculo_Historico!$C$2:$ET$103,B85+1,0)</f>
        <v>#N/A</v>
      </c>
      <c r="AY85" s="182" t="e">
        <f t="shared" si="55"/>
        <v>#N/A</v>
      </c>
      <c r="AZ85" s="181" t="e">
        <f>HLOOKUP($AZ$3,VaR_Calculo_Historico!$C$2:$ET$103,B85+1,0)</f>
        <v>#N/A</v>
      </c>
      <c r="BA85" s="182" t="e">
        <f t="shared" si="56"/>
        <v>#N/A</v>
      </c>
      <c r="BB85" s="181" t="e">
        <f>HLOOKUP($BB$3,VaR_Calculo_Historico!$C$2:$ET$103,B85+1,0)</f>
        <v>#N/A</v>
      </c>
      <c r="BC85" s="182" t="e">
        <f t="shared" si="57"/>
        <v>#N/A</v>
      </c>
      <c r="BD85" s="181" t="e">
        <f>HLOOKUP($BD$3,VaR_Calculo_Historico!$C$2:$ET$103,B85+1,0)</f>
        <v>#N/A</v>
      </c>
      <c r="BE85" s="182" t="e">
        <f t="shared" si="58"/>
        <v>#N/A</v>
      </c>
      <c r="BF85" s="181" t="e">
        <f>HLOOKUP($BF$3,VaR_Calculo_Historico!$C$2:$ET$103,B85+1,0)</f>
        <v>#N/A</v>
      </c>
      <c r="BG85" s="182" t="e">
        <f t="shared" si="59"/>
        <v>#N/A</v>
      </c>
      <c r="BH85" s="181" t="e">
        <f>HLOOKUP($BH$3,VaR_Calculo_Historico!$C$2:$ET$103,B85+1,0)</f>
        <v>#N/A</v>
      </c>
      <c r="BI85" s="223" t="e">
        <f t="shared" si="60"/>
        <v>#N/A</v>
      </c>
      <c r="BJ85" s="181" t="e">
        <f>HLOOKUP($BJ$3,VaR_Calculo_Historico!$C$2:$ET$103,B85+1,0)</f>
        <v>#N/A</v>
      </c>
      <c r="BK85" s="223" t="e">
        <f t="shared" si="61"/>
        <v>#N/A</v>
      </c>
      <c r="BL85" s="181" t="e">
        <f>HLOOKUP($BL$3,VaR_Calculo_Historico!$C$2:$ET$103,B85+1,0)</f>
        <v>#N/A</v>
      </c>
      <c r="BM85" s="223" t="e">
        <f t="shared" si="62"/>
        <v>#N/A</v>
      </c>
      <c r="BN85" s="181" t="e">
        <f>HLOOKUP($BN$3,VaR_Calculo_Historico!$C$2:$EY$103,B85+1,0)</f>
        <v>#N/A</v>
      </c>
      <c r="BO85" s="223" t="e">
        <f t="shared" si="63"/>
        <v>#N/A</v>
      </c>
    </row>
    <row r="86" spans="2:67" x14ac:dyDescent="0.3">
      <c r="B86" s="166">
        <v>82</v>
      </c>
      <c r="C86" s="208">
        <f>VaR_Calculo_Historico!B83</f>
        <v>42431</v>
      </c>
      <c r="D86" s="181">
        <f>HLOOKUP($D$3,VaR_Calculo_Historico!$C$2:$ET$103,B86+1,0)</f>
        <v>3.4783264520000001</v>
      </c>
      <c r="E86" s="182">
        <f t="shared" si="32"/>
        <v>3.5467114848723338E-3</v>
      </c>
      <c r="F86" s="181">
        <f>HLOOKUP($F$3,VaR_Calculo_Historico!$C$2:$ET$103,B86+1,0)</f>
        <v>1.6295470000000001</v>
      </c>
      <c r="G86" s="182">
        <f t="shared" si="33"/>
        <v>4.9351040964303939E-4</v>
      </c>
      <c r="H86" s="181">
        <f>HLOOKUP($H$3,VaR_Calculo_Historico!$C$2:$ET$103,B86+1,0)</f>
        <v>1.1418160239999999</v>
      </c>
      <c r="I86" s="182">
        <f t="shared" si="34"/>
        <v>-4.082185538876547E-5</v>
      </c>
      <c r="J86" s="181">
        <f>HLOOKUP($J$3,VaR_Calculo_Historico!$C$2:$ET$103,B86+1,0)</f>
        <v>1.879132</v>
      </c>
      <c r="K86" s="182">
        <f t="shared" si="35"/>
        <v>5.6158708643960461E-4</v>
      </c>
      <c r="L86" s="181">
        <f>HLOOKUP($L$3,VaR_Calculo_Historico!$C$2:$ET$103,B86+1,0)</f>
        <v>1.0781130000000001</v>
      </c>
      <c r="M86" s="182">
        <f t="shared" si="36"/>
        <v>3.0609504810405328E-5</v>
      </c>
      <c r="N86" s="181">
        <f>HLOOKUP($N$3,VaR_Calculo_Historico!$C$2:$ET$103,B86+1,0)</f>
        <v>2.6519430000000002</v>
      </c>
      <c r="O86" s="182">
        <f t="shared" si="37"/>
        <v>5.159812867588583E-4</v>
      </c>
      <c r="P86" s="181">
        <f>HLOOKUP($P$3,VaR_Calculo_Historico!$C$2:$ET$103,B86+1,0)</f>
        <v>1.7945420000000001</v>
      </c>
      <c r="Q86" s="182">
        <f t="shared" si="38"/>
        <v>5.65763939920907E-4</v>
      </c>
      <c r="R86" s="181">
        <f>HLOOKUP($R$3,VaR_Calculo_Historico!$C$2:$ET$103,B86+1,0)</f>
        <v>1.332273</v>
      </c>
      <c r="S86" s="182">
        <f t="shared" si="39"/>
        <v>5.7850383837172925E-3</v>
      </c>
      <c r="T86" s="181" t="e">
        <f>HLOOKUP($T$3,VaR_Calculo_Historico!$C$2:$ET$103,B86+1,0)</f>
        <v>#N/A</v>
      </c>
      <c r="U86" s="182" t="e">
        <f t="shared" si="40"/>
        <v>#N/A</v>
      </c>
      <c r="V86" s="181" t="e">
        <f>HLOOKUP($V$3,VaR_Calculo_Historico!$C$2:$ET$103,B86+1,0)</f>
        <v>#N/A</v>
      </c>
      <c r="W86" s="182" t="e">
        <f t="shared" si="41"/>
        <v>#N/A</v>
      </c>
      <c r="X86" s="181" t="e">
        <f>HLOOKUP($X$3,VaR_Calculo_Historico!$C$2:$ET$103,B86+1,0)</f>
        <v>#N/A</v>
      </c>
      <c r="Y86" s="182" t="e">
        <f t="shared" si="42"/>
        <v>#N/A</v>
      </c>
      <c r="Z86" s="181" t="e">
        <f>HLOOKUP($Z$3,VaR_Calculo_Historico!$C$2:$ET$103,B86+1,0)</f>
        <v>#N/A</v>
      </c>
      <c r="AA86" s="182" t="e">
        <f t="shared" si="43"/>
        <v>#N/A</v>
      </c>
      <c r="AB86" s="181" t="e">
        <f>HLOOKUP($AB$3,VaR_Calculo_Historico!$C$2:$ET$103,B86+1,0)</f>
        <v>#N/A</v>
      </c>
      <c r="AC86" s="182" t="e">
        <f t="shared" si="44"/>
        <v>#N/A</v>
      </c>
      <c r="AD86" s="181" t="e">
        <f>HLOOKUP($AD$3,VaR_Calculo_Historico!$C$2:$ET$103,B86+1,0)</f>
        <v>#N/A</v>
      </c>
      <c r="AE86" s="182" t="e">
        <f t="shared" si="45"/>
        <v>#N/A</v>
      </c>
      <c r="AF86" s="181" t="e">
        <f>HLOOKUP($AF$3,VaR_Calculo_Historico!$C$2:$FZS$104,B86+1,0)</f>
        <v>#N/A</v>
      </c>
      <c r="AG86" s="182" t="e">
        <f t="shared" si="46"/>
        <v>#N/A</v>
      </c>
      <c r="AH86" s="181" t="e">
        <f>HLOOKUP($AH$3,VaR_Calculo_Historico!$C$2:$FS$104,B86+1,0)</f>
        <v>#N/A</v>
      </c>
      <c r="AI86" s="182" t="e">
        <f t="shared" si="47"/>
        <v>#N/A</v>
      </c>
      <c r="AJ86" s="181" t="e">
        <f>HLOOKUP($AJ$3,VaR_Calculo_Historico!$C$2:$ET$103,B86+1,0)</f>
        <v>#N/A</v>
      </c>
      <c r="AK86" s="182" t="e">
        <f t="shared" si="48"/>
        <v>#N/A</v>
      </c>
      <c r="AL86" s="181" t="e">
        <f>HLOOKUP($AL$3,VaR_Calculo_Historico!$C$2:$ET$103,B86+1,0)</f>
        <v>#N/A</v>
      </c>
      <c r="AM86" s="182" t="e">
        <f t="shared" si="49"/>
        <v>#N/A</v>
      </c>
      <c r="AN86" s="181" t="e">
        <f>HLOOKUP($AN$3,VaR_Calculo_Historico!$C$2:$ET$103,B86+1,0)</f>
        <v>#N/A</v>
      </c>
      <c r="AO86" s="182" t="e">
        <f t="shared" si="50"/>
        <v>#N/A</v>
      </c>
      <c r="AP86" s="181" t="e">
        <f>HLOOKUP($AP$3,VaR_Calculo_Historico!$C$2:$ET$103,B86+1,0)</f>
        <v>#N/A</v>
      </c>
      <c r="AQ86" s="182" t="e">
        <f t="shared" si="51"/>
        <v>#N/A</v>
      </c>
      <c r="AR86" s="181" t="e">
        <f>HLOOKUP($AR$3,VaR_Calculo_Historico!$C$2:$ET$103,B86+1,0)</f>
        <v>#N/A</v>
      </c>
      <c r="AS86" s="182" t="e">
        <f t="shared" si="52"/>
        <v>#N/A</v>
      </c>
      <c r="AT86" s="181" t="e">
        <f>HLOOKUP($AT$3,VaR_Calculo_Historico!$C$2:$ET$103,B86+1,0)</f>
        <v>#N/A</v>
      </c>
      <c r="AU86" s="182" t="e">
        <f t="shared" si="53"/>
        <v>#N/A</v>
      </c>
      <c r="AV86" s="181" t="e">
        <f>HLOOKUP($AV$3,VaR_Calculo_Historico!$C$2:$ET$103,B86+1,0)</f>
        <v>#N/A</v>
      </c>
      <c r="AW86" s="223" t="e">
        <f t="shared" si="54"/>
        <v>#N/A</v>
      </c>
      <c r="AX86" s="181" t="e">
        <f>HLOOKUP($AX$3,VaR_Calculo_Historico!$C$2:$ET$103,B86+1,0)</f>
        <v>#N/A</v>
      </c>
      <c r="AY86" s="182" t="e">
        <f t="shared" si="55"/>
        <v>#N/A</v>
      </c>
      <c r="AZ86" s="181" t="e">
        <f>HLOOKUP($AZ$3,VaR_Calculo_Historico!$C$2:$ET$103,B86+1,0)</f>
        <v>#N/A</v>
      </c>
      <c r="BA86" s="182" t="e">
        <f t="shared" si="56"/>
        <v>#N/A</v>
      </c>
      <c r="BB86" s="181" t="e">
        <f>HLOOKUP($BB$3,VaR_Calculo_Historico!$C$2:$ET$103,B86+1,0)</f>
        <v>#N/A</v>
      </c>
      <c r="BC86" s="182" t="e">
        <f t="shared" si="57"/>
        <v>#N/A</v>
      </c>
      <c r="BD86" s="181" t="e">
        <f>HLOOKUP($BD$3,VaR_Calculo_Historico!$C$2:$ET$103,B86+1,0)</f>
        <v>#N/A</v>
      </c>
      <c r="BE86" s="182" t="e">
        <f t="shared" si="58"/>
        <v>#N/A</v>
      </c>
      <c r="BF86" s="181" t="e">
        <f>HLOOKUP($BF$3,VaR_Calculo_Historico!$C$2:$ET$103,B86+1,0)</f>
        <v>#N/A</v>
      </c>
      <c r="BG86" s="182" t="e">
        <f t="shared" si="59"/>
        <v>#N/A</v>
      </c>
      <c r="BH86" s="181" t="e">
        <f>HLOOKUP($BH$3,VaR_Calculo_Historico!$C$2:$ET$103,B86+1,0)</f>
        <v>#N/A</v>
      </c>
      <c r="BI86" s="223" t="e">
        <f t="shared" si="60"/>
        <v>#N/A</v>
      </c>
      <c r="BJ86" s="181" t="e">
        <f>HLOOKUP($BJ$3,VaR_Calculo_Historico!$C$2:$ET$103,B86+1,0)</f>
        <v>#N/A</v>
      </c>
      <c r="BK86" s="223" t="e">
        <f t="shared" si="61"/>
        <v>#N/A</v>
      </c>
      <c r="BL86" s="181" t="e">
        <f>HLOOKUP($BL$3,VaR_Calculo_Historico!$C$2:$ET$103,B86+1,0)</f>
        <v>#N/A</v>
      </c>
      <c r="BM86" s="223" t="e">
        <f t="shared" si="62"/>
        <v>#N/A</v>
      </c>
      <c r="BN86" s="181" t="e">
        <f>HLOOKUP($BN$3,VaR_Calculo_Historico!$C$2:$EY$103,B86+1,0)</f>
        <v>#N/A</v>
      </c>
      <c r="BO86" s="223" t="e">
        <f t="shared" si="63"/>
        <v>#N/A</v>
      </c>
    </row>
    <row r="87" spans="2:67" x14ac:dyDescent="0.3">
      <c r="B87" s="166">
        <v>83</v>
      </c>
      <c r="C87" s="208">
        <f>VaR_Calculo_Historico!B84</f>
        <v>42432</v>
      </c>
      <c r="D87" s="181">
        <f>HLOOKUP($D$3,VaR_Calculo_Historico!$C$2:$ET$103,B87+1,0)</f>
        <v>3.4952405770000001</v>
      </c>
      <c r="E87" s="182">
        <f t="shared" si="32"/>
        <v>4.8509344206871695E-3</v>
      </c>
      <c r="F87" s="181">
        <f>HLOOKUP($F$3,VaR_Calculo_Historico!$C$2:$ET$103,B87+1,0)</f>
        <v>1.6304019999999999</v>
      </c>
      <c r="G87" s="182">
        <f t="shared" si="33"/>
        <v>5.2454809544830281E-4</v>
      </c>
      <c r="H87" s="181">
        <f>HLOOKUP($H$3,VaR_Calculo_Historico!$C$2:$ET$103,B87+1,0)</f>
        <v>1.142409829</v>
      </c>
      <c r="I87" s="182">
        <f t="shared" si="34"/>
        <v>5.199179517178322E-4</v>
      </c>
      <c r="J87" s="181">
        <f>HLOOKUP($J$3,VaR_Calculo_Historico!$C$2:$ET$103,B87+1,0)</f>
        <v>1.880004</v>
      </c>
      <c r="K87" s="182">
        <f t="shared" si="35"/>
        <v>4.639364022160463E-4</v>
      </c>
      <c r="L87" s="181">
        <f>HLOOKUP($L$3,VaR_Calculo_Historico!$C$2:$ET$103,B87+1,0)</f>
        <v>1.0785739999999999</v>
      </c>
      <c r="M87" s="182">
        <f t="shared" si="36"/>
        <v>4.2750756787709326E-4</v>
      </c>
      <c r="N87" s="181">
        <f>HLOOKUP($N$3,VaR_Calculo_Historico!$C$2:$ET$103,B87+1,0)</f>
        <v>2.653321</v>
      </c>
      <c r="O87" s="182">
        <f t="shared" si="37"/>
        <v>5.1948405620882748E-4</v>
      </c>
      <c r="P87" s="181">
        <f>HLOOKUP($P$3,VaR_Calculo_Historico!$C$2:$ET$103,B87+1,0)</f>
        <v>1.79539</v>
      </c>
      <c r="Q87" s="182">
        <f t="shared" si="38"/>
        <v>4.7243235569488062E-4</v>
      </c>
      <c r="R87" s="181">
        <f>HLOOKUP($R$3,VaR_Calculo_Historico!$C$2:$ET$103,B87+1,0)</f>
        <v>1.3435140000000001</v>
      </c>
      <c r="S87" s="182">
        <f t="shared" si="39"/>
        <v>8.4020634897172958E-3</v>
      </c>
      <c r="T87" s="181" t="e">
        <f>HLOOKUP($T$3,VaR_Calculo_Historico!$C$2:$ET$103,B87+1,0)</f>
        <v>#N/A</v>
      </c>
      <c r="U87" s="182" t="e">
        <f t="shared" si="40"/>
        <v>#N/A</v>
      </c>
      <c r="V87" s="181" t="e">
        <f>HLOOKUP($V$3,VaR_Calculo_Historico!$C$2:$ET$103,B87+1,0)</f>
        <v>#N/A</v>
      </c>
      <c r="W87" s="182" t="e">
        <f t="shared" si="41"/>
        <v>#N/A</v>
      </c>
      <c r="X87" s="181" t="e">
        <f>HLOOKUP($X$3,VaR_Calculo_Historico!$C$2:$ET$103,B87+1,0)</f>
        <v>#N/A</v>
      </c>
      <c r="Y87" s="182" t="e">
        <f t="shared" si="42"/>
        <v>#N/A</v>
      </c>
      <c r="Z87" s="181" t="e">
        <f>HLOOKUP($Z$3,VaR_Calculo_Historico!$C$2:$ET$103,B87+1,0)</f>
        <v>#N/A</v>
      </c>
      <c r="AA87" s="182" t="e">
        <f t="shared" si="43"/>
        <v>#N/A</v>
      </c>
      <c r="AB87" s="181" t="e">
        <f>HLOOKUP($AB$3,VaR_Calculo_Historico!$C$2:$ET$103,B87+1,0)</f>
        <v>#N/A</v>
      </c>
      <c r="AC87" s="182" t="e">
        <f t="shared" si="44"/>
        <v>#N/A</v>
      </c>
      <c r="AD87" s="181" t="e">
        <f>HLOOKUP($AD$3,VaR_Calculo_Historico!$C$2:$ET$103,B87+1,0)</f>
        <v>#N/A</v>
      </c>
      <c r="AE87" s="182" t="e">
        <f t="shared" si="45"/>
        <v>#N/A</v>
      </c>
      <c r="AF87" s="181" t="e">
        <f>HLOOKUP($AF$3,VaR_Calculo_Historico!$C$2:$FZS$104,B87+1,0)</f>
        <v>#N/A</v>
      </c>
      <c r="AG87" s="182" t="e">
        <f t="shared" si="46"/>
        <v>#N/A</v>
      </c>
      <c r="AH87" s="181" t="e">
        <f>HLOOKUP($AH$3,VaR_Calculo_Historico!$C$2:$FS$104,B87+1,0)</f>
        <v>#N/A</v>
      </c>
      <c r="AI87" s="182" t="e">
        <f t="shared" si="47"/>
        <v>#N/A</v>
      </c>
      <c r="AJ87" s="181" t="e">
        <f>HLOOKUP($AJ$3,VaR_Calculo_Historico!$C$2:$ET$103,B87+1,0)</f>
        <v>#N/A</v>
      </c>
      <c r="AK87" s="182" t="e">
        <f t="shared" si="48"/>
        <v>#N/A</v>
      </c>
      <c r="AL87" s="181" t="e">
        <f>HLOOKUP($AL$3,VaR_Calculo_Historico!$C$2:$ET$103,B87+1,0)</f>
        <v>#N/A</v>
      </c>
      <c r="AM87" s="182" t="e">
        <f t="shared" si="49"/>
        <v>#N/A</v>
      </c>
      <c r="AN87" s="181" t="e">
        <f>HLOOKUP($AN$3,VaR_Calculo_Historico!$C$2:$ET$103,B87+1,0)</f>
        <v>#N/A</v>
      </c>
      <c r="AO87" s="182" t="e">
        <f t="shared" si="50"/>
        <v>#N/A</v>
      </c>
      <c r="AP87" s="181" t="e">
        <f>HLOOKUP($AP$3,VaR_Calculo_Historico!$C$2:$ET$103,B87+1,0)</f>
        <v>#N/A</v>
      </c>
      <c r="AQ87" s="182" t="e">
        <f t="shared" si="51"/>
        <v>#N/A</v>
      </c>
      <c r="AR87" s="181" t="e">
        <f>HLOOKUP($AR$3,VaR_Calculo_Historico!$C$2:$ET$103,B87+1,0)</f>
        <v>#N/A</v>
      </c>
      <c r="AS87" s="182" t="e">
        <f t="shared" si="52"/>
        <v>#N/A</v>
      </c>
      <c r="AT87" s="181" t="e">
        <f>HLOOKUP($AT$3,VaR_Calculo_Historico!$C$2:$ET$103,B87+1,0)</f>
        <v>#N/A</v>
      </c>
      <c r="AU87" s="182" t="e">
        <f t="shared" si="53"/>
        <v>#N/A</v>
      </c>
      <c r="AV87" s="181" t="e">
        <f>HLOOKUP($AV$3,VaR_Calculo_Historico!$C$2:$ET$103,B87+1,0)</f>
        <v>#N/A</v>
      </c>
      <c r="AW87" s="223" t="e">
        <f t="shared" si="54"/>
        <v>#N/A</v>
      </c>
      <c r="AX87" s="181" t="e">
        <f>HLOOKUP($AX$3,VaR_Calculo_Historico!$C$2:$ET$103,B87+1,0)</f>
        <v>#N/A</v>
      </c>
      <c r="AY87" s="182" t="e">
        <f t="shared" si="55"/>
        <v>#N/A</v>
      </c>
      <c r="AZ87" s="181" t="e">
        <f>HLOOKUP($AZ$3,VaR_Calculo_Historico!$C$2:$ET$103,B87+1,0)</f>
        <v>#N/A</v>
      </c>
      <c r="BA87" s="182" t="e">
        <f t="shared" si="56"/>
        <v>#N/A</v>
      </c>
      <c r="BB87" s="181" t="e">
        <f>HLOOKUP($BB$3,VaR_Calculo_Historico!$C$2:$ET$103,B87+1,0)</f>
        <v>#N/A</v>
      </c>
      <c r="BC87" s="182" t="e">
        <f t="shared" si="57"/>
        <v>#N/A</v>
      </c>
      <c r="BD87" s="181" t="e">
        <f>HLOOKUP($BD$3,VaR_Calculo_Historico!$C$2:$ET$103,B87+1,0)</f>
        <v>#N/A</v>
      </c>
      <c r="BE87" s="182" t="e">
        <f t="shared" si="58"/>
        <v>#N/A</v>
      </c>
      <c r="BF87" s="181" t="e">
        <f>HLOOKUP($BF$3,VaR_Calculo_Historico!$C$2:$ET$103,B87+1,0)</f>
        <v>#N/A</v>
      </c>
      <c r="BG87" s="182" t="e">
        <f t="shared" si="59"/>
        <v>#N/A</v>
      </c>
      <c r="BH87" s="181" t="e">
        <f>HLOOKUP($BH$3,VaR_Calculo_Historico!$C$2:$ET$103,B87+1,0)</f>
        <v>#N/A</v>
      </c>
      <c r="BI87" s="223" t="e">
        <f t="shared" si="60"/>
        <v>#N/A</v>
      </c>
      <c r="BJ87" s="181" t="e">
        <f>HLOOKUP($BJ$3,VaR_Calculo_Historico!$C$2:$ET$103,B87+1,0)</f>
        <v>#N/A</v>
      </c>
      <c r="BK87" s="223" t="e">
        <f t="shared" si="61"/>
        <v>#N/A</v>
      </c>
      <c r="BL87" s="181" t="e">
        <f>HLOOKUP($BL$3,VaR_Calculo_Historico!$C$2:$ET$103,B87+1,0)</f>
        <v>#N/A</v>
      </c>
      <c r="BM87" s="223" t="e">
        <f t="shared" si="62"/>
        <v>#N/A</v>
      </c>
      <c r="BN87" s="181" t="e">
        <f>HLOOKUP($BN$3,VaR_Calculo_Historico!$C$2:$EY$103,B87+1,0)</f>
        <v>#N/A</v>
      </c>
      <c r="BO87" s="223" t="e">
        <f t="shared" si="63"/>
        <v>#N/A</v>
      </c>
    </row>
    <row r="88" spans="2:67" x14ac:dyDescent="0.3">
      <c r="B88" s="166">
        <v>84</v>
      </c>
      <c r="C88" s="208">
        <f>VaR_Calculo_Historico!B85</f>
        <v>42433</v>
      </c>
      <c r="D88" s="181">
        <f>HLOOKUP($D$3,VaR_Calculo_Historico!$C$2:$ET$103,B88+1,0)</f>
        <v>3.4858855480000002</v>
      </c>
      <c r="E88" s="182">
        <f t="shared" si="32"/>
        <v>-2.6800932778408412E-3</v>
      </c>
      <c r="F88" s="181">
        <f>HLOOKUP($F$3,VaR_Calculo_Historico!$C$2:$ET$103,B88+1,0)</f>
        <v>1.6311789999999999</v>
      </c>
      <c r="G88" s="182">
        <f t="shared" si="33"/>
        <v>4.7645605900877448E-4</v>
      </c>
      <c r="H88" s="181">
        <f>HLOOKUP($H$3,VaR_Calculo_Historico!$C$2:$ET$103,B88+1,0)</f>
        <v>1.141872271</v>
      </c>
      <c r="I88" s="182">
        <f t="shared" si="34"/>
        <v>-4.7065816426373086E-4</v>
      </c>
      <c r="J88" s="181">
        <f>HLOOKUP($J$3,VaR_Calculo_Historico!$C$2:$ET$103,B88+1,0)</f>
        <v>1.8805719999999999</v>
      </c>
      <c r="K88" s="182">
        <f t="shared" si="35"/>
        <v>3.0208138557450337E-4</v>
      </c>
      <c r="L88" s="181">
        <f>HLOOKUP($L$3,VaR_Calculo_Historico!$C$2:$ET$103,B88+1,0)</f>
        <v>1.078789</v>
      </c>
      <c r="M88" s="182">
        <f t="shared" si="36"/>
        <v>1.9931740806891041E-4</v>
      </c>
      <c r="N88" s="181">
        <f>HLOOKUP($N$3,VaR_Calculo_Historico!$C$2:$ET$103,B88+1,0)</f>
        <v>2.654703</v>
      </c>
      <c r="O88" s="182">
        <f t="shared" si="37"/>
        <v>5.2072109366036064E-4</v>
      </c>
      <c r="P88" s="181">
        <f>HLOOKUP($P$3,VaR_Calculo_Historico!$C$2:$ET$103,B88+1,0)</f>
        <v>1.7959449999999999</v>
      </c>
      <c r="Q88" s="182">
        <f t="shared" si="38"/>
        <v>3.0907726760004471E-4</v>
      </c>
      <c r="R88" s="181">
        <f>HLOOKUP($R$3,VaR_Calculo_Historico!$C$2:$ET$103,B88+1,0)</f>
        <v>1.336954</v>
      </c>
      <c r="S88" s="182">
        <f t="shared" si="39"/>
        <v>-4.8946774197358694E-3</v>
      </c>
      <c r="T88" s="181" t="e">
        <f>HLOOKUP($T$3,VaR_Calculo_Historico!$C$2:$ET$103,B88+1,0)</f>
        <v>#N/A</v>
      </c>
      <c r="U88" s="182" t="e">
        <f t="shared" si="40"/>
        <v>#N/A</v>
      </c>
      <c r="V88" s="181" t="e">
        <f>HLOOKUP($V$3,VaR_Calculo_Historico!$C$2:$ET$103,B88+1,0)</f>
        <v>#N/A</v>
      </c>
      <c r="W88" s="182" t="e">
        <f t="shared" si="41"/>
        <v>#N/A</v>
      </c>
      <c r="X88" s="181" t="e">
        <f>HLOOKUP($X$3,VaR_Calculo_Historico!$C$2:$ET$103,B88+1,0)</f>
        <v>#N/A</v>
      </c>
      <c r="Y88" s="182" t="e">
        <f t="shared" si="42"/>
        <v>#N/A</v>
      </c>
      <c r="Z88" s="181" t="e">
        <f>HLOOKUP($Z$3,VaR_Calculo_Historico!$C$2:$ET$103,B88+1,0)</f>
        <v>#N/A</v>
      </c>
      <c r="AA88" s="182" t="e">
        <f t="shared" si="43"/>
        <v>#N/A</v>
      </c>
      <c r="AB88" s="181" t="e">
        <f>HLOOKUP($AB$3,VaR_Calculo_Historico!$C$2:$ET$103,B88+1,0)</f>
        <v>#N/A</v>
      </c>
      <c r="AC88" s="182" t="e">
        <f t="shared" si="44"/>
        <v>#N/A</v>
      </c>
      <c r="AD88" s="181" t="e">
        <f>HLOOKUP($AD$3,VaR_Calculo_Historico!$C$2:$ET$103,B88+1,0)</f>
        <v>#N/A</v>
      </c>
      <c r="AE88" s="182" t="e">
        <f t="shared" si="45"/>
        <v>#N/A</v>
      </c>
      <c r="AF88" s="181" t="e">
        <f>HLOOKUP($AF$3,VaR_Calculo_Historico!$C$2:$FZS$104,B88+1,0)</f>
        <v>#N/A</v>
      </c>
      <c r="AG88" s="182" t="e">
        <f t="shared" si="46"/>
        <v>#N/A</v>
      </c>
      <c r="AH88" s="181" t="e">
        <f>HLOOKUP($AH$3,VaR_Calculo_Historico!$C$2:$FS$104,B88+1,0)</f>
        <v>#N/A</v>
      </c>
      <c r="AI88" s="182" t="e">
        <f t="shared" si="47"/>
        <v>#N/A</v>
      </c>
      <c r="AJ88" s="181" t="e">
        <f>HLOOKUP($AJ$3,VaR_Calculo_Historico!$C$2:$ET$103,B88+1,0)</f>
        <v>#N/A</v>
      </c>
      <c r="AK88" s="182" t="e">
        <f t="shared" si="48"/>
        <v>#N/A</v>
      </c>
      <c r="AL88" s="181" t="e">
        <f>HLOOKUP($AL$3,VaR_Calculo_Historico!$C$2:$ET$103,B88+1,0)</f>
        <v>#N/A</v>
      </c>
      <c r="AM88" s="182" t="e">
        <f t="shared" si="49"/>
        <v>#N/A</v>
      </c>
      <c r="AN88" s="181" t="e">
        <f>HLOOKUP($AN$3,VaR_Calculo_Historico!$C$2:$ET$103,B88+1,0)</f>
        <v>#N/A</v>
      </c>
      <c r="AO88" s="182" t="e">
        <f t="shared" si="50"/>
        <v>#N/A</v>
      </c>
      <c r="AP88" s="181" t="e">
        <f>HLOOKUP($AP$3,VaR_Calculo_Historico!$C$2:$ET$103,B88+1,0)</f>
        <v>#N/A</v>
      </c>
      <c r="AQ88" s="182" t="e">
        <f t="shared" si="51"/>
        <v>#N/A</v>
      </c>
      <c r="AR88" s="181" t="e">
        <f>HLOOKUP($AR$3,VaR_Calculo_Historico!$C$2:$ET$103,B88+1,0)</f>
        <v>#N/A</v>
      </c>
      <c r="AS88" s="182" t="e">
        <f t="shared" si="52"/>
        <v>#N/A</v>
      </c>
      <c r="AT88" s="181" t="e">
        <f>HLOOKUP($AT$3,VaR_Calculo_Historico!$C$2:$ET$103,B88+1,0)</f>
        <v>#N/A</v>
      </c>
      <c r="AU88" s="182" t="e">
        <f t="shared" si="53"/>
        <v>#N/A</v>
      </c>
      <c r="AV88" s="181" t="e">
        <f>HLOOKUP($AV$3,VaR_Calculo_Historico!$C$2:$ET$103,B88+1,0)</f>
        <v>#N/A</v>
      </c>
      <c r="AW88" s="223" t="e">
        <f t="shared" si="54"/>
        <v>#N/A</v>
      </c>
      <c r="AX88" s="181" t="e">
        <f>HLOOKUP($AX$3,VaR_Calculo_Historico!$C$2:$ET$103,B88+1,0)</f>
        <v>#N/A</v>
      </c>
      <c r="AY88" s="182" t="e">
        <f t="shared" si="55"/>
        <v>#N/A</v>
      </c>
      <c r="AZ88" s="181" t="e">
        <f>HLOOKUP($AZ$3,VaR_Calculo_Historico!$C$2:$ET$103,B88+1,0)</f>
        <v>#N/A</v>
      </c>
      <c r="BA88" s="182" t="e">
        <f t="shared" si="56"/>
        <v>#N/A</v>
      </c>
      <c r="BB88" s="181" t="e">
        <f>HLOOKUP($BB$3,VaR_Calculo_Historico!$C$2:$ET$103,B88+1,0)</f>
        <v>#N/A</v>
      </c>
      <c r="BC88" s="182" t="e">
        <f t="shared" si="57"/>
        <v>#N/A</v>
      </c>
      <c r="BD88" s="181" t="e">
        <f>HLOOKUP($BD$3,VaR_Calculo_Historico!$C$2:$ET$103,B88+1,0)</f>
        <v>#N/A</v>
      </c>
      <c r="BE88" s="182" t="e">
        <f t="shared" si="58"/>
        <v>#N/A</v>
      </c>
      <c r="BF88" s="181" t="e">
        <f>HLOOKUP($BF$3,VaR_Calculo_Historico!$C$2:$ET$103,B88+1,0)</f>
        <v>#N/A</v>
      </c>
      <c r="BG88" s="182" t="e">
        <f t="shared" si="59"/>
        <v>#N/A</v>
      </c>
      <c r="BH88" s="181" t="e">
        <f>HLOOKUP($BH$3,VaR_Calculo_Historico!$C$2:$ET$103,B88+1,0)</f>
        <v>#N/A</v>
      </c>
      <c r="BI88" s="223" t="e">
        <f t="shared" si="60"/>
        <v>#N/A</v>
      </c>
      <c r="BJ88" s="181" t="e">
        <f>HLOOKUP($BJ$3,VaR_Calculo_Historico!$C$2:$ET$103,B88+1,0)</f>
        <v>#N/A</v>
      </c>
      <c r="BK88" s="223" t="e">
        <f t="shared" si="61"/>
        <v>#N/A</v>
      </c>
      <c r="BL88" s="181" t="e">
        <f>HLOOKUP($BL$3,VaR_Calculo_Historico!$C$2:$ET$103,B88+1,0)</f>
        <v>#N/A</v>
      </c>
      <c r="BM88" s="223" t="e">
        <f t="shared" si="62"/>
        <v>#N/A</v>
      </c>
      <c r="BN88" s="181" t="e">
        <f>HLOOKUP($BN$3,VaR_Calculo_Historico!$C$2:$EY$103,B88+1,0)</f>
        <v>#N/A</v>
      </c>
      <c r="BO88" s="223" t="e">
        <f t="shared" si="63"/>
        <v>#N/A</v>
      </c>
    </row>
    <row r="89" spans="2:67" x14ac:dyDescent="0.3">
      <c r="B89" s="166">
        <v>85</v>
      </c>
      <c r="C89" s="208">
        <f>VaR_Calculo_Historico!B86</f>
        <v>42436</v>
      </c>
      <c r="D89" s="181">
        <f>HLOOKUP($D$3,VaR_Calculo_Historico!$C$2:$ET$103,B89+1,0)</f>
        <v>3.4987042860000002</v>
      </c>
      <c r="E89" s="182">
        <f t="shared" si="32"/>
        <v>3.6705812931242024E-3</v>
      </c>
      <c r="F89" s="181">
        <f>HLOOKUP($F$3,VaR_Calculo_Historico!$C$2:$ET$103,B89+1,0)</f>
        <v>1.6320170000000001</v>
      </c>
      <c r="G89" s="182">
        <f t="shared" si="33"/>
        <v>5.1360691691305417E-4</v>
      </c>
      <c r="H89" s="181">
        <f>HLOOKUP($H$3,VaR_Calculo_Historico!$C$2:$ET$103,B89+1,0)</f>
        <v>1.142402965</v>
      </c>
      <c r="I89" s="182">
        <f t="shared" si="34"/>
        <v>4.6464979454709134E-4</v>
      </c>
      <c r="J89" s="181">
        <f>HLOOKUP($J$3,VaR_Calculo_Historico!$C$2:$ET$103,B89+1,0)</f>
        <v>1.881928</v>
      </c>
      <c r="K89" s="182">
        <f t="shared" si="35"/>
        <v>7.2079737340026591E-4</v>
      </c>
      <c r="L89" s="181">
        <f>HLOOKUP($L$3,VaR_Calculo_Historico!$C$2:$ET$103,B89+1,0)</f>
        <v>1.0789550000000001</v>
      </c>
      <c r="M89" s="182">
        <f t="shared" si="36"/>
        <v>1.5386440683200255E-4</v>
      </c>
      <c r="N89" s="181">
        <f>HLOOKUP($N$3,VaR_Calculo_Historico!$C$2:$ET$103,B89+1,0)</f>
        <v>2.6560769999999998</v>
      </c>
      <c r="O89" s="182">
        <f t="shared" si="37"/>
        <v>5.174381279796984E-4</v>
      </c>
      <c r="P89" s="181">
        <f>HLOOKUP($P$3,VaR_Calculo_Historico!$C$2:$ET$103,B89+1,0)</f>
        <v>1.7972410000000001</v>
      </c>
      <c r="Q89" s="182">
        <f t="shared" si="38"/>
        <v>7.2136541565065578E-4</v>
      </c>
      <c r="R89" s="181">
        <f>HLOOKUP($R$3,VaR_Calculo_Historico!$C$2:$ET$103,B89+1,0)</f>
        <v>1.3454219999999999</v>
      </c>
      <c r="S89" s="182">
        <f t="shared" si="39"/>
        <v>6.3138263472097972E-3</v>
      </c>
      <c r="T89" s="181" t="e">
        <f>HLOOKUP($T$3,VaR_Calculo_Historico!$C$2:$ET$103,B89+1,0)</f>
        <v>#N/A</v>
      </c>
      <c r="U89" s="182" t="e">
        <f t="shared" si="40"/>
        <v>#N/A</v>
      </c>
      <c r="V89" s="181" t="e">
        <f>HLOOKUP($V$3,VaR_Calculo_Historico!$C$2:$ET$103,B89+1,0)</f>
        <v>#N/A</v>
      </c>
      <c r="W89" s="182" t="e">
        <f t="shared" si="41"/>
        <v>#N/A</v>
      </c>
      <c r="X89" s="181" t="e">
        <f>HLOOKUP($X$3,VaR_Calculo_Historico!$C$2:$ET$103,B89+1,0)</f>
        <v>#N/A</v>
      </c>
      <c r="Y89" s="182" t="e">
        <f t="shared" si="42"/>
        <v>#N/A</v>
      </c>
      <c r="Z89" s="181" t="e">
        <f>HLOOKUP($Z$3,VaR_Calculo_Historico!$C$2:$ET$103,B89+1,0)</f>
        <v>#N/A</v>
      </c>
      <c r="AA89" s="182" t="e">
        <f t="shared" si="43"/>
        <v>#N/A</v>
      </c>
      <c r="AB89" s="181" t="e">
        <f>HLOOKUP($AB$3,VaR_Calculo_Historico!$C$2:$ET$103,B89+1,0)</f>
        <v>#N/A</v>
      </c>
      <c r="AC89" s="182" t="e">
        <f t="shared" si="44"/>
        <v>#N/A</v>
      </c>
      <c r="AD89" s="181" t="e">
        <f>HLOOKUP($AD$3,VaR_Calculo_Historico!$C$2:$ET$103,B89+1,0)</f>
        <v>#N/A</v>
      </c>
      <c r="AE89" s="182" t="e">
        <f t="shared" si="45"/>
        <v>#N/A</v>
      </c>
      <c r="AF89" s="181" t="e">
        <f>HLOOKUP($AF$3,VaR_Calculo_Historico!$C$2:$FZS$104,B89+1,0)</f>
        <v>#N/A</v>
      </c>
      <c r="AG89" s="182" t="e">
        <f t="shared" si="46"/>
        <v>#N/A</v>
      </c>
      <c r="AH89" s="181" t="e">
        <f>HLOOKUP($AH$3,VaR_Calculo_Historico!$C$2:$FS$104,B89+1,0)</f>
        <v>#N/A</v>
      </c>
      <c r="AI89" s="182" t="e">
        <f t="shared" si="47"/>
        <v>#N/A</v>
      </c>
      <c r="AJ89" s="181" t="e">
        <f>HLOOKUP($AJ$3,VaR_Calculo_Historico!$C$2:$ET$103,B89+1,0)</f>
        <v>#N/A</v>
      </c>
      <c r="AK89" s="182" t="e">
        <f t="shared" si="48"/>
        <v>#N/A</v>
      </c>
      <c r="AL89" s="181" t="e">
        <f>HLOOKUP($AL$3,VaR_Calculo_Historico!$C$2:$ET$103,B89+1,0)</f>
        <v>#N/A</v>
      </c>
      <c r="AM89" s="182" t="e">
        <f t="shared" si="49"/>
        <v>#N/A</v>
      </c>
      <c r="AN89" s="181" t="e">
        <f>HLOOKUP($AN$3,VaR_Calculo_Historico!$C$2:$ET$103,B89+1,0)</f>
        <v>#N/A</v>
      </c>
      <c r="AO89" s="182" t="e">
        <f t="shared" si="50"/>
        <v>#N/A</v>
      </c>
      <c r="AP89" s="181" t="e">
        <f>HLOOKUP($AP$3,VaR_Calculo_Historico!$C$2:$ET$103,B89+1,0)</f>
        <v>#N/A</v>
      </c>
      <c r="AQ89" s="182" t="e">
        <f t="shared" si="51"/>
        <v>#N/A</v>
      </c>
      <c r="AR89" s="181" t="e">
        <f>HLOOKUP($AR$3,VaR_Calculo_Historico!$C$2:$ET$103,B89+1,0)</f>
        <v>#N/A</v>
      </c>
      <c r="AS89" s="182" t="e">
        <f t="shared" si="52"/>
        <v>#N/A</v>
      </c>
      <c r="AT89" s="181" t="e">
        <f>HLOOKUP($AT$3,VaR_Calculo_Historico!$C$2:$ET$103,B89+1,0)</f>
        <v>#N/A</v>
      </c>
      <c r="AU89" s="182" t="e">
        <f t="shared" si="53"/>
        <v>#N/A</v>
      </c>
      <c r="AV89" s="181" t="e">
        <f>HLOOKUP($AV$3,VaR_Calculo_Historico!$C$2:$ET$103,B89+1,0)</f>
        <v>#N/A</v>
      </c>
      <c r="AW89" s="223" t="e">
        <f t="shared" si="54"/>
        <v>#N/A</v>
      </c>
      <c r="AX89" s="181" t="e">
        <f>HLOOKUP($AX$3,VaR_Calculo_Historico!$C$2:$ET$103,B89+1,0)</f>
        <v>#N/A</v>
      </c>
      <c r="AY89" s="182" t="e">
        <f t="shared" si="55"/>
        <v>#N/A</v>
      </c>
      <c r="AZ89" s="181" t="e">
        <f>HLOOKUP($AZ$3,VaR_Calculo_Historico!$C$2:$ET$103,B89+1,0)</f>
        <v>#N/A</v>
      </c>
      <c r="BA89" s="182" t="e">
        <f t="shared" si="56"/>
        <v>#N/A</v>
      </c>
      <c r="BB89" s="181" t="e">
        <f>HLOOKUP($BB$3,VaR_Calculo_Historico!$C$2:$ET$103,B89+1,0)</f>
        <v>#N/A</v>
      </c>
      <c r="BC89" s="182" t="e">
        <f t="shared" si="57"/>
        <v>#N/A</v>
      </c>
      <c r="BD89" s="181" t="e">
        <f>HLOOKUP($BD$3,VaR_Calculo_Historico!$C$2:$ET$103,B89+1,0)</f>
        <v>#N/A</v>
      </c>
      <c r="BE89" s="182" t="e">
        <f t="shared" si="58"/>
        <v>#N/A</v>
      </c>
      <c r="BF89" s="181" t="e">
        <f>HLOOKUP($BF$3,VaR_Calculo_Historico!$C$2:$ET$103,B89+1,0)</f>
        <v>#N/A</v>
      </c>
      <c r="BG89" s="182" t="e">
        <f t="shared" si="59"/>
        <v>#N/A</v>
      </c>
      <c r="BH89" s="181" t="e">
        <f>HLOOKUP($BH$3,VaR_Calculo_Historico!$C$2:$ET$103,B89+1,0)</f>
        <v>#N/A</v>
      </c>
      <c r="BI89" s="223" t="e">
        <f t="shared" si="60"/>
        <v>#N/A</v>
      </c>
      <c r="BJ89" s="181" t="e">
        <f>HLOOKUP($BJ$3,VaR_Calculo_Historico!$C$2:$ET$103,B89+1,0)</f>
        <v>#N/A</v>
      </c>
      <c r="BK89" s="223" t="e">
        <f t="shared" si="61"/>
        <v>#N/A</v>
      </c>
      <c r="BL89" s="181" t="e">
        <f>HLOOKUP($BL$3,VaR_Calculo_Historico!$C$2:$ET$103,B89+1,0)</f>
        <v>#N/A</v>
      </c>
      <c r="BM89" s="223" t="e">
        <f t="shared" si="62"/>
        <v>#N/A</v>
      </c>
      <c r="BN89" s="181" t="e">
        <f>HLOOKUP($BN$3,VaR_Calculo_Historico!$C$2:$EY$103,B89+1,0)</f>
        <v>#N/A</v>
      </c>
      <c r="BO89" s="223" t="e">
        <f t="shared" si="63"/>
        <v>#N/A</v>
      </c>
    </row>
    <row r="90" spans="2:67" x14ac:dyDescent="0.3">
      <c r="B90" s="166">
        <v>86</v>
      </c>
      <c r="C90" s="208">
        <f>VaR_Calculo_Historico!B87</f>
        <v>42437</v>
      </c>
      <c r="D90" s="181">
        <f>HLOOKUP($D$3,VaR_Calculo_Historico!$C$2:$ET$103,B90+1,0)</f>
        <v>3.5144173329999999</v>
      </c>
      <c r="E90" s="182">
        <f t="shared" si="32"/>
        <v>4.4810497084017843E-3</v>
      </c>
      <c r="F90" s="181">
        <f>HLOOKUP($F$3,VaR_Calculo_Historico!$C$2:$ET$103,B90+1,0)</f>
        <v>1.6328579999999999</v>
      </c>
      <c r="G90" s="182">
        <f t="shared" si="33"/>
        <v>5.1518053132256457E-4</v>
      </c>
      <c r="H90" s="181">
        <f>HLOOKUP($H$3,VaR_Calculo_Historico!$C$2:$ET$103,B90+1,0)</f>
        <v>1.1424001020000001</v>
      </c>
      <c r="I90" s="182">
        <f t="shared" si="34"/>
        <v>-2.5061240868701344E-6</v>
      </c>
      <c r="J90" s="181">
        <f>HLOOKUP($J$3,VaR_Calculo_Historico!$C$2:$ET$103,B90+1,0)</f>
        <v>1.883777</v>
      </c>
      <c r="K90" s="182">
        <f t="shared" si="35"/>
        <v>9.8202070984991833E-4</v>
      </c>
      <c r="L90" s="181">
        <f>HLOOKUP($L$3,VaR_Calculo_Historico!$C$2:$ET$103,B90+1,0)</f>
        <v>1.0786910000000001</v>
      </c>
      <c r="M90" s="182">
        <f t="shared" si="36"/>
        <v>-2.4471113548509558E-4</v>
      </c>
      <c r="N90" s="181">
        <f>HLOOKUP($N$3,VaR_Calculo_Historico!$C$2:$ET$103,B90+1,0)</f>
        <v>2.657451</v>
      </c>
      <c r="O90" s="182">
        <f t="shared" si="37"/>
        <v>5.1717052422614108E-4</v>
      </c>
      <c r="P90" s="181">
        <f>HLOOKUP($P$3,VaR_Calculo_Historico!$C$2:$ET$103,B90+1,0)</f>
        <v>1.7990010000000001</v>
      </c>
      <c r="Q90" s="182">
        <f t="shared" si="38"/>
        <v>9.7879961388246269E-4</v>
      </c>
      <c r="R90" s="181">
        <f>HLOOKUP($R$3,VaR_Calculo_Historico!$C$2:$ET$103,B90+1,0)</f>
        <v>1.355361</v>
      </c>
      <c r="S90" s="182">
        <f t="shared" si="39"/>
        <v>7.3601210222416771E-3</v>
      </c>
      <c r="T90" s="181" t="e">
        <f>HLOOKUP($T$3,VaR_Calculo_Historico!$C$2:$ET$103,B90+1,0)</f>
        <v>#N/A</v>
      </c>
      <c r="U90" s="182" t="e">
        <f t="shared" si="40"/>
        <v>#N/A</v>
      </c>
      <c r="V90" s="181" t="e">
        <f>HLOOKUP($V$3,VaR_Calculo_Historico!$C$2:$ET$103,B90+1,0)</f>
        <v>#N/A</v>
      </c>
      <c r="W90" s="182" t="e">
        <f t="shared" si="41"/>
        <v>#N/A</v>
      </c>
      <c r="X90" s="181" t="e">
        <f>HLOOKUP($X$3,VaR_Calculo_Historico!$C$2:$ET$103,B90+1,0)</f>
        <v>#N/A</v>
      </c>
      <c r="Y90" s="182" t="e">
        <f t="shared" si="42"/>
        <v>#N/A</v>
      </c>
      <c r="Z90" s="181" t="e">
        <f>HLOOKUP($Z$3,VaR_Calculo_Historico!$C$2:$ET$103,B90+1,0)</f>
        <v>#N/A</v>
      </c>
      <c r="AA90" s="182" t="e">
        <f t="shared" si="43"/>
        <v>#N/A</v>
      </c>
      <c r="AB90" s="181" t="e">
        <f>HLOOKUP($AB$3,VaR_Calculo_Historico!$C$2:$ET$103,B90+1,0)</f>
        <v>#N/A</v>
      </c>
      <c r="AC90" s="182" t="e">
        <f t="shared" si="44"/>
        <v>#N/A</v>
      </c>
      <c r="AD90" s="181" t="e">
        <f>HLOOKUP($AD$3,VaR_Calculo_Historico!$C$2:$ET$103,B90+1,0)</f>
        <v>#N/A</v>
      </c>
      <c r="AE90" s="182" t="e">
        <f t="shared" si="45"/>
        <v>#N/A</v>
      </c>
      <c r="AF90" s="181" t="e">
        <f>HLOOKUP($AF$3,VaR_Calculo_Historico!$C$2:$FZS$104,B90+1,0)</f>
        <v>#N/A</v>
      </c>
      <c r="AG90" s="182" t="e">
        <f t="shared" si="46"/>
        <v>#N/A</v>
      </c>
      <c r="AH90" s="181" t="e">
        <f>HLOOKUP($AH$3,VaR_Calculo_Historico!$C$2:$FS$104,B90+1,0)</f>
        <v>#N/A</v>
      </c>
      <c r="AI90" s="182" t="e">
        <f t="shared" si="47"/>
        <v>#N/A</v>
      </c>
      <c r="AJ90" s="181" t="e">
        <f>HLOOKUP($AJ$3,VaR_Calculo_Historico!$C$2:$ET$103,B90+1,0)</f>
        <v>#N/A</v>
      </c>
      <c r="AK90" s="182" t="e">
        <f t="shared" si="48"/>
        <v>#N/A</v>
      </c>
      <c r="AL90" s="181" t="e">
        <f>HLOOKUP($AL$3,VaR_Calculo_Historico!$C$2:$ET$103,B90+1,0)</f>
        <v>#N/A</v>
      </c>
      <c r="AM90" s="182" t="e">
        <f t="shared" si="49"/>
        <v>#N/A</v>
      </c>
      <c r="AN90" s="181" t="e">
        <f>HLOOKUP($AN$3,VaR_Calculo_Historico!$C$2:$ET$103,B90+1,0)</f>
        <v>#N/A</v>
      </c>
      <c r="AO90" s="182" t="e">
        <f t="shared" si="50"/>
        <v>#N/A</v>
      </c>
      <c r="AP90" s="181" t="e">
        <f>HLOOKUP($AP$3,VaR_Calculo_Historico!$C$2:$ET$103,B90+1,0)</f>
        <v>#N/A</v>
      </c>
      <c r="AQ90" s="182" t="e">
        <f t="shared" si="51"/>
        <v>#N/A</v>
      </c>
      <c r="AR90" s="181" t="e">
        <f>HLOOKUP($AR$3,VaR_Calculo_Historico!$C$2:$ET$103,B90+1,0)</f>
        <v>#N/A</v>
      </c>
      <c r="AS90" s="182" t="e">
        <f t="shared" si="52"/>
        <v>#N/A</v>
      </c>
      <c r="AT90" s="181" t="e">
        <f>HLOOKUP($AT$3,VaR_Calculo_Historico!$C$2:$ET$103,B90+1,0)</f>
        <v>#N/A</v>
      </c>
      <c r="AU90" s="182" t="e">
        <f t="shared" si="53"/>
        <v>#N/A</v>
      </c>
      <c r="AV90" s="181" t="e">
        <f>HLOOKUP($AV$3,VaR_Calculo_Historico!$C$2:$ET$103,B90+1,0)</f>
        <v>#N/A</v>
      </c>
      <c r="AW90" s="223" t="e">
        <f t="shared" si="54"/>
        <v>#N/A</v>
      </c>
      <c r="AX90" s="181" t="e">
        <f>HLOOKUP($AX$3,VaR_Calculo_Historico!$C$2:$ET$103,B90+1,0)</f>
        <v>#N/A</v>
      </c>
      <c r="AY90" s="182" t="e">
        <f t="shared" si="55"/>
        <v>#N/A</v>
      </c>
      <c r="AZ90" s="181" t="e">
        <f>HLOOKUP($AZ$3,VaR_Calculo_Historico!$C$2:$ET$103,B90+1,0)</f>
        <v>#N/A</v>
      </c>
      <c r="BA90" s="182" t="e">
        <f t="shared" si="56"/>
        <v>#N/A</v>
      </c>
      <c r="BB90" s="181" t="e">
        <f>HLOOKUP($BB$3,VaR_Calculo_Historico!$C$2:$ET$103,B90+1,0)</f>
        <v>#N/A</v>
      </c>
      <c r="BC90" s="182" t="e">
        <f t="shared" si="57"/>
        <v>#N/A</v>
      </c>
      <c r="BD90" s="181" t="e">
        <f>HLOOKUP($BD$3,VaR_Calculo_Historico!$C$2:$ET$103,B90+1,0)</f>
        <v>#N/A</v>
      </c>
      <c r="BE90" s="182" t="e">
        <f t="shared" si="58"/>
        <v>#N/A</v>
      </c>
      <c r="BF90" s="181" t="e">
        <f>HLOOKUP($BF$3,VaR_Calculo_Historico!$C$2:$ET$103,B90+1,0)</f>
        <v>#N/A</v>
      </c>
      <c r="BG90" s="182" t="e">
        <f t="shared" si="59"/>
        <v>#N/A</v>
      </c>
      <c r="BH90" s="181" t="e">
        <f>HLOOKUP($BH$3,VaR_Calculo_Historico!$C$2:$ET$103,B90+1,0)</f>
        <v>#N/A</v>
      </c>
      <c r="BI90" s="223" t="e">
        <f t="shared" si="60"/>
        <v>#N/A</v>
      </c>
      <c r="BJ90" s="181" t="e">
        <f>HLOOKUP($BJ$3,VaR_Calculo_Historico!$C$2:$ET$103,B90+1,0)</f>
        <v>#N/A</v>
      </c>
      <c r="BK90" s="223" t="e">
        <f t="shared" si="61"/>
        <v>#N/A</v>
      </c>
      <c r="BL90" s="181" t="e">
        <f>HLOOKUP($BL$3,VaR_Calculo_Historico!$C$2:$ET$103,B90+1,0)</f>
        <v>#N/A</v>
      </c>
      <c r="BM90" s="223" t="e">
        <f t="shared" si="62"/>
        <v>#N/A</v>
      </c>
      <c r="BN90" s="181" t="e">
        <f>HLOOKUP($BN$3,VaR_Calculo_Historico!$C$2:$EY$103,B90+1,0)</f>
        <v>#N/A</v>
      </c>
      <c r="BO90" s="223" t="e">
        <f t="shared" si="63"/>
        <v>#N/A</v>
      </c>
    </row>
    <row r="91" spans="2:67" x14ac:dyDescent="0.3">
      <c r="B91" s="166">
        <v>87</v>
      </c>
      <c r="C91" s="208">
        <f>VaR_Calculo_Historico!B88</f>
        <v>42438</v>
      </c>
      <c r="D91" s="181">
        <f>HLOOKUP($D$3,VaR_Calculo_Historico!$C$2:$ET$103,B91+1,0)</f>
        <v>3.5230850010000001</v>
      </c>
      <c r="E91" s="182">
        <f t="shared" si="32"/>
        <v>2.4632808548838976E-3</v>
      </c>
      <c r="F91" s="181">
        <f>HLOOKUP($F$3,VaR_Calculo_Historico!$C$2:$ET$103,B91+1,0)</f>
        <v>1.6337250000000001</v>
      </c>
      <c r="G91" s="182">
        <f t="shared" si="33"/>
        <v>5.3082993474148476E-4</v>
      </c>
      <c r="H91" s="181">
        <f>HLOOKUP($H$3,VaR_Calculo_Historico!$C$2:$ET$103,B91+1,0)</f>
        <v>1.1438712550000001</v>
      </c>
      <c r="I91" s="182">
        <f t="shared" si="34"/>
        <v>1.2869454000224061E-3</v>
      </c>
      <c r="J91" s="181">
        <f>HLOOKUP($J$3,VaR_Calculo_Historico!$C$2:$ET$103,B91+1,0)</f>
        <v>1.885065</v>
      </c>
      <c r="K91" s="182">
        <f t="shared" si="35"/>
        <v>6.8349909608471187E-4</v>
      </c>
      <c r="L91" s="181">
        <f>HLOOKUP($L$3,VaR_Calculo_Historico!$C$2:$ET$103,B91+1,0)</f>
        <v>1.079979</v>
      </c>
      <c r="M91" s="182">
        <f t="shared" si="36"/>
        <v>1.1933275144842461E-3</v>
      </c>
      <c r="N91" s="181">
        <f>HLOOKUP($N$3,VaR_Calculo_Historico!$C$2:$ET$103,B91+1,0)</f>
        <v>2.6588229999999999</v>
      </c>
      <c r="O91" s="182">
        <f t="shared" si="37"/>
        <v>5.1615098486630553E-4</v>
      </c>
      <c r="P91" s="181">
        <f>HLOOKUP($P$3,VaR_Calculo_Historico!$C$2:$ET$103,B91+1,0)</f>
        <v>1.800235</v>
      </c>
      <c r="Q91" s="182">
        <f t="shared" si="38"/>
        <v>6.8570110342897907E-4</v>
      </c>
      <c r="R91" s="181">
        <f>HLOOKUP($R$3,VaR_Calculo_Historico!$C$2:$ET$103,B91+1,0)</f>
        <v>1.360746</v>
      </c>
      <c r="S91" s="182">
        <f t="shared" si="39"/>
        <v>3.9652392602717249E-3</v>
      </c>
      <c r="T91" s="181" t="e">
        <f>HLOOKUP($T$3,VaR_Calculo_Historico!$C$2:$ET$103,B91+1,0)</f>
        <v>#N/A</v>
      </c>
      <c r="U91" s="182" t="e">
        <f t="shared" si="40"/>
        <v>#N/A</v>
      </c>
      <c r="V91" s="181" t="e">
        <f>HLOOKUP($V$3,VaR_Calculo_Historico!$C$2:$ET$103,B91+1,0)</f>
        <v>#N/A</v>
      </c>
      <c r="W91" s="182" t="e">
        <f t="shared" si="41"/>
        <v>#N/A</v>
      </c>
      <c r="X91" s="181" t="e">
        <f>HLOOKUP($X$3,VaR_Calculo_Historico!$C$2:$ET$103,B91+1,0)</f>
        <v>#N/A</v>
      </c>
      <c r="Y91" s="182" t="e">
        <f t="shared" si="42"/>
        <v>#N/A</v>
      </c>
      <c r="Z91" s="181" t="e">
        <f>HLOOKUP($Z$3,VaR_Calculo_Historico!$C$2:$ET$103,B91+1,0)</f>
        <v>#N/A</v>
      </c>
      <c r="AA91" s="182" t="e">
        <f t="shared" si="43"/>
        <v>#N/A</v>
      </c>
      <c r="AB91" s="181" t="e">
        <f>HLOOKUP($AB$3,VaR_Calculo_Historico!$C$2:$ET$103,B91+1,0)</f>
        <v>#N/A</v>
      </c>
      <c r="AC91" s="182" t="e">
        <f t="shared" si="44"/>
        <v>#N/A</v>
      </c>
      <c r="AD91" s="181" t="e">
        <f>HLOOKUP($AD$3,VaR_Calculo_Historico!$C$2:$ET$103,B91+1,0)</f>
        <v>#N/A</v>
      </c>
      <c r="AE91" s="182" t="e">
        <f t="shared" si="45"/>
        <v>#N/A</v>
      </c>
      <c r="AF91" s="181" t="e">
        <f>HLOOKUP($AF$3,VaR_Calculo_Historico!$C$2:$FZS$104,B91+1,0)</f>
        <v>#N/A</v>
      </c>
      <c r="AG91" s="182" t="e">
        <f t="shared" si="46"/>
        <v>#N/A</v>
      </c>
      <c r="AH91" s="181" t="e">
        <f>HLOOKUP($AH$3,VaR_Calculo_Historico!$C$2:$FS$104,B91+1,0)</f>
        <v>#N/A</v>
      </c>
      <c r="AI91" s="182" t="e">
        <f t="shared" si="47"/>
        <v>#N/A</v>
      </c>
      <c r="AJ91" s="181" t="e">
        <f>HLOOKUP($AJ$3,VaR_Calculo_Historico!$C$2:$ET$103,B91+1,0)</f>
        <v>#N/A</v>
      </c>
      <c r="AK91" s="182" t="e">
        <f t="shared" si="48"/>
        <v>#N/A</v>
      </c>
      <c r="AL91" s="181" t="e">
        <f>HLOOKUP($AL$3,VaR_Calculo_Historico!$C$2:$ET$103,B91+1,0)</f>
        <v>#N/A</v>
      </c>
      <c r="AM91" s="182" t="e">
        <f t="shared" si="49"/>
        <v>#N/A</v>
      </c>
      <c r="AN91" s="181" t="e">
        <f>HLOOKUP($AN$3,VaR_Calculo_Historico!$C$2:$ET$103,B91+1,0)</f>
        <v>#N/A</v>
      </c>
      <c r="AO91" s="182" t="e">
        <f t="shared" si="50"/>
        <v>#N/A</v>
      </c>
      <c r="AP91" s="181" t="e">
        <f>HLOOKUP($AP$3,VaR_Calculo_Historico!$C$2:$ET$103,B91+1,0)</f>
        <v>#N/A</v>
      </c>
      <c r="AQ91" s="182" t="e">
        <f t="shared" si="51"/>
        <v>#N/A</v>
      </c>
      <c r="AR91" s="181" t="e">
        <f>HLOOKUP($AR$3,VaR_Calculo_Historico!$C$2:$ET$103,B91+1,0)</f>
        <v>#N/A</v>
      </c>
      <c r="AS91" s="182" t="e">
        <f t="shared" si="52"/>
        <v>#N/A</v>
      </c>
      <c r="AT91" s="181" t="e">
        <f>HLOOKUP($AT$3,VaR_Calculo_Historico!$C$2:$ET$103,B91+1,0)</f>
        <v>#N/A</v>
      </c>
      <c r="AU91" s="182" t="e">
        <f t="shared" si="53"/>
        <v>#N/A</v>
      </c>
      <c r="AV91" s="181" t="e">
        <f>HLOOKUP($AV$3,VaR_Calculo_Historico!$C$2:$ET$103,B91+1,0)</f>
        <v>#N/A</v>
      </c>
      <c r="AW91" s="223" t="e">
        <f t="shared" si="54"/>
        <v>#N/A</v>
      </c>
      <c r="AX91" s="181" t="e">
        <f>HLOOKUP($AX$3,VaR_Calculo_Historico!$C$2:$ET$103,B91+1,0)</f>
        <v>#N/A</v>
      </c>
      <c r="AY91" s="182" t="e">
        <f t="shared" si="55"/>
        <v>#N/A</v>
      </c>
      <c r="AZ91" s="181" t="e">
        <f>HLOOKUP($AZ$3,VaR_Calculo_Historico!$C$2:$ET$103,B91+1,0)</f>
        <v>#N/A</v>
      </c>
      <c r="BA91" s="182" t="e">
        <f t="shared" si="56"/>
        <v>#N/A</v>
      </c>
      <c r="BB91" s="181" t="e">
        <f>HLOOKUP($BB$3,VaR_Calculo_Historico!$C$2:$ET$103,B91+1,0)</f>
        <v>#N/A</v>
      </c>
      <c r="BC91" s="182" t="e">
        <f t="shared" si="57"/>
        <v>#N/A</v>
      </c>
      <c r="BD91" s="181" t="e">
        <f>HLOOKUP($BD$3,VaR_Calculo_Historico!$C$2:$ET$103,B91+1,0)</f>
        <v>#N/A</v>
      </c>
      <c r="BE91" s="182" t="e">
        <f t="shared" si="58"/>
        <v>#N/A</v>
      </c>
      <c r="BF91" s="181" t="e">
        <f>HLOOKUP($BF$3,VaR_Calculo_Historico!$C$2:$ET$103,B91+1,0)</f>
        <v>#N/A</v>
      </c>
      <c r="BG91" s="182" t="e">
        <f t="shared" si="59"/>
        <v>#N/A</v>
      </c>
      <c r="BH91" s="181" t="e">
        <f>HLOOKUP($BH$3,VaR_Calculo_Historico!$C$2:$ET$103,B91+1,0)</f>
        <v>#N/A</v>
      </c>
      <c r="BI91" s="223" t="e">
        <f t="shared" si="60"/>
        <v>#N/A</v>
      </c>
      <c r="BJ91" s="181" t="e">
        <f>HLOOKUP($BJ$3,VaR_Calculo_Historico!$C$2:$ET$103,B91+1,0)</f>
        <v>#N/A</v>
      </c>
      <c r="BK91" s="223" t="e">
        <f t="shared" si="61"/>
        <v>#N/A</v>
      </c>
      <c r="BL91" s="181" t="e">
        <f>HLOOKUP($BL$3,VaR_Calculo_Historico!$C$2:$ET$103,B91+1,0)</f>
        <v>#N/A</v>
      </c>
      <c r="BM91" s="223" t="e">
        <f t="shared" si="62"/>
        <v>#N/A</v>
      </c>
      <c r="BN91" s="181" t="e">
        <f>HLOOKUP($BN$3,VaR_Calculo_Historico!$C$2:$EY$103,B91+1,0)</f>
        <v>#N/A</v>
      </c>
      <c r="BO91" s="223" t="e">
        <f t="shared" si="63"/>
        <v>#N/A</v>
      </c>
    </row>
    <row r="92" spans="2:67" x14ac:dyDescent="0.3">
      <c r="B92" s="166">
        <v>88</v>
      </c>
      <c r="C92" s="208">
        <f>VaR_Calculo_Historico!B89</f>
        <v>42439</v>
      </c>
      <c r="D92" s="181">
        <f>HLOOKUP($D$3,VaR_Calculo_Historico!$C$2:$ET$103,B92+1,0)</f>
        <v>3.5333621389999998</v>
      </c>
      <c r="E92" s="182">
        <f t="shared" si="32"/>
        <v>2.9128384476136302E-3</v>
      </c>
      <c r="F92" s="181">
        <f>HLOOKUP($F$3,VaR_Calculo_Historico!$C$2:$ET$103,B92+1,0)</f>
        <v>1.6345909999999999</v>
      </c>
      <c r="G92" s="182">
        <f t="shared" si="33"/>
        <v>5.2993653016812365E-4</v>
      </c>
      <c r="H92" s="181">
        <f>HLOOKUP($H$3,VaR_Calculo_Historico!$C$2:$ET$103,B92+1,0)</f>
        <v>1.146023529</v>
      </c>
      <c r="I92" s="182">
        <f t="shared" si="34"/>
        <v>1.8798022064780448E-3</v>
      </c>
      <c r="J92" s="181">
        <f>HLOOKUP($J$3,VaR_Calculo_Historico!$C$2:$ET$103,B92+1,0)</f>
        <v>1.886504</v>
      </c>
      <c r="K92" s="182">
        <f t="shared" si="35"/>
        <v>7.6307768455290863E-4</v>
      </c>
      <c r="L92" s="181">
        <f>HLOOKUP($L$3,VaR_Calculo_Historico!$C$2:$ET$103,B92+1,0)</f>
        <v>1.0815360000000001</v>
      </c>
      <c r="M92" s="182">
        <f t="shared" si="36"/>
        <v>1.4406564555832213E-3</v>
      </c>
      <c r="N92" s="181">
        <f>HLOOKUP($N$3,VaR_Calculo_Historico!$C$2:$ET$103,B92+1,0)</f>
        <v>2.6601219999999999</v>
      </c>
      <c r="O92" s="182">
        <f t="shared" si="37"/>
        <v>4.8844273660514055E-4</v>
      </c>
      <c r="P92" s="181">
        <f>HLOOKUP($P$3,VaR_Calculo_Historico!$C$2:$ET$103,B92+1,0)</f>
        <v>1.801609</v>
      </c>
      <c r="Q92" s="182">
        <f t="shared" si="38"/>
        <v>7.6294257421926455E-4</v>
      </c>
      <c r="R92" s="181">
        <f>HLOOKUP($R$3,VaR_Calculo_Historico!$C$2:$ET$103,B92+1,0)</f>
        <v>1.3670150000000001</v>
      </c>
      <c r="S92" s="182">
        <f t="shared" si="39"/>
        <v>4.5964518425815996E-3</v>
      </c>
      <c r="T92" s="181" t="e">
        <f>HLOOKUP($T$3,VaR_Calculo_Historico!$C$2:$ET$103,B92+1,0)</f>
        <v>#N/A</v>
      </c>
      <c r="U92" s="182" t="e">
        <f t="shared" si="40"/>
        <v>#N/A</v>
      </c>
      <c r="V92" s="181" t="e">
        <f>HLOOKUP($V$3,VaR_Calculo_Historico!$C$2:$ET$103,B92+1,0)</f>
        <v>#N/A</v>
      </c>
      <c r="W92" s="182" t="e">
        <f t="shared" si="41"/>
        <v>#N/A</v>
      </c>
      <c r="X92" s="181" t="e">
        <f>HLOOKUP($X$3,VaR_Calculo_Historico!$C$2:$ET$103,B92+1,0)</f>
        <v>#N/A</v>
      </c>
      <c r="Y92" s="182" t="e">
        <f t="shared" si="42"/>
        <v>#N/A</v>
      </c>
      <c r="Z92" s="181" t="e">
        <f>HLOOKUP($Z$3,VaR_Calculo_Historico!$C$2:$ET$103,B92+1,0)</f>
        <v>#N/A</v>
      </c>
      <c r="AA92" s="182" t="e">
        <f t="shared" si="43"/>
        <v>#N/A</v>
      </c>
      <c r="AB92" s="181" t="e">
        <f>HLOOKUP($AB$3,VaR_Calculo_Historico!$C$2:$ET$103,B92+1,0)</f>
        <v>#N/A</v>
      </c>
      <c r="AC92" s="182" t="e">
        <f t="shared" si="44"/>
        <v>#N/A</v>
      </c>
      <c r="AD92" s="181" t="e">
        <f>HLOOKUP($AD$3,VaR_Calculo_Historico!$C$2:$ET$103,B92+1,0)</f>
        <v>#N/A</v>
      </c>
      <c r="AE92" s="182" t="e">
        <f t="shared" si="45"/>
        <v>#N/A</v>
      </c>
      <c r="AF92" s="181" t="e">
        <f>HLOOKUP($AF$3,VaR_Calculo_Historico!$C$2:$FZS$104,B92+1,0)</f>
        <v>#N/A</v>
      </c>
      <c r="AG92" s="182" t="e">
        <f t="shared" si="46"/>
        <v>#N/A</v>
      </c>
      <c r="AH92" s="181" t="e">
        <f>HLOOKUP($AH$3,VaR_Calculo_Historico!$C$2:$FS$104,B92+1,0)</f>
        <v>#N/A</v>
      </c>
      <c r="AI92" s="182" t="e">
        <f t="shared" si="47"/>
        <v>#N/A</v>
      </c>
      <c r="AJ92" s="181" t="e">
        <f>HLOOKUP($AJ$3,VaR_Calculo_Historico!$C$2:$ET$103,B92+1,0)</f>
        <v>#N/A</v>
      </c>
      <c r="AK92" s="182" t="e">
        <f t="shared" si="48"/>
        <v>#N/A</v>
      </c>
      <c r="AL92" s="181" t="e">
        <f>HLOOKUP($AL$3,VaR_Calculo_Historico!$C$2:$ET$103,B92+1,0)</f>
        <v>#N/A</v>
      </c>
      <c r="AM92" s="182" t="e">
        <f t="shared" si="49"/>
        <v>#N/A</v>
      </c>
      <c r="AN92" s="181" t="e">
        <f>HLOOKUP($AN$3,VaR_Calculo_Historico!$C$2:$ET$103,B92+1,0)</f>
        <v>#N/A</v>
      </c>
      <c r="AO92" s="182" t="e">
        <f t="shared" si="50"/>
        <v>#N/A</v>
      </c>
      <c r="AP92" s="181" t="e">
        <f>HLOOKUP($AP$3,VaR_Calculo_Historico!$C$2:$ET$103,B92+1,0)</f>
        <v>#N/A</v>
      </c>
      <c r="AQ92" s="182" t="e">
        <f t="shared" si="51"/>
        <v>#N/A</v>
      </c>
      <c r="AR92" s="181" t="e">
        <f>HLOOKUP($AR$3,VaR_Calculo_Historico!$C$2:$ET$103,B92+1,0)</f>
        <v>#N/A</v>
      </c>
      <c r="AS92" s="182" t="e">
        <f t="shared" si="52"/>
        <v>#N/A</v>
      </c>
      <c r="AT92" s="181" t="e">
        <f>HLOOKUP($AT$3,VaR_Calculo_Historico!$C$2:$ET$103,B92+1,0)</f>
        <v>#N/A</v>
      </c>
      <c r="AU92" s="182" t="e">
        <f t="shared" si="53"/>
        <v>#N/A</v>
      </c>
      <c r="AV92" s="181" t="e">
        <f>HLOOKUP($AV$3,VaR_Calculo_Historico!$C$2:$ET$103,B92+1,0)</f>
        <v>#N/A</v>
      </c>
      <c r="AW92" s="223" t="e">
        <f t="shared" si="54"/>
        <v>#N/A</v>
      </c>
      <c r="AX92" s="181" t="e">
        <f>HLOOKUP($AX$3,VaR_Calculo_Historico!$C$2:$ET$103,B92+1,0)</f>
        <v>#N/A</v>
      </c>
      <c r="AY92" s="182" t="e">
        <f t="shared" si="55"/>
        <v>#N/A</v>
      </c>
      <c r="AZ92" s="181" t="e">
        <f>HLOOKUP($AZ$3,VaR_Calculo_Historico!$C$2:$ET$103,B92+1,0)</f>
        <v>#N/A</v>
      </c>
      <c r="BA92" s="182" t="e">
        <f t="shared" si="56"/>
        <v>#N/A</v>
      </c>
      <c r="BB92" s="181" t="e">
        <f>HLOOKUP($BB$3,VaR_Calculo_Historico!$C$2:$ET$103,B92+1,0)</f>
        <v>#N/A</v>
      </c>
      <c r="BC92" s="182" t="e">
        <f t="shared" si="57"/>
        <v>#N/A</v>
      </c>
      <c r="BD92" s="181" t="e">
        <f>HLOOKUP($BD$3,VaR_Calculo_Historico!$C$2:$ET$103,B92+1,0)</f>
        <v>#N/A</v>
      </c>
      <c r="BE92" s="182" t="e">
        <f t="shared" si="58"/>
        <v>#N/A</v>
      </c>
      <c r="BF92" s="181" t="e">
        <f>HLOOKUP($BF$3,VaR_Calculo_Historico!$C$2:$ET$103,B92+1,0)</f>
        <v>#N/A</v>
      </c>
      <c r="BG92" s="182" t="e">
        <f t="shared" si="59"/>
        <v>#N/A</v>
      </c>
      <c r="BH92" s="181" t="e">
        <f>HLOOKUP($BH$3,VaR_Calculo_Historico!$C$2:$ET$103,B92+1,0)</f>
        <v>#N/A</v>
      </c>
      <c r="BI92" s="223" t="e">
        <f t="shared" si="60"/>
        <v>#N/A</v>
      </c>
      <c r="BJ92" s="181" t="e">
        <f>HLOOKUP($BJ$3,VaR_Calculo_Historico!$C$2:$ET$103,B92+1,0)</f>
        <v>#N/A</v>
      </c>
      <c r="BK92" s="223" t="e">
        <f t="shared" si="61"/>
        <v>#N/A</v>
      </c>
      <c r="BL92" s="181" t="e">
        <f>HLOOKUP($BL$3,VaR_Calculo_Historico!$C$2:$ET$103,B92+1,0)</f>
        <v>#N/A</v>
      </c>
      <c r="BM92" s="223" t="e">
        <f t="shared" si="62"/>
        <v>#N/A</v>
      </c>
      <c r="BN92" s="181" t="e">
        <f>HLOOKUP($BN$3,VaR_Calculo_Historico!$C$2:$EY$103,B92+1,0)</f>
        <v>#N/A</v>
      </c>
      <c r="BO92" s="223" t="e">
        <f t="shared" si="63"/>
        <v>#N/A</v>
      </c>
    </row>
    <row r="93" spans="2:67" x14ac:dyDescent="0.3">
      <c r="B93" s="166">
        <v>89</v>
      </c>
      <c r="C93" s="208">
        <f>VaR_Calculo_Historico!B90</f>
        <v>42440</v>
      </c>
      <c r="D93" s="181">
        <f>HLOOKUP($D$3,VaR_Calculo_Historico!$C$2:$ET$103,B93+1,0)</f>
        <v>3.5328764700000002</v>
      </c>
      <c r="E93" s="182">
        <f t="shared" si="32"/>
        <v>-1.3746181742170619E-4</v>
      </c>
      <c r="F93" s="181">
        <f>HLOOKUP($F$3,VaR_Calculo_Historico!$C$2:$ET$103,B93+1,0)</f>
        <v>1.6354340000000001</v>
      </c>
      <c r="G93" s="182">
        <f t="shared" si="33"/>
        <v>5.1559239985937287E-4</v>
      </c>
      <c r="H93" s="181">
        <f>HLOOKUP($H$3,VaR_Calculo_Historico!$C$2:$ET$103,B93+1,0)</f>
        <v>1.146542526</v>
      </c>
      <c r="I93" s="182">
        <f t="shared" si="34"/>
        <v>4.5276515172499828E-4</v>
      </c>
      <c r="J93" s="181">
        <f>HLOOKUP($J$3,VaR_Calculo_Historico!$C$2:$ET$103,B93+1,0)</f>
        <v>1.887173</v>
      </c>
      <c r="K93" s="182">
        <f t="shared" si="35"/>
        <v>3.5456135064469984E-4</v>
      </c>
      <c r="L93" s="181">
        <f>HLOOKUP($L$3,VaR_Calculo_Historico!$C$2:$ET$103,B93+1,0)</f>
        <v>1.082077</v>
      </c>
      <c r="M93" s="182">
        <f t="shared" si="36"/>
        <v>5.0008944416093991E-4</v>
      </c>
      <c r="N93" s="181">
        <f>HLOOKUP($N$3,VaR_Calculo_Historico!$C$2:$ET$103,B93+1,0)</f>
        <v>2.6615120000000001</v>
      </c>
      <c r="O93" s="182">
        <f t="shared" si="37"/>
        <v>5.2239595267584104E-4</v>
      </c>
      <c r="P93" s="181">
        <f>HLOOKUP($P$3,VaR_Calculo_Historico!$C$2:$ET$103,B93+1,0)</f>
        <v>1.802273</v>
      </c>
      <c r="Q93" s="182">
        <f t="shared" si="38"/>
        <v>3.6849153635624732E-4</v>
      </c>
      <c r="R93" s="181">
        <f>HLOOKUP($R$3,VaR_Calculo_Historico!$C$2:$ET$103,B93+1,0)</f>
        <v>1.3662350000000001</v>
      </c>
      <c r="S93" s="182">
        <f t="shared" si="39"/>
        <v>-5.7074912369819845E-4</v>
      </c>
      <c r="T93" s="181" t="e">
        <f>HLOOKUP($T$3,VaR_Calculo_Historico!$C$2:$ET$103,B93+1,0)</f>
        <v>#N/A</v>
      </c>
      <c r="U93" s="182" t="e">
        <f t="shared" si="40"/>
        <v>#N/A</v>
      </c>
      <c r="V93" s="181" t="e">
        <f>HLOOKUP($V$3,VaR_Calculo_Historico!$C$2:$ET$103,B93+1,0)</f>
        <v>#N/A</v>
      </c>
      <c r="W93" s="182" t="e">
        <f t="shared" si="41"/>
        <v>#N/A</v>
      </c>
      <c r="X93" s="181" t="e">
        <f>HLOOKUP($X$3,VaR_Calculo_Historico!$C$2:$ET$103,B93+1,0)</f>
        <v>#N/A</v>
      </c>
      <c r="Y93" s="182" t="e">
        <f t="shared" si="42"/>
        <v>#N/A</v>
      </c>
      <c r="Z93" s="181" t="e">
        <f>HLOOKUP($Z$3,VaR_Calculo_Historico!$C$2:$ET$103,B93+1,0)</f>
        <v>#N/A</v>
      </c>
      <c r="AA93" s="182" t="e">
        <f t="shared" si="43"/>
        <v>#N/A</v>
      </c>
      <c r="AB93" s="181" t="e">
        <f>HLOOKUP($AB$3,VaR_Calculo_Historico!$C$2:$ET$103,B93+1,0)</f>
        <v>#N/A</v>
      </c>
      <c r="AC93" s="182" t="e">
        <f t="shared" si="44"/>
        <v>#N/A</v>
      </c>
      <c r="AD93" s="181" t="e">
        <f>HLOOKUP($AD$3,VaR_Calculo_Historico!$C$2:$ET$103,B93+1,0)</f>
        <v>#N/A</v>
      </c>
      <c r="AE93" s="182" t="e">
        <f t="shared" si="45"/>
        <v>#N/A</v>
      </c>
      <c r="AF93" s="181" t="e">
        <f>HLOOKUP($AF$3,VaR_Calculo_Historico!$C$2:$FZS$104,B93+1,0)</f>
        <v>#N/A</v>
      </c>
      <c r="AG93" s="182" t="e">
        <f t="shared" si="46"/>
        <v>#N/A</v>
      </c>
      <c r="AH93" s="181" t="e">
        <f>HLOOKUP($AH$3,VaR_Calculo_Historico!$C$2:$FS$104,B93+1,0)</f>
        <v>#N/A</v>
      </c>
      <c r="AI93" s="182" t="e">
        <f t="shared" si="47"/>
        <v>#N/A</v>
      </c>
      <c r="AJ93" s="181" t="e">
        <f>HLOOKUP($AJ$3,VaR_Calculo_Historico!$C$2:$ET$103,B93+1,0)</f>
        <v>#N/A</v>
      </c>
      <c r="AK93" s="182" t="e">
        <f t="shared" si="48"/>
        <v>#N/A</v>
      </c>
      <c r="AL93" s="181" t="e">
        <f>HLOOKUP($AL$3,VaR_Calculo_Historico!$C$2:$ET$103,B93+1,0)</f>
        <v>#N/A</v>
      </c>
      <c r="AM93" s="182" t="e">
        <f t="shared" si="49"/>
        <v>#N/A</v>
      </c>
      <c r="AN93" s="181" t="e">
        <f>HLOOKUP($AN$3,VaR_Calculo_Historico!$C$2:$ET$103,B93+1,0)</f>
        <v>#N/A</v>
      </c>
      <c r="AO93" s="182" t="e">
        <f t="shared" si="50"/>
        <v>#N/A</v>
      </c>
      <c r="AP93" s="181" t="e">
        <f>HLOOKUP($AP$3,VaR_Calculo_Historico!$C$2:$ET$103,B93+1,0)</f>
        <v>#N/A</v>
      </c>
      <c r="AQ93" s="182" t="e">
        <f t="shared" si="51"/>
        <v>#N/A</v>
      </c>
      <c r="AR93" s="181" t="e">
        <f>HLOOKUP($AR$3,VaR_Calculo_Historico!$C$2:$ET$103,B93+1,0)</f>
        <v>#N/A</v>
      </c>
      <c r="AS93" s="182" t="e">
        <f t="shared" si="52"/>
        <v>#N/A</v>
      </c>
      <c r="AT93" s="181" t="e">
        <f>HLOOKUP($AT$3,VaR_Calculo_Historico!$C$2:$ET$103,B93+1,0)</f>
        <v>#N/A</v>
      </c>
      <c r="AU93" s="182" t="e">
        <f t="shared" si="53"/>
        <v>#N/A</v>
      </c>
      <c r="AV93" s="181" t="e">
        <f>HLOOKUP($AV$3,VaR_Calculo_Historico!$C$2:$ET$103,B93+1,0)</f>
        <v>#N/A</v>
      </c>
      <c r="AW93" s="223" t="e">
        <f t="shared" si="54"/>
        <v>#N/A</v>
      </c>
      <c r="AX93" s="181" t="e">
        <f>HLOOKUP($AX$3,VaR_Calculo_Historico!$C$2:$ET$103,B93+1,0)</f>
        <v>#N/A</v>
      </c>
      <c r="AY93" s="182" t="e">
        <f t="shared" si="55"/>
        <v>#N/A</v>
      </c>
      <c r="AZ93" s="181" t="e">
        <f>HLOOKUP($AZ$3,VaR_Calculo_Historico!$C$2:$ET$103,B93+1,0)</f>
        <v>#N/A</v>
      </c>
      <c r="BA93" s="182" t="e">
        <f t="shared" si="56"/>
        <v>#N/A</v>
      </c>
      <c r="BB93" s="181" t="e">
        <f>HLOOKUP($BB$3,VaR_Calculo_Historico!$C$2:$ET$103,B93+1,0)</f>
        <v>#N/A</v>
      </c>
      <c r="BC93" s="182" t="e">
        <f t="shared" si="57"/>
        <v>#N/A</v>
      </c>
      <c r="BD93" s="181" t="e">
        <f>HLOOKUP($BD$3,VaR_Calculo_Historico!$C$2:$ET$103,B93+1,0)</f>
        <v>#N/A</v>
      </c>
      <c r="BE93" s="182" t="e">
        <f t="shared" si="58"/>
        <v>#N/A</v>
      </c>
      <c r="BF93" s="181" t="e">
        <f>HLOOKUP($BF$3,VaR_Calculo_Historico!$C$2:$ET$103,B93+1,0)</f>
        <v>#N/A</v>
      </c>
      <c r="BG93" s="182" t="e">
        <f t="shared" si="59"/>
        <v>#N/A</v>
      </c>
      <c r="BH93" s="181" t="e">
        <f>HLOOKUP($BH$3,VaR_Calculo_Historico!$C$2:$ET$103,B93+1,0)</f>
        <v>#N/A</v>
      </c>
      <c r="BI93" s="223" t="e">
        <f t="shared" si="60"/>
        <v>#N/A</v>
      </c>
      <c r="BJ93" s="181" t="e">
        <f>HLOOKUP($BJ$3,VaR_Calculo_Historico!$C$2:$ET$103,B93+1,0)</f>
        <v>#N/A</v>
      </c>
      <c r="BK93" s="223" t="e">
        <f t="shared" si="61"/>
        <v>#N/A</v>
      </c>
      <c r="BL93" s="181" t="e">
        <f>HLOOKUP($BL$3,VaR_Calculo_Historico!$C$2:$ET$103,B93+1,0)</f>
        <v>#N/A</v>
      </c>
      <c r="BM93" s="223" t="e">
        <f t="shared" si="62"/>
        <v>#N/A</v>
      </c>
      <c r="BN93" s="181" t="e">
        <f>HLOOKUP($BN$3,VaR_Calculo_Historico!$C$2:$EY$103,B93+1,0)</f>
        <v>#N/A</v>
      </c>
      <c r="BO93" s="223" t="e">
        <f t="shared" si="63"/>
        <v>#N/A</v>
      </c>
    </row>
    <row r="94" spans="2:67" x14ac:dyDescent="0.3">
      <c r="B94" s="166">
        <v>90</v>
      </c>
      <c r="C94" s="208">
        <f>VaR_Calculo_Historico!B91</f>
        <v>42443</v>
      </c>
      <c r="D94" s="181">
        <f>HLOOKUP($D$3,VaR_Calculo_Historico!$C$2:$ET$103,B94+1,0)</f>
        <v>3.5173829030000001</v>
      </c>
      <c r="E94" s="182">
        <f t="shared" si="32"/>
        <v>-4.3951835306714256E-3</v>
      </c>
      <c r="F94" s="181">
        <f>HLOOKUP($F$3,VaR_Calculo_Historico!$C$2:$ET$103,B94+1,0)</f>
        <v>1.6362399999999999</v>
      </c>
      <c r="G94" s="182">
        <f t="shared" si="33"/>
        <v>4.9271413735334441E-4</v>
      </c>
      <c r="H94" s="181">
        <f>HLOOKUP($H$3,VaR_Calculo_Historico!$C$2:$ET$103,B94+1,0)</f>
        <v>1.146524487</v>
      </c>
      <c r="I94" s="182">
        <f t="shared" si="34"/>
        <v>-1.5733513149060956E-5</v>
      </c>
      <c r="J94" s="181">
        <f>HLOOKUP($J$3,VaR_Calculo_Historico!$C$2:$ET$103,B94+1,0)</f>
        <v>1.8877349999999999</v>
      </c>
      <c r="K94" s="182">
        <f t="shared" si="35"/>
        <v>2.9775560313094365E-4</v>
      </c>
      <c r="L94" s="181">
        <f>HLOOKUP($L$3,VaR_Calculo_Historico!$C$2:$ET$103,B94+1,0)</f>
        <v>1.0825499999999999</v>
      </c>
      <c r="M94" s="182">
        <f t="shared" si="36"/>
        <v>4.3702680187234042E-4</v>
      </c>
      <c r="N94" s="181">
        <f>HLOOKUP($N$3,VaR_Calculo_Historico!$C$2:$ET$103,B94+1,0)</f>
        <v>2.6629149999999999</v>
      </c>
      <c r="O94" s="182">
        <f t="shared" si="37"/>
        <v>5.2700507771889977E-4</v>
      </c>
      <c r="P94" s="181">
        <f>HLOOKUP($P$3,VaR_Calculo_Historico!$C$2:$ET$103,B94+1,0)</f>
        <v>1.802826</v>
      </c>
      <c r="Q94" s="182">
        <f t="shared" si="38"/>
        <v>3.0678769395097366E-4</v>
      </c>
      <c r="R94" s="181">
        <f>HLOOKUP($R$3,VaR_Calculo_Historico!$C$2:$ET$103,B94+1,0)</f>
        <v>1.355011</v>
      </c>
      <c r="S94" s="182">
        <f t="shared" si="39"/>
        <v>-8.249209111449456E-3</v>
      </c>
      <c r="T94" s="181" t="e">
        <f>HLOOKUP($T$3,VaR_Calculo_Historico!$C$2:$ET$103,B94+1,0)</f>
        <v>#N/A</v>
      </c>
      <c r="U94" s="182" t="e">
        <f t="shared" si="40"/>
        <v>#N/A</v>
      </c>
      <c r="V94" s="181" t="e">
        <f>HLOOKUP($V$3,VaR_Calculo_Historico!$C$2:$ET$103,B94+1,0)</f>
        <v>#N/A</v>
      </c>
      <c r="W94" s="182" t="e">
        <f t="shared" si="41"/>
        <v>#N/A</v>
      </c>
      <c r="X94" s="181" t="e">
        <f>HLOOKUP($X$3,VaR_Calculo_Historico!$C$2:$ET$103,B94+1,0)</f>
        <v>#N/A</v>
      </c>
      <c r="Y94" s="182" t="e">
        <f t="shared" si="42"/>
        <v>#N/A</v>
      </c>
      <c r="Z94" s="181" t="e">
        <f>HLOOKUP($Z$3,VaR_Calculo_Historico!$C$2:$ET$103,B94+1,0)</f>
        <v>#N/A</v>
      </c>
      <c r="AA94" s="182" t="e">
        <f t="shared" si="43"/>
        <v>#N/A</v>
      </c>
      <c r="AB94" s="181" t="e">
        <f>HLOOKUP($AB$3,VaR_Calculo_Historico!$C$2:$ET$103,B94+1,0)</f>
        <v>#N/A</v>
      </c>
      <c r="AC94" s="182" t="e">
        <f t="shared" si="44"/>
        <v>#N/A</v>
      </c>
      <c r="AD94" s="181" t="e">
        <f>HLOOKUP($AD$3,VaR_Calculo_Historico!$C$2:$ET$103,B94+1,0)</f>
        <v>#N/A</v>
      </c>
      <c r="AE94" s="182" t="e">
        <f t="shared" si="45"/>
        <v>#N/A</v>
      </c>
      <c r="AF94" s="181" t="e">
        <f>HLOOKUP($AF$3,VaR_Calculo_Historico!$C$2:$FZS$104,B94+1,0)</f>
        <v>#N/A</v>
      </c>
      <c r="AG94" s="182" t="e">
        <f t="shared" si="46"/>
        <v>#N/A</v>
      </c>
      <c r="AH94" s="181" t="e">
        <f>HLOOKUP($AH$3,VaR_Calculo_Historico!$C$2:$FS$104,B94+1,0)</f>
        <v>#N/A</v>
      </c>
      <c r="AI94" s="182" t="e">
        <f t="shared" si="47"/>
        <v>#N/A</v>
      </c>
      <c r="AJ94" s="181" t="e">
        <f>HLOOKUP($AJ$3,VaR_Calculo_Historico!$C$2:$ET$103,B94+1,0)</f>
        <v>#N/A</v>
      </c>
      <c r="AK94" s="182" t="e">
        <f t="shared" si="48"/>
        <v>#N/A</v>
      </c>
      <c r="AL94" s="181" t="e">
        <f>HLOOKUP($AL$3,VaR_Calculo_Historico!$C$2:$ET$103,B94+1,0)</f>
        <v>#N/A</v>
      </c>
      <c r="AM94" s="182" t="e">
        <f t="shared" si="49"/>
        <v>#N/A</v>
      </c>
      <c r="AN94" s="181" t="e">
        <f>HLOOKUP($AN$3,VaR_Calculo_Historico!$C$2:$ET$103,B94+1,0)</f>
        <v>#N/A</v>
      </c>
      <c r="AO94" s="182" t="e">
        <f t="shared" si="50"/>
        <v>#N/A</v>
      </c>
      <c r="AP94" s="181" t="e">
        <f>HLOOKUP($AP$3,VaR_Calculo_Historico!$C$2:$ET$103,B94+1,0)</f>
        <v>#N/A</v>
      </c>
      <c r="AQ94" s="182" t="e">
        <f t="shared" si="51"/>
        <v>#N/A</v>
      </c>
      <c r="AR94" s="181" t="e">
        <f>HLOOKUP($AR$3,VaR_Calculo_Historico!$C$2:$ET$103,B94+1,0)</f>
        <v>#N/A</v>
      </c>
      <c r="AS94" s="182" t="e">
        <f t="shared" si="52"/>
        <v>#N/A</v>
      </c>
      <c r="AT94" s="181" t="e">
        <f>HLOOKUP($AT$3,VaR_Calculo_Historico!$C$2:$ET$103,B94+1,0)</f>
        <v>#N/A</v>
      </c>
      <c r="AU94" s="182" t="e">
        <f t="shared" si="53"/>
        <v>#N/A</v>
      </c>
      <c r="AV94" s="181" t="e">
        <f>HLOOKUP($AV$3,VaR_Calculo_Historico!$C$2:$ET$103,B94+1,0)</f>
        <v>#N/A</v>
      </c>
      <c r="AW94" s="223" t="e">
        <f t="shared" si="54"/>
        <v>#N/A</v>
      </c>
      <c r="AX94" s="181" t="e">
        <f>HLOOKUP($AX$3,VaR_Calculo_Historico!$C$2:$ET$103,B94+1,0)</f>
        <v>#N/A</v>
      </c>
      <c r="AY94" s="182" t="e">
        <f t="shared" si="55"/>
        <v>#N/A</v>
      </c>
      <c r="AZ94" s="181" t="e">
        <f>HLOOKUP($AZ$3,VaR_Calculo_Historico!$C$2:$ET$103,B94+1,0)</f>
        <v>#N/A</v>
      </c>
      <c r="BA94" s="182" t="e">
        <f t="shared" si="56"/>
        <v>#N/A</v>
      </c>
      <c r="BB94" s="181" t="e">
        <f>HLOOKUP($BB$3,VaR_Calculo_Historico!$C$2:$ET$103,B94+1,0)</f>
        <v>#N/A</v>
      </c>
      <c r="BC94" s="182" t="e">
        <f t="shared" si="57"/>
        <v>#N/A</v>
      </c>
      <c r="BD94" s="181" t="e">
        <f>HLOOKUP($BD$3,VaR_Calculo_Historico!$C$2:$ET$103,B94+1,0)</f>
        <v>#N/A</v>
      </c>
      <c r="BE94" s="182" t="e">
        <f t="shared" si="58"/>
        <v>#N/A</v>
      </c>
      <c r="BF94" s="181" t="e">
        <f>HLOOKUP($BF$3,VaR_Calculo_Historico!$C$2:$ET$103,B94+1,0)</f>
        <v>#N/A</v>
      </c>
      <c r="BG94" s="182" t="e">
        <f t="shared" si="59"/>
        <v>#N/A</v>
      </c>
      <c r="BH94" s="181" t="e">
        <f>HLOOKUP($BH$3,VaR_Calculo_Historico!$C$2:$ET$103,B94+1,0)</f>
        <v>#N/A</v>
      </c>
      <c r="BI94" s="223" t="e">
        <f t="shared" si="60"/>
        <v>#N/A</v>
      </c>
      <c r="BJ94" s="181" t="e">
        <f>HLOOKUP($BJ$3,VaR_Calculo_Historico!$C$2:$ET$103,B94+1,0)</f>
        <v>#N/A</v>
      </c>
      <c r="BK94" s="223" t="e">
        <f t="shared" si="61"/>
        <v>#N/A</v>
      </c>
      <c r="BL94" s="181" t="e">
        <f>HLOOKUP($BL$3,VaR_Calculo_Historico!$C$2:$ET$103,B94+1,0)</f>
        <v>#N/A</v>
      </c>
      <c r="BM94" s="223" t="e">
        <f t="shared" si="62"/>
        <v>#N/A</v>
      </c>
      <c r="BN94" s="181" t="e">
        <f>HLOOKUP($BN$3,VaR_Calculo_Historico!$C$2:$EY$103,B94+1,0)</f>
        <v>#N/A</v>
      </c>
      <c r="BO94" s="223" t="e">
        <f t="shared" si="63"/>
        <v>#N/A</v>
      </c>
    </row>
    <row r="95" spans="2:67" x14ac:dyDescent="0.3">
      <c r="B95" s="166">
        <v>91</v>
      </c>
      <c r="C95" s="208">
        <f>VaR_Calculo_Historico!B92</f>
        <v>42444</v>
      </c>
      <c r="D95" s="181">
        <f>HLOOKUP($D$3,VaR_Calculo_Historico!$C$2:$ET$103,B95+1,0)</f>
        <v>3.521353043</v>
      </c>
      <c r="E95" s="182">
        <f t="shared" si="32"/>
        <v>1.1280833523183305E-3</v>
      </c>
      <c r="F95" s="181">
        <f>HLOOKUP($F$3,VaR_Calculo_Historico!$C$2:$ET$103,B95+1,0)</f>
        <v>1.6370279999999999</v>
      </c>
      <c r="G95" s="182">
        <f t="shared" si="33"/>
        <v>4.8147601432131887E-4</v>
      </c>
      <c r="H95" s="181">
        <f>HLOOKUP($H$3,VaR_Calculo_Historico!$C$2:$ET$103,B95+1,0)</f>
        <v>1.147749079</v>
      </c>
      <c r="I95" s="182">
        <f t="shared" si="34"/>
        <v>1.067520573346973E-3</v>
      </c>
      <c r="J95" s="181">
        <f>HLOOKUP($J$3,VaR_Calculo_Historico!$C$2:$ET$103,B95+1,0)</f>
        <v>1.8893180000000001</v>
      </c>
      <c r="K95" s="182">
        <f t="shared" si="35"/>
        <v>8.3821968751099461E-4</v>
      </c>
      <c r="L95" s="181">
        <f>HLOOKUP($L$3,VaR_Calculo_Historico!$C$2:$ET$103,B95+1,0)</f>
        <v>1.0834299999999999</v>
      </c>
      <c r="M95" s="182">
        <f t="shared" si="36"/>
        <v>8.1256525768403894E-4</v>
      </c>
      <c r="N95" s="181">
        <f>HLOOKUP($N$3,VaR_Calculo_Historico!$C$2:$ET$103,B95+1,0)</f>
        <v>2.664301</v>
      </c>
      <c r="O95" s="182">
        <f t="shared" si="37"/>
        <v>5.2034684956377218E-4</v>
      </c>
      <c r="P95" s="181">
        <f>HLOOKUP($P$3,VaR_Calculo_Historico!$C$2:$ET$103,B95+1,0)</f>
        <v>1.804333</v>
      </c>
      <c r="Q95" s="182">
        <f t="shared" si="38"/>
        <v>8.3556066570793968E-4</v>
      </c>
      <c r="R95" s="181">
        <f>HLOOKUP($R$3,VaR_Calculo_Historico!$C$2:$ET$103,B95+1,0)</f>
        <v>1.3566309999999999</v>
      </c>
      <c r="S95" s="182">
        <f t="shared" si="39"/>
        <v>1.1948481346242194E-3</v>
      </c>
      <c r="T95" s="181" t="e">
        <f>HLOOKUP($T$3,VaR_Calculo_Historico!$C$2:$ET$103,B95+1,0)</f>
        <v>#N/A</v>
      </c>
      <c r="U95" s="182" t="e">
        <f t="shared" si="40"/>
        <v>#N/A</v>
      </c>
      <c r="V95" s="181" t="e">
        <f>HLOOKUP($V$3,VaR_Calculo_Historico!$C$2:$ET$103,B95+1,0)</f>
        <v>#N/A</v>
      </c>
      <c r="W95" s="182" t="e">
        <f t="shared" si="41"/>
        <v>#N/A</v>
      </c>
      <c r="X95" s="181" t="e">
        <f>HLOOKUP($X$3,VaR_Calculo_Historico!$C$2:$ET$103,B95+1,0)</f>
        <v>#N/A</v>
      </c>
      <c r="Y95" s="182" t="e">
        <f t="shared" si="42"/>
        <v>#N/A</v>
      </c>
      <c r="Z95" s="181" t="e">
        <f>HLOOKUP($Z$3,VaR_Calculo_Historico!$C$2:$ET$103,B95+1,0)</f>
        <v>#N/A</v>
      </c>
      <c r="AA95" s="182" t="e">
        <f t="shared" si="43"/>
        <v>#N/A</v>
      </c>
      <c r="AB95" s="181" t="e">
        <f>HLOOKUP($AB$3,VaR_Calculo_Historico!$C$2:$ET$103,B95+1,0)</f>
        <v>#N/A</v>
      </c>
      <c r="AC95" s="182" t="e">
        <f t="shared" si="44"/>
        <v>#N/A</v>
      </c>
      <c r="AD95" s="181" t="e">
        <f>HLOOKUP($AD$3,VaR_Calculo_Historico!$C$2:$ET$103,B95+1,0)</f>
        <v>#N/A</v>
      </c>
      <c r="AE95" s="182" t="e">
        <f t="shared" si="45"/>
        <v>#N/A</v>
      </c>
      <c r="AF95" s="181" t="e">
        <f>HLOOKUP($AF$3,VaR_Calculo_Historico!$C$2:$FZS$104,B95+1,0)</f>
        <v>#N/A</v>
      </c>
      <c r="AG95" s="182" t="e">
        <f t="shared" si="46"/>
        <v>#N/A</v>
      </c>
      <c r="AH95" s="181" t="e">
        <f>HLOOKUP($AH$3,VaR_Calculo_Historico!$C$2:$FS$104,B95+1,0)</f>
        <v>#N/A</v>
      </c>
      <c r="AI95" s="182" t="e">
        <f t="shared" si="47"/>
        <v>#N/A</v>
      </c>
      <c r="AJ95" s="181" t="e">
        <f>HLOOKUP($AJ$3,VaR_Calculo_Historico!$C$2:$ET$103,B95+1,0)</f>
        <v>#N/A</v>
      </c>
      <c r="AK95" s="182" t="e">
        <f t="shared" si="48"/>
        <v>#N/A</v>
      </c>
      <c r="AL95" s="181" t="e">
        <f>HLOOKUP($AL$3,VaR_Calculo_Historico!$C$2:$ET$103,B95+1,0)</f>
        <v>#N/A</v>
      </c>
      <c r="AM95" s="182" t="e">
        <f t="shared" si="49"/>
        <v>#N/A</v>
      </c>
      <c r="AN95" s="181" t="e">
        <f>HLOOKUP($AN$3,VaR_Calculo_Historico!$C$2:$ET$103,B95+1,0)</f>
        <v>#N/A</v>
      </c>
      <c r="AO95" s="182" t="e">
        <f t="shared" si="50"/>
        <v>#N/A</v>
      </c>
      <c r="AP95" s="181" t="e">
        <f>HLOOKUP($AP$3,VaR_Calculo_Historico!$C$2:$ET$103,B95+1,0)</f>
        <v>#N/A</v>
      </c>
      <c r="AQ95" s="182" t="e">
        <f t="shared" si="51"/>
        <v>#N/A</v>
      </c>
      <c r="AR95" s="181" t="e">
        <f>HLOOKUP($AR$3,VaR_Calculo_Historico!$C$2:$ET$103,B95+1,0)</f>
        <v>#N/A</v>
      </c>
      <c r="AS95" s="182" t="e">
        <f t="shared" si="52"/>
        <v>#N/A</v>
      </c>
      <c r="AT95" s="181" t="e">
        <f>HLOOKUP($AT$3,VaR_Calculo_Historico!$C$2:$ET$103,B95+1,0)</f>
        <v>#N/A</v>
      </c>
      <c r="AU95" s="182" t="e">
        <f t="shared" si="53"/>
        <v>#N/A</v>
      </c>
      <c r="AV95" s="181" t="e">
        <f>HLOOKUP($AV$3,VaR_Calculo_Historico!$C$2:$ET$103,B95+1,0)</f>
        <v>#N/A</v>
      </c>
      <c r="AW95" s="223" t="e">
        <f t="shared" si="54"/>
        <v>#N/A</v>
      </c>
      <c r="AX95" s="181" t="e">
        <f>HLOOKUP($AX$3,VaR_Calculo_Historico!$C$2:$ET$103,B95+1,0)</f>
        <v>#N/A</v>
      </c>
      <c r="AY95" s="182" t="e">
        <f t="shared" si="55"/>
        <v>#N/A</v>
      </c>
      <c r="AZ95" s="181" t="e">
        <f>HLOOKUP($AZ$3,VaR_Calculo_Historico!$C$2:$ET$103,B95+1,0)</f>
        <v>#N/A</v>
      </c>
      <c r="BA95" s="182" t="e">
        <f t="shared" si="56"/>
        <v>#N/A</v>
      </c>
      <c r="BB95" s="181" t="e">
        <f>HLOOKUP($BB$3,VaR_Calculo_Historico!$C$2:$ET$103,B95+1,0)</f>
        <v>#N/A</v>
      </c>
      <c r="BC95" s="182" t="e">
        <f t="shared" si="57"/>
        <v>#N/A</v>
      </c>
      <c r="BD95" s="181" t="e">
        <f>HLOOKUP($BD$3,VaR_Calculo_Historico!$C$2:$ET$103,B95+1,0)</f>
        <v>#N/A</v>
      </c>
      <c r="BE95" s="182" t="e">
        <f t="shared" si="58"/>
        <v>#N/A</v>
      </c>
      <c r="BF95" s="181" t="e">
        <f>HLOOKUP($BF$3,VaR_Calculo_Historico!$C$2:$ET$103,B95+1,0)</f>
        <v>#N/A</v>
      </c>
      <c r="BG95" s="182" t="e">
        <f t="shared" si="59"/>
        <v>#N/A</v>
      </c>
      <c r="BH95" s="181" t="e">
        <f>HLOOKUP($BH$3,VaR_Calculo_Historico!$C$2:$ET$103,B95+1,0)</f>
        <v>#N/A</v>
      </c>
      <c r="BI95" s="223" t="e">
        <f t="shared" si="60"/>
        <v>#N/A</v>
      </c>
      <c r="BJ95" s="181" t="e">
        <f>HLOOKUP($BJ$3,VaR_Calculo_Historico!$C$2:$ET$103,B95+1,0)</f>
        <v>#N/A</v>
      </c>
      <c r="BK95" s="223" t="e">
        <f t="shared" si="61"/>
        <v>#N/A</v>
      </c>
      <c r="BL95" s="181" t="e">
        <f>HLOOKUP($BL$3,VaR_Calculo_Historico!$C$2:$ET$103,B95+1,0)</f>
        <v>#N/A</v>
      </c>
      <c r="BM95" s="223" t="e">
        <f t="shared" si="62"/>
        <v>#N/A</v>
      </c>
      <c r="BN95" s="181" t="e">
        <f>HLOOKUP($BN$3,VaR_Calculo_Historico!$C$2:$EY$103,B95+1,0)</f>
        <v>#N/A</v>
      </c>
      <c r="BO95" s="223" t="e">
        <f t="shared" si="63"/>
        <v>#N/A</v>
      </c>
    </row>
    <row r="96" spans="2:67" x14ac:dyDescent="0.3">
      <c r="B96" s="166">
        <v>92</v>
      </c>
      <c r="C96" s="208">
        <f>VaR_Calculo_Historico!B93</f>
        <v>42445</v>
      </c>
      <c r="D96" s="181">
        <f>HLOOKUP($D$3,VaR_Calculo_Historico!$C$2:$ET$103,B96+1,0)</f>
        <v>3.5468621890000001</v>
      </c>
      <c r="E96" s="182">
        <f t="shared" si="32"/>
        <v>7.2180192352386662E-3</v>
      </c>
      <c r="F96" s="181">
        <f>HLOOKUP($F$3,VaR_Calculo_Historico!$C$2:$ET$103,B96+1,0)</f>
        <v>1.637861</v>
      </c>
      <c r="G96" s="182">
        <f t="shared" si="33"/>
        <v>5.0871954314464409E-4</v>
      </c>
      <c r="H96" s="181">
        <f>HLOOKUP($H$3,VaR_Calculo_Historico!$C$2:$ET$103,B96+1,0)</f>
        <v>1.149159636</v>
      </c>
      <c r="I96" s="182">
        <f t="shared" si="34"/>
        <v>1.2282222346152885E-3</v>
      </c>
      <c r="J96" s="181">
        <f>HLOOKUP($J$3,VaR_Calculo_Historico!$C$2:$ET$103,B96+1,0)</f>
        <v>1.890366</v>
      </c>
      <c r="K96" s="182">
        <f t="shared" si="35"/>
        <v>5.5454372738916356E-4</v>
      </c>
      <c r="L96" s="181">
        <f>HLOOKUP($L$3,VaR_Calculo_Historico!$C$2:$ET$103,B96+1,0)</f>
        <v>1.0841639999999999</v>
      </c>
      <c r="M96" s="182">
        <f t="shared" si="36"/>
        <v>6.7724862502396312E-4</v>
      </c>
      <c r="N96" s="181">
        <f>HLOOKUP($N$3,VaR_Calculo_Historico!$C$2:$ET$103,B96+1,0)</f>
        <v>2.6656819999999999</v>
      </c>
      <c r="O96" s="182">
        <f t="shared" si="37"/>
        <v>5.1820053868958731E-4</v>
      </c>
      <c r="P96" s="181">
        <f>HLOOKUP($P$3,VaR_Calculo_Historico!$C$2:$ET$103,B96+1,0)</f>
        <v>1.8053399999999999</v>
      </c>
      <c r="Q96" s="182">
        <f t="shared" si="38"/>
        <v>5.579452909577541E-4</v>
      </c>
      <c r="R96" s="181">
        <f>HLOOKUP($R$3,VaR_Calculo_Historico!$C$2:$ET$103,B96+1,0)</f>
        <v>1.374118</v>
      </c>
      <c r="S96" s="182">
        <f t="shared" si="39"/>
        <v>1.2807650238574466E-2</v>
      </c>
      <c r="T96" s="181" t="e">
        <f>HLOOKUP($T$3,VaR_Calculo_Historico!$C$2:$ET$103,B96+1,0)</f>
        <v>#N/A</v>
      </c>
      <c r="U96" s="182" t="e">
        <f t="shared" si="40"/>
        <v>#N/A</v>
      </c>
      <c r="V96" s="181" t="e">
        <f>HLOOKUP($V$3,VaR_Calculo_Historico!$C$2:$ET$103,B96+1,0)</f>
        <v>#N/A</v>
      </c>
      <c r="W96" s="182" t="e">
        <f t="shared" si="41"/>
        <v>#N/A</v>
      </c>
      <c r="X96" s="181" t="e">
        <f>HLOOKUP($X$3,VaR_Calculo_Historico!$C$2:$ET$103,B96+1,0)</f>
        <v>#N/A</v>
      </c>
      <c r="Y96" s="182" t="e">
        <f t="shared" si="42"/>
        <v>#N/A</v>
      </c>
      <c r="Z96" s="181" t="e">
        <f>HLOOKUP($Z$3,VaR_Calculo_Historico!$C$2:$ET$103,B96+1,0)</f>
        <v>#N/A</v>
      </c>
      <c r="AA96" s="182" t="e">
        <f t="shared" si="43"/>
        <v>#N/A</v>
      </c>
      <c r="AB96" s="181" t="e">
        <f>HLOOKUP($AB$3,VaR_Calculo_Historico!$C$2:$ET$103,B96+1,0)</f>
        <v>#N/A</v>
      </c>
      <c r="AC96" s="182" t="e">
        <f t="shared" si="44"/>
        <v>#N/A</v>
      </c>
      <c r="AD96" s="181" t="e">
        <f>HLOOKUP($AD$3,VaR_Calculo_Historico!$C$2:$ET$103,B96+1,0)</f>
        <v>#N/A</v>
      </c>
      <c r="AE96" s="182" t="e">
        <f t="shared" si="45"/>
        <v>#N/A</v>
      </c>
      <c r="AF96" s="181" t="e">
        <f>HLOOKUP($AF$3,VaR_Calculo_Historico!$C$2:$FZS$104,B96+1,0)</f>
        <v>#N/A</v>
      </c>
      <c r="AG96" s="182" t="e">
        <f t="shared" si="46"/>
        <v>#N/A</v>
      </c>
      <c r="AH96" s="181" t="e">
        <f>HLOOKUP($AH$3,VaR_Calculo_Historico!$C$2:$FS$104,B96+1,0)</f>
        <v>#N/A</v>
      </c>
      <c r="AI96" s="182" t="e">
        <f t="shared" si="47"/>
        <v>#N/A</v>
      </c>
      <c r="AJ96" s="181" t="e">
        <f>HLOOKUP($AJ$3,VaR_Calculo_Historico!$C$2:$ET$103,B96+1,0)</f>
        <v>#N/A</v>
      </c>
      <c r="AK96" s="182" t="e">
        <f t="shared" si="48"/>
        <v>#N/A</v>
      </c>
      <c r="AL96" s="181" t="e">
        <f>HLOOKUP($AL$3,VaR_Calculo_Historico!$C$2:$ET$103,B96+1,0)</f>
        <v>#N/A</v>
      </c>
      <c r="AM96" s="182" t="e">
        <f t="shared" si="49"/>
        <v>#N/A</v>
      </c>
      <c r="AN96" s="181" t="e">
        <f>HLOOKUP($AN$3,VaR_Calculo_Historico!$C$2:$ET$103,B96+1,0)</f>
        <v>#N/A</v>
      </c>
      <c r="AO96" s="182" t="e">
        <f t="shared" si="50"/>
        <v>#N/A</v>
      </c>
      <c r="AP96" s="181" t="e">
        <f>HLOOKUP($AP$3,VaR_Calculo_Historico!$C$2:$ET$103,B96+1,0)</f>
        <v>#N/A</v>
      </c>
      <c r="AQ96" s="182" t="e">
        <f t="shared" si="51"/>
        <v>#N/A</v>
      </c>
      <c r="AR96" s="181" t="e">
        <f>HLOOKUP($AR$3,VaR_Calculo_Historico!$C$2:$ET$103,B96+1,0)</f>
        <v>#N/A</v>
      </c>
      <c r="AS96" s="182" t="e">
        <f t="shared" si="52"/>
        <v>#N/A</v>
      </c>
      <c r="AT96" s="181" t="e">
        <f>HLOOKUP($AT$3,VaR_Calculo_Historico!$C$2:$ET$103,B96+1,0)</f>
        <v>#N/A</v>
      </c>
      <c r="AU96" s="182" t="e">
        <f t="shared" si="53"/>
        <v>#N/A</v>
      </c>
      <c r="AV96" s="181" t="e">
        <f>HLOOKUP($AV$3,VaR_Calculo_Historico!$C$2:$ET$103,B96+1,0)</f>
        <v>#N/A</v>
      </c>
      <c r="AW96" s="223" t="e">
        <f t="shared" si="54"/>
        <v>#N/A</v>
      </c>
      <c r="AX96" s="181" t="e">
        <f>HLOOKUP($AX$3,VaR_Calculo_Historico!$C$2:$ET$103,B96+1,0)</f>
        <v>#N/A</v>
      </c>
      <c r="AY96" s="182" t="e">
        <f t="shared" si="55"/>
        <v>#N/A</v>
      </c>
      <c r="AZ96" s="181" t="e">
        <f>HLOOKUP($AZ$3,VaR_Calculo_Historico!$C$2:$ET$103,B96+1,0)</f>
        <v>#N/A</v>
      </c>
      <c r="BA96" s="182" t="e">
        <f t="shared" si="56"/>
        <v>#N/A</v>
      </c>
      <c r="BB96" s="181" t="e">
        <f>HLOOKUP($BB$3,VaR_Calculo_Historico!$C$2:$ET$103,B96+1,0)</f>
        <v>#N/A</v>
      </c>
      <c r="BC96" s="182" t="e">
        <f t="shared" si="57"/>
        <v>#N/A</v>
      </c>
      <c r="BD96" s="181" t="e">
        <f>HLOOKUP($BD$3,VaR_Calculo_Historico!$C$2:$ET$103,B96+1,0)</f>
        <v>#N/A</v>
      </c>
      <c r="BE96" s="182" t="e">
        <f t="shared" si="58"/>
        <v>#N/A</v>
      </c>
      <c r="BF96" s="181" t="e">
        <f>HLOOKUP($BF$3,VaR_Calculo_Historico!$C$2:$ET$103,B96+1,0)</f>
        <v>#N/A</v>
      </c>
      <c r="BG96" s="182" t="e">
        <f t="shared" si="59"/>
        <v>#N/A</v>
      </c>
      <c r="BH96" s="181" t="e">
        <f>HLOOKUP($BH$3,VaR_Calculo_Historico!$C$2:$ET$103,B96+1,0)</f>
        <v>#N/A</v>
      </c>
      <c r="BI96" s="223" t="e">
        <f t="shared" si="60"/>
        <v>#N/A</v>
      </c>
      <c r="BJ96" s="181" t="e">
        <f>HLOOKUP($BJ$3,VaR_Calculo_Historico!$C$2:$ET$103,B96+1,0)</f>
        <v>#N/A</v>
      </c>
      <c r="BK96" s="223" t="e">
        <f t="shared" si="61"/>
        <v>#N/A</v>
      </c>
      <c r="BL96" s="181" t="e">
        <f>HLOOKUP($BL$3,VaR_Calculo_Historico!$C$2:$ET$103,B96+1,0)</f>
        <v>#N/A</v>
      </c>
      <c r="BM96" s="223" t="e">
        <f t="shared" si="62"/>
        <v>#N/A</v>
      </c>
      <c r="BN96" s="181" t="e">
        <f>HLOOKUP($BN$3,VaR_Calculo_Historico!$C$2:$EY$103,B96+1,0)</f>
        <v>#N/A</v>
      </c>
      <c r="BO96" s="223" t="e">
        <f t="shared" si="63"/>
        <v>#N/A</v>
      </c>
    </row>
    <row r="97" spans="1:67" x14ac:dyDescent="0.3">
      <c r="B97" s="166">
        <v>93</v>
      </c>
      <c r="C97" s="208">
        <f>VaR_Calculo_Historico!B94</f>
        <v>42446</v>
      </c>
      <c r="D97" s="181">
        <f>HLOOKUP($D$3,VaR_Calculo_Historico!$C$2:$ET$103,B97+1,0)</f>
        <v>3.5506063459999999</v>
      </c>
      <c r="E97" s="182">
        <f t="shared" si="32"/>
        <v>1.0550683892036367E-3</v>
      </c>
      <c r="F97" s="181">
        <f>HLOOKUP($F$3,VaR_Calculo_Historico!$C$2:$ET$103,B97+1,0)</f>
        <v>1.6386909999999999</v>
      </c>
      <c r="G97" s="182">
        <f t="shared" si="33"/>
        <v>5.0663015130124507E-4</v>
      </c>
      <c r="H97" s="181">
        <f>HLOOKUP($H$3,VaR_Calculo_Historico!$C$2:$ET$103,B97+1,0)</f>
        <v>1.1498445020000001</v>
      </c>
      <c r="I97" s="182">
        <f t="shared" si="34"/>
        <v>5.9579363859236839E-4</v>
      </c>
      <c r="J97" s="181">
        <f>HLOOKUP($J$3,VaR_Calculo_Historico!$C$2:$ET$103,B97+1,0)</f>
        <v>1.8911309999999999</v>
      </c>
      <c r="K97" s="182">
        <f t="shared" si="35"/>
        <v>4.0460167517563625E-4</v>
      </c>
      <c r="L97" s="181">
        <f>HLOOKUP($L$3,VaR_Calculo_Historico!$C$2:$ET$103,B97+1,0)</f>
        <v>1.084775</v>
      </c>
      <c r="M97" s="182">
        <f t="shared" si="36"/>
        <v>5.6340912876067786E-4</v>
      </c>
      <c r="N97" s="181">
        <f>HLOOKUP($N$3,VaR_Calculo_Historico!$C$2:$ET$103,B97+1,0)</f>
        <v>2.6670660000000002</v>
      </c>
      <c r="O97" s="182">
        <f t="shared" si="37"/>
        <v>5.1905697815597825E-4</v>
      </c>
      <c r="P97" s="181">
        <f>HLOOKUP($P$3,VaR_Calculo_Historico!$C$2:$ET$103,B97+1,0)</f>
        <v>1.806079</v>
      </c>
      <c r="Q97" s="182">
        <f t="shared" si="38"/>
        <v>4.0925741948778842E-4</v>
      </c>
      <c r="R97" s="181">
        <f>HLOOKUP($R$3,VaR_Calculo_Historico!$C$2:$ET$103,B97+1,0)</f>
        <v>1.376477</v>
      </c>
      <c r="S97" s="182">
        <f t="shared" si="39"/>
        <v>1.7152656631565179E-3</v>
      </c>
      <c r="T97" s="181" t="e">
        <f>HLOOKUP($T$3,VaR_Calculo_Historico!$C$2:$ET$103,B97+1,0)</f>
        <v>#N/A</v>
      </c>
      <c r="U97" s="182" t="e">
        <f t="shared" si="40"/>
        <v>#N/A</v>
      </c>
      <c r="V97" s="181" t="e">
        <f>HLOOKUP($V$3,VaR_Calculo_Historico!$C$2:$ET$103,B97+1,0)</f>
        <v>#N/A</v>
      </c>
      <c r="W97" s="182" t="e">
        <f t="shared" si="41"/>
        <v>#N/A</v>
      </c>
      <c r="X97" s="181" t="e">
        <f>HLOOKUP($X$3,VaR_Calculo_Historico!$C$2:$ET$103,B97+1,0)</f>
        <v>#N/A</v>
      </c>
      <c r="Y97" s="182" t="e">
        <f t="shared" si="42"/>
        <v>#N/A</v>
      </c>
      <c r="Z97" s="181" t="e">
        <f>HLOOKUP($Z$3,VaR_Calculo_Historico!$C$2:$ET$103,B97+1,0)</f>
        <v>#N/A</v>
      </c>
      <c r="AA97" s="182" t="e">
        <f t="shared" si="43"/>
        <v>#N/A</v>
      </c>
      <c r="AB97" s="181" t="e">
        <f>HLOOKUP($AB$3,VaR_Calculo_Historico!$C$2:$ET$103,B97+1,0)</f>
        <v>#N/A</v>
      </c>
      <c r="AC97" s="182" t="e">
        <f t="shared" si="44"/>
        <v>#N/A</v>
      </c>
      <c r="AD97" s="181" t="e">
        <f>HLOOKUP($AD$3,VaR_Calculo_Historico!$C$2:$ET$103,B97+1,0)</f>
        <v>#N/A</v>
      </c>
      <c r="AE97" s="182" t="e">
        <f t="shared" si="45"/>
        <v>#N/A</v>
      </c>
      <c r="AF97" s="181" t="e">
        <f>HLOOKUP($AF$3,VaR_Calculo_Historico!$C$2:$FZS$104,B97+1,0)</f>
        <v>#N/A</v>
      </c>
      <c r="AG97" s="182" t="e">
        <f t="shared" si="46"/>
        <v>#N/A</v>
      </c>
      <c r="AH97" s="181" t="e">
        <f>HLOOKUP($AH$3,VaR_Calculo_Historico!$C$2:$FS$104,B97+1,0)</f>
        <v>#N/A</v>
      </c>
      <c r="AI97" s="182" t="e">
        <f t="shared" si="47"/>
        <v>#N/A</v>
      </c>
      <c r="AJ97" s="181" t="e">
        <f>HLOOKUP($AJ$3,VaR_Calculo_Historico!$C$2:$ET$103,B97+1,0)</f>
        <v>#N/A</v>
      </c>
      <c r="AK97" s="182" t="e">
        <f t="shared" si="48"/>
        <v>#N/A</v>
      </c>
      <c r="AL97" s="181" t="e">
        <f>HLOOKUP($AL$3,VaR_Calculo_Historico!$C$2:$ET$103,B97+1,0)</f>
        <v>#N/A</v>
      </c>
      <c r="AM97" s="182" t="e">
        <f t="shared" si="49"/>
        <v>#N/A</v>
      </c>
      <c r="AN97" s="181" t="e">
        <f>HLOOKUP($AN$3,VaR_Calculo_Historico!$C$2:$ET$103,B97+1,0)</f>
        <v>#N/A</v>
      </c>
      <c r="AO97" s="182" t="e">
        <f t="shared" si="50"/>
        <v>#N/A</v>
      </c>
      <c r="AP97" s="181" t="e">
        <f>HLOOKUP($AP$3,VaR_Calculo_Historico!$C$2:$ET$103,B97+1,0)</f>
        <v>#N/A</v>
      </c>
      <c r="AQ97" s="182" t="e">
        <f t="shared" si="51"/>
        <v>#N/A</v>
      </c>
      <c r="AR97" s="181" t="e">
        <f>HLOOKUP($AR$3,VaR_Calculo_Historico!$C$2:$ET$103,B97+1,0)</f>
        <v>#N/A</v>
      </c>
      <c r="AS97" s="182" t="e">
        <f t="shared" si="52"/>
        <v>#N/A</v>
      </c>
      <c r="AT97" s="181" t="e">
        <f>HLOOKUP($AT$3,VaR_Calculo_Historico!$C$2:$ET$103,B97+1,0)</f>
        <v>#N/A</v>
      </c>
      <c r="AU97" s="182" t="e">
        <f t="shared" si="53"/>
        <v>#N/A</v>
      </c>
      <c r="AV97" s="181" t="e">
        <f>HLOOKUP($AV$3,VaR_Calculo_Historico!$C$2:$ET$103,B97+1,0)</f>
        <v>#N/A</v>
      </c>
      <c r="AW97" s="223" t="e">
        <f t="shared" si="54"/>
        <v>#N/A</v>
      </c>
      <c r="AX97" s="181" t="e">
        <f>HLOOKUP($AX$3,VaR_Calculo_Historico!$C$2:$ET$103,B97+1,0)</f>
        <v>#N/A</v>
      </c>
      <c r="AY97" s="182" t="e">
        <f t="shared" si="55"/>
        <v>#N/A</v>
      </c>
      <c r="AZ97" s="181" t="e">
        <f>HLOOKUP($AZ$3,VaR_Calculo_Historico!$C$2:$ET$103,B97+1,0)</f>
        <v>#N/A</v>
      </c>
      <c r="BA97" s="182" t="e">
        <f t="shared" si="56"/>
        <v>#N/A</v>
      </c>
      <c r="BB97" s="181" t="e">
        <f>HLOOKUP($BB$3,VaR_Calculo_Historico!$C$2:$ET$103,B97+1,0)</f>
        <v>#N/A</v>
      </c>
      <c r="BC97" s="182" t="e">
        <f t="shared" si="57"/>
        <v>#N/A</v>
      </c>
      <c r="BD97" s="181" t="e">
        <f>HLOOKUP($BD$3,VaR_Calculo_Historico!$C$2:$ET$103,B97+1,0)</f>
        <v>#N/A</v>
      </c>
      <c r="BE97" s="182" t="e">
        <f t="shared" si="58"/>
        <v>#N/A</v>
      </c>
      <c r="BF97" s="181" t="e">
        <f>HLOOKUP($BF$3,VaR_Calculo_Historico!$C$2:$ET$103,B97+1,0)</f>
        <v>#N/A</v>
      </c>
      <c r="BG97" s="182" t="e">
        <f t="shared" si="59"/>
        <v>#N/A</v>
      </c>
      <c r="BH97" s="181" t="e">
        <f>HLOOKUP($BH$3,VaR_Calculo_Historico!$C$2:$ET$103,B97+1,0)</f>
        <v>#N/A</v>
      </c>
      <c r="BI97" s="223" t="e">
        <f t="shared" si="60"/>
        <v>#N/A</v>
      </c>
      <c r="BJ97" s="181" t="e">
        <f>HLOOKUP($BJ$3,VaR_Calculo_Historico!$C$2:$ET$103,B97+1,0)</f>
        <v>#N/A</v>
      </c>
      <c r="BK97" s="223" t="e">
        <f t="shared" si="61"/>
        <v>#N/A</v>
      </c>
      <c r="BL97" s="181" t="e">
        <f>HLOOKUP($BL$3,VaR_Calculo_Historico!$C$2:$ET$103,B97+1,0)</f>
        <v>#N/A</v>
      </c>
      <c r="BM97" s="223" t="e">
        <f t="shared" si="62"/>
        <v>#N/A</v>
      </c>
      <c r="BN97" s="181" t="e">
        <f>HLOOKUP($BN$3,VaR_Calculo_Historico!$C$2:$EY$103,B97+1,0)</f>
        <v>#N/A</v>
      </c>
      <c r="BO97" s="223" t="e">
        <f t="shared" si="63"/>
        <v>#N/A</v>
      </c>
    </row>
    <row r="98" spans="1:67" x14ac:dyDescent="0.3">
      <c r="B98" s="166">
        <v>94</v>
      </c>
      <c r="C98" s="208">
        <f>VaR_Calculo_Historico!B95</f>
        <v>42447</v>
      </c>
      <c r="D98" s="181">
        <f>HLOOKUP($D$3,VaR_Calculo_Historico!$C$2:$ET$103,B98+1,0)</f>
        <v>3.5573557330000001</v>
      </c>
      <c r="E98" s="182">
        <f t="shared" si="32"/>
        <v>1.8991066506874512E-3</v>
      </c>
      <c r="F98" s="181">
        <f>HLOOKUP($F$3,VaR_Calculo_Historico!$C$2:$ET$103,B98+1,0)</f>
        <v>1.639534</v>
      </c>
      <c r="G98" s="182">
        <f t="shared" si="33"/>
        <v>5.1430272088209036E-4</v>
      </c>
      <c r="H98" s="181">
        <f>HLOOKUP($H$3,VaR_Calculo_Historico!$C$2:$ET$103,B98+1,0)</f>
        <v>1.1503342599999999</v>
      </c>
      <c r="I98" s="182">
        <f t="shared" si="34"/>
        <v>4.2584343051253645E-4</v>
      </c>
      <c r="J98" s="181">
        <f>HLOOKUP($J$3,VaR_Calculo_Historico!$C$2:$ET$103,B98+1,0)</f>
        <v>1.8919790000000001</v>
      </c>
      <c r="K98" s="182">
        <f t="shared" si="35"/>
        <v>4.4830840985473475E-4</v>
      </c>
      <c r="L98" s="181">
        <f>HLOOKUP($L$3,VaR_Calculo_Historico!$C$2:$ET$103,B98+1,0)</f>
        <v>1.0852850000000001</v>
      </c>
      <c r="M98" s="182">
        <f t="shared" si="36"/>
        <v>4.7003309529647066E-4</v>
      </c>
      <c r="N98" s="181">
        <f>HLOOKUP($N$3,VaR_Calculo_Historico!$C$2:$ET$103,B98+1,0)</f>
        <v>2.6684570000000001</v>
      </c>
      <c r="O98" s="182">
        <f t="shared" si="37"/>
        <v>5.2141094003871238E-4</v>
      </c>
      <c r="P98" s="181">
        <f>HLOOKUP($P$3,VaR_Calculo_Historico!$C$2:$ET$103,B98+1,0)</f>
        <v>1.806908</v>
      </c>
      <c r="Q98" s="182">
        <f t="shared" si="38"/>
        <v>4.5890008159347144E-4</v>
      </c>
      <c r="R98" s="181">
        <f>HLOOKUP($R$3,VaR_Calculo_Historico!$C$2:$ET$103,B98+1,0)</f>
        <v>1.380744</v>
      </c>
      <c r="S98" s="182">
        <f t="shared" si="39"/>
        <v>3.0951479090480377E-3</v>
      </c>
      <c r="T98" s="181" t="e">
        <f>HLOOKUP($T$3,VaR_Calculo_Historico!$C$2:$ET$103,B98+1,0)</f>
        <v>#N/A</v>
      </c>
      <c r="U98" s="182" t="e">
        <f t="shared" si="40"/>
        <v>#N/A</v>
      </c>
      <c r="V98" s="181" t="e">
        <f>HLOOKUP($V$3,VaR_Calculo_Historico!$C$2:$ET$103,B98+1,0)</f>
        <v>#N/A</v>
      </c>
      <c r="W98" s="182" t="e">
        <f t="shared" si="41"/>
        <v>#N/A</v>
      </c>
      <c r="X98" s="181" t="e">
        <f>HLOOKUP($X$3,VaR_Calculo_Historico!$C$2:$ET$103,B98+1,0)</f>
        <v>#N/A</v>
      </c>
      <c r="Y98" s="182" t="e">
        <f t="shared" si="42"/>
        <v>#N/A</v>
      </c>
      <c r="Z98" s="181" t="e">
        <f>HLOOKUP($Z$3,VaR_Calculo_Historico!$C$2:$ET$103,B98+1,0)</f>
        <v>#N/A</v>
      </c>
      <c r="AA98" s="182" t="e">
        <f t="shared" si="43"/>
        <v>#N/A</v>
      </c>
      <c r="AB98" s="181" t="e">
        <f>HLOOKUP($AB$3,VaR_Calculo_Historico!$C$2:$ET$103,B98+1,0)</f>
        <v>#N/A</v>
      </c>
      <c r="AC98" s="182" t="e">
        <f t="shared" si="44"/>
        <v>#N/A</v>
      </c>
      <c r="AD98" s="181" t="e">
        <f>HLOOKUP($AD$3,VaR_Calculo_Historico!$C$2:$ET$103,B98+1,0)</f>
        <v>#N/A</v>
      </c>
      <c r="AE98" s="182" t="e">
        <f t="shared" si="45"/>
        <v>#N/A</v>
      </c>
      <c r="AF98" s="181" t="e">
        <f>HLOOKUP($AF$3,VaR_Calculo_Historico!$C$2:$FZS$104,B98+1,0)</f>
        <v>#N/A</v>
      </c>
      <c r="AG98" s="182" t="e">
        <f t="shared" si="46"/>
        <v>#N/A</v>
      </c>
      <c r="AH98" s="181" t="e">
        <f>HLOOKUP($AH$3,VaR_Calculo_Historico!$C$2:$FS$104,B98+1,0)</f>
        <v>#N/A</v>
      </c>
      <c r="AI98" s="182" t="e">
        <f t="shared" si="47"/>
        <v>#N/A</v>
      </c>
      <c r="AJ98" s="181" t="e">
        <f>HLOOKUP($AJ$3,VaR_Calculo_Historico!$C$2:$ET$103,B98+1,0)</f>
        <v>#N/A</v>
      </c>
      <c r="AK98" s="182" t="e">
        <f t="shared" si="48"/>
        <v>#N/A</v>
      </c>
      <c r="AL98" s="181" t="e">
        <f>HLOOKUP($AL$3,VaR_Calculo_Historico!$C$2:$ET$103,B98+1,0)</f>
        <v>#N/A</v>
      </c>
      <c r="AM98" s="182" t="e">
        <f t="shared" si="49"/>
        <v>#N/A</v>
      </c>
      <c r="AN98" s="181" t="e">
        <f>HLOOKUP($AN$3,VaR_Calculo_Historico!$C$2:$ET$103,B98+1,0)</f>
        <v>#N/A</v>
      </c>
      <c r="AO98" s="182" t="e">
        <f t="shared" si="50"/>
        <v>#N/A</v>
      </c>
      <c r="AP98" s="181" t="e">
        <f>HLOOKUP($AP$3,VaR_Calculo_Historico!$C$2:$ET$103,B98+1,0)</f>
        <v>#N/A</v>
      </c>
      <c r="AQ98" s="182" t="e">
        <f t="shared" si="51"/>
        <v>#N/A</v>
      </c>
      <c r="AR98" s="181" t="e">
        <f>HLOOKUP($AR$3,VaR_Calculo_Historico!$C$2:$ET$103,B98+1,0)</f>
        <v>#N/A</v>
      </c>
      <c r="AS98" s="182" t="e">
        <f t="shared" si="52"/>
        <v>#N/A</v>
      </c>
      <c r="AT98" s="181" t="e">
        <f>HLOOKUP($AT$3,VaR_Calculo_Historico!$C$2:$ET$103,B98+1,0)</f>
        <v>#N/A</v>
      </c>
      <c r="AU98" s="182" t="e">
        <f t="shared" si="53"/>
        <v>#N/A</v>
      </c>
      <c r="AV98" s="181" t="e">
        <f>HLOOKUP($AV$3,VaR_Calculo_Historico!$C$2:$ET$103,B98+1,0)</f>
        <v>#N/A</v>
      </c>
      <c r="AW98" s="223" t="e">
        <f t="shared" si="54"/>
        <v>#N/A</v>
      </c>
      <c r="AX98" s="181" t="e">
        <f>HLOOKUP($AX$3,VaR_Calculo_Historico!$C$2:$ET$103,B98+1,0)</f>
        <v>#N/A</v>
      </c>
      <c r="AY98" s="182" t="e">
        <f t="shared" si="55"/>
        <v>#N/A</v>
      </c>
      <c r="AZ98" s="181" t="e">
        <f>HLOOKUP($AZ$3,VaR_Calculo_Historico!$C$2:$ET$103,B98+1,0)</f>
        <v>#N/A</v>
      </c>
      <c r="BA98" s="182" t="e">
        <f t="shared" si="56"/>
        <v>#N/A</v>
      </c>
      <c r="BB98" s="181" t="e">
        <f>HLOOKUP($BB$3,VaR_Calculo_Historico!$C$2:$ET$103,B98+1,0)</f>
        <v>#N/A</v>
      </c>
      <c r="BC98" s="182" t="e">
        <f t="shared" si="57"/>
        <v>#N/A</v>
      </c>
      <c r="BD98" s="181" t="e">
        <f>HLOOKUP($BD$3,VaR_Calculo_Historico!$C$2:$ET$103,B98+1,0)</f>
        <v>#N/A</v>
      </c>
      <c r="BE98" s="182" t="e">
        <f t="shared" si="58"/>
        <v>#N/A</v>
      </c>
      <c r="BF98" s="181" t="e">
        <f>HLOOKUP($BF$3,VaR_Calculo_Historico!$C$2:$ET$103,B98+1,0)</f>
        <v>#N/A</v>
      </c>
      <c r="BG98" s="182" t="e">
        <f t="shared" si="59"/>
        <v>#N/A</v>
      </c>
      <c r="BH98" s="181" t="e">
        <f>HLOOKUP($BH$3,VaR_Calculo_Historico!$C$2:$ET$103,B98+1,0)</f>
        <v>#N/A</v>
      </c>
      <c r="BI98" s="223" t="e">
        <f t="shared" si="60"/>
        <v>#N/A</v>
      </c>
      <c r="BJ98" s="181" t="e">
        <f>HLOOKUP($BJ$3,VaR_Calculo_Historico!$C$2:$ET$103,B98+1,0)</f>
        <v>#N/A</v>
      </c>
      <c r="BK98" s="223" t="e">
        <f t="shared" si="61"/>
        <v>#N/A</v>
      </c>
      <c r="BL98" s="181" t="e">
        <f>HLOOKUP($BL$3,VaR_Calculo_Historico!$C$2:$ET$103,B98+1,0)</f>
        <v>#N/A</v>
      </c>
      <c r="BM98" s="223" t="e">
        <f t="shared" si="62"/>
        <v>#N/A</v>
      </c>
      <c r="BN98" s="181" t="e">
        <f>HLOOKUP($BN$3,VaR_Calculo_Historico!$C$2:$EY$103,B98+1,0)</f>
        <v>#N/A</v>
      </c>
      <c r="BO98" s="223" t="e">
        <f t="shared" si="63"/>
        <v>#N/A</v>
      </c>
    </row>
    <row r="99" spans="1:67" x14ac:dyDescent="0.3">
      <c r="B99" s="166">
        <v>95</v>
      </c>
      <c r="C99" s="208">
        <f>VaR_Calculo_Historico!B96</f>
        <v>42450</v>
      </c>
      <c r="D99" s="181">
        <f>HLOOKUP($D$3,VaR_Calculo_Historico!$C$2:$ET$103,B99+1,0)</f>
        <v>3.5715788590000002</v>
      </c>
      <c r="E99" s="182">
        <f t="shared" si="32"/>
        <v>3.9902582043225008E-3</v>
      </c>
      <c r="F99" s="181">
        <f>HLOOKUP($F$3,VaR_Calculo_Historico!$C$2:$ET$103,B99+1,0)</f>
        <v>1.640263</v>
      </c>
      <c r="G99" s="182">
        <f t="shared" si="33"/>
        <v>4.4453971511351309E-4</v>
      </c>
      <c r="H99" s="181">
        <f>HLOOKUP($H$3,VaR_Calculo_Historico!$C$2:$ET$103,B99+1,0)</f>
        <v>1.1511339540000001</v>
      </c>
      <c r="I99" s="182">
        <f t="shared" si="34"/>
        <v>6.9494249568119513E-4</v>
      </c>
      <c r="J99" s="181">
        <f>HLOOKUP($J$3,VaR_Calculo_Historico!$C$2:$ET$103,B99+1,0)</f>
        <v>1.8932310000000001</v>
      </c>
      <c r="K99" s="182">
        <f t="shared" si="35"/>
        <v>6.6152210612235071E-4</v>
      </c>
      <c r="L99" s="181">
        <f>HLOOKUP($L$3,VaR_Calculo_Historico!$C$2:$ET$103,B99+1,0)</f>
        <v>1.085939</v>
      </c>
      <c r="M99" s="182">
        <f t="shared" si="36"/>
        <v>6.0242519406458685E-4</v>
      </c>
      <c r="N99" s="181">
        <f>HLOOKUP($N$3,VaR_Calculo_Historico!$C$2:$ET$103,B99+1,0)</f>
        <v>2.6698270000000002</v>
      </c>
      <c r="O99" s="182">
        <f t="shared" si="37"/>
        <v>5.1327356509226125E-4</v>
      </c>
      <c r="P99" s="181">
        <f>HLOOKUP($P$3,VaR_Calculo_Historico!$C$2:$ET$103,B99+1,0)</f>
        <v>1.8081130000000001</v>
      </c>
      <c r="Q99" s="182">
        <f t="shared" si="38"/>
        <v>6.666628186277996E-4</v>
      </c>
      <c r="R99" s="181">
        <f>HLOOKUP($R$3,VaR_Calculo_Historico!$C$2:$ET$103,B99+1,0)</f>
        <v>1.390031</v>
      </c>
      <c r="S99" s="182">
        <f t="shared" si="39"/>
        <v>6.7035647268874864E-3</v>
      </c>
      <c r="T99" s="181" t="e">
        <f>HLOOKUP($T$3,VaR_Calculo_Historico!$C$2:$ET$103,B99+1,0)</f>
        <v>#N/A</v>
      </c>
      <c r="U99" s="182" t="e">
        <f t="shared" si="40"/>
        <v>#N/A</v>
      </c>
      <c r="V99" s="181" t="e">
        <f>HLOOKUP($V$3,VaR_Calculo_Historico!$C$2:$ET$103,B99+1,0)</f>
        <v>#N/A</v>
      </c>
      <c r="W99" s="182" t="e">
        <f t="shared" si="41"/>
        <v>#N/A</v>
      </c>
      <c r="X99" s="181" t="e">
        <f>HLOOKUP($X$3,VaR_Calculo_Historico!$C$2:$ET$103,B99+1,0)</f>
        <v>#N/A</v>
      </c>
      <c r="Y99" s="182" t="e">
        <f t="shared" si="42"/>
        <v>#N/A</v>
      </c>
      <c r="Z99" s="181" t="e">
        <f>HLOOKUP($Z$3,VaR_Calculo_Historico!$C$2:$ET$103,B99+1,0)</f>
        <v>#N/A</v>
      </c>
      <c r="AA99" s="182" t="e">
        <f t="shared" si="43"/>
        <v>#N/A</v>
      </c>
      <c r="AB99" s="181" t="e">
        <f>HLOOKUP($AB$3,VaR_Calculo_Historico!$C$2:$ET$103,B99+1,0)</f>
        <v>#N/A</v>
      </c>
      <c r="AC99" s="182" t="e">
        <f t="shared" si="44"/>
        <v>#N/A</v>
      </c>
      <c r="AD99" s="181" t="e">
        <f>HLOOKUP($AD$3,VaR_Calculo_Historico!$C$2:$ET$103,B99+1,0)</f>
        <v>#N/A</v>
      </c>
      <c r="AE99" s="182" t="e">
        <f t="shared" si="45"/>
        <v>#N/A</v>
      </c>
      <c r="AF99" s="181" t="e">
        <f>HLOOKUP($AF$3,VaR_Calculo_Historico!$C$2:$FZS$104,B99+1,0)</f>
        <v>#N/A</v>
      </c>
      <c r="AG99" s="182" t="e">
        <f t="shared" si="46"/>
        <v>#N/A</v>
      </c>
      <c r="AH99" s="181" t="e">
        <f>HLOOKUP($AH$3,VaR_Calculo_Historico!$C$2:$FS$104,B99+1,0)</f>
        <v>#N/A</v>
      </c>
      <c r="AI99" s="182" t="e">
        <f t="shared" si="47"/>
        <v>#N/A</v>
      </c>
      <c r="AJ99" s="181" t="e">
        <f>HLOOKUP($AJ$3,VaR_Calculo_Historico!$C$2:$ET$103,B99+1,0)</f>
        <v>#N/A</v>
      </c>
      <c r="AK99" s="182" t="e">
        <f t="shared" si="48"/>
        <v>#N/A</v>
      </c>
      <c r="AL99" s="181" t="e">
        <f>HLOOKUP($AL$3,VaR_Calculo_Historico!$C$2:$ET$103,B99+1,0)</f>
        <v>#N/A</v>
      </c>
      <c r="AM99" s="182" t="e">
        <f t="shared" si="49"/>
        <v>#N/A</v>
      </c>
      <c r="AN99" s="181" t="e">
        <f>HLOOKUP($AN$3,VaR_Calculo_Historico!$C$2:$ET$103,B99+1,0)</f>
        <v>#N/A</v>
      </c>
      <c r="AO99" s="182" t="e">
        <f t="shared" si="50"/>
        <v>#N/A</v>
      </c>
      <c r="AP99" s="181" t="e">
        <f>HLOOKUP($AP$3,VaR_Calculo_Historico!$C$2:$ET$103,B99+1,0)</f>
        <v>#N/A</v>
      </c>
      <c r="AQ99" s="182" t="e">
        <f t="shared" si="51"/>
        <v>#N/A</v>
      </c>
      <c r="AR99" s="181" t="e">
        <f>HLOOKUP($AR$3,VaR_Calculo_Historico!$C$2:$ET$103,B99+1,0)</f>
        <v>#N/A</v>
      </c>
      <c r="AS99" s="182" t="e">
        <f t="shared" si="52"/>
        <v>#N/A</v>
      </c>
      <c r="AT99" s="181" t="e">
        <f>HLOOKUP($AT$3,VaR_Calculo_Historico!$C$2:$ET$103,B99+1,0)</f>
        <v>#N/A</v>
      </c>
      <c r="AU99" s="182" t="e">
        <f t="shared" si="53"/>
        <v>#N/A</v>
      </c>
      <c r="AV99" s="181" t="e">
        <f>HLOOKUP($AV$3,VaR_Calculo_Historico!$C$2:$ET$103,B99+1,0)</f>
        <v>#N/A</v>
      </c>
      <c r="AW99" s="223" t="e">
        <f t="shared" si="54"/>
        <v>#N/A</v>
      </c>
      <c r="AX99" s="181" t="e">
        <f>HLOOKUP($AX$3,VaR_Calculo_Historico!$C$2:$ET$103,B99+1,0)</f>
        <v>#N/A</v>
      </c>
      <c r="AY99" s="182" t="e">
        <f t="shared" si="55"/>
        <v>#N/A</v>
      </c>
      <c r="AZ99" s="181" t="e">
        <f>HLOOKUP($AZ$3,VaR_Calculo_Historico!$C$2:$ET$103,B99+1,0)</f>
        <v>#N/A</v>
      </c>
      <c r="BA99" s="182" t="e">
        <f t="shared" si="56"/>
        <v>#N/A</v>
      </c>
      <c r="BB99" s="181" t="e">
        <f>HLOOKUP($BB$3,VaR_Calculo_Historico!$C$2:$ET$103,B99+1,0)</f>
        <v>#N/A</v>
      </c>
      <c r="BC99" s="182" t="e">
        <f t="shared" si="57"/>
        <v>#N/A</v>
      </c>
      <c r="BD99" s="181" t="e">
        <f>HLOOKUP($BD$3,VaR_Calculo_Historico!$C$2:$ET$103,B99+1,0)</f>
        <v>#N/A</v>
      </c>
      <c r="BE99" s="182" t="e">
        <f t="shared" si="58"/>
        <v>#N/A</v>
      </c>
      <c r="BF99" s="181" t="e">
        <f>HLOOKUP($BF$3,VaR_Calculo_Historico!$C$2:$ET$103,B99+1,0)</f>
        <v>#N/A</v>
      </c>
      <c r="BG99" s="182" t="e">
        <f t="shared" si="59"/>
        <v>#N/A</v>
      </c>
      <c r="BH99" s="181" t="e">
        <f>HLOOKUP($BH$3,VaR_Calculo_Historico!$C$2:$ET$103,B99+1,0)</f>
        <v>#N/A</v>
      </c>
      <c r="BI99" s="223" t="e">
        <f t="shared" si="60"/>
        <v>#N/A</v>
      </c>
      <c r="BJ99" s="181" t="e">
        <f>HLOOKUP($BJ$3,VaR_Calculo_Historico!$C$2:$ET$103,B99+1,0)</f>
        <v>#N/A</v>
      </c>
      <c r="BK99" s="223" t="e">
        <f t="shared" si="61"/>
        <v>#N/A</v>
      </c>
      <c r="BL99" s="181" t="e">
        <f>HLOOKUP($BL$3,VaR_Calculo_Historico!$C$2:$ET$103,B99+1,0)</f>
        <v>#N/A</v>
      </c>
      <c r="BM99" s="223" t="e">
        <f t="shared" si="62"/>
        <v>#N/A</v>
      </c>
      <c r="BN99" s="181" t="e">
        <f>HLOOKUP($BN$3,VaR_Calculo_Historico!$C$2:$EY$103,B99+1,0)</f>
        <v>#N/A</v>
      </c>
      <c r="BO99" s="223" t="e">
        <f t="shared" si="63"/>
        <v>#N/A</v>
      </c>
    </row>
    <row r="100" spans="1:67" x14ac:dyDescent="0.3">
      <c r="B100" s="166">
        <v>96</v>
      </c>
      <c r="C100" s="208">
        <f>VaR_Calculo_Historico!B97</f>
        <v>42451</v>
      </c>
      <c r="D100" s="181">
        <f>HLOOKUP($D$3,VaR_Calculo_Historico!$C$2:$ET$103,B100+1,0)</f>
        <v>3.5610029669999999</v>
      </c>
      <c r="E100" s="182">
        <f t="shared" si="32"/>
        <v>-2.9655179593103642E-3</v>
      </c>
      <c r="F100" s="181">
        <f>HLOOKUP($F$3,VaR_Calculo_Historico!$C$2:$ET$103,B100+1,0)</f>
        <v>1.641051</v>
      </c>
      <c r="G100" s="182">
        <f t="shared" si="33"/>
        <v>4.8029540309039396E-4</v>
      </c>
      <c r="H100" s="181">
        <f>HLOOKUP($H$3,VaR_Calculo_Historico!$C$2:$ET$103,B100+1,0)</f>
        <v>1.1502274450000001</v>
      </c>
      <c r="I100" s="182">
        <f t="shared" si="34"/>
        <v>-7.878024262317555E-4</v>
      </c>
      <c r="J100" s="181">
        <f>HLOOKUP($J$3,VaR_Calculo_Historico!$C$2:$ET$103,B100+1,0)</f>
        <v>1.8941140000000001</v>
      </c>
      <c r="K100" s="182">
        <f t="shared" si="35"/>
        <v>4.6628971799448889E-4</v>
      </c>
      <c r="L100" s="181">
        <f>HLOOKUP($L$3,VaR_Calculo_Historico!$C$2:$ET$103,B100+1,0)</f>
        <v>1.085898</v>
      </c>
      <c r="M100" s="182">
        <f t="shared" si="36"/>
        <v>-3.7756056283042621E-5</v>
      </c>
      <c r="N100" s="181">
        <f>HLOOKUP($N$3,VaR_Calculo_Historico!$C$2:$ET$103,B100+1,0)</f>
        <v>2.6712349999999998</v>
      </c>
      <c r="O100" s="182">
        <f t="shared" si="37"/>
        <v>5.2723598138932509E-4</v>
      </c>
      <c r="P100" s="181">
        <f>HLOOKUP($P$3,VaR_Calculo_Historico!$C$2:$ET$103,B100+1,0)</f>
        <v>1.808962</v>
      </c>
      <c r="Q100" s="182">
        <f t="shared" si="38"/>
        <v>4.6944009487844864E-4</v>
      </c>
      <c r="R100" s="181">
        <f>HLOOKUP($R$3,VaR_Calculo_Historico!$C$2:$ET$103,B100+1,0)</f>
        <v>1.38228</v>
      </c>
      <c r="S100" s="182">
        <f t="shared" si="39"/>
        <v>-5.5917393079061243E-3</v>
      </c>
      <c r="T100" s="181" t="e">
        <f>HLOOKUP($T$3,VaR_Calculo_Historico!$C$2:$ET$103,B100+1,0)</f>
        <v>#N/A</v>
      </c>
      <c r="U100" s="182" t="e">
        <f t="shared" si="40"/>
        <v>#N/A</v>
      </c>
      <c r="V100" s="181" t="e">
        <f>HLOOKUP($V$3,VaR_Calculo_Historico!$C$2:$ET$103,B100+1,0)</f>
        <v>#N/A</v>
      </c>
      <c r="W100" s="182" t="e">
        <f t="shared" si="41"/>
        <v>#N/A</v>
      </c>
      <c r="X100" s="181" t="e">
        <f>HLOOKUP($X$3,VaR_Calculo_Historico!$C$2:$ET$103,B100+1,0)</f>
        <v>#N/A</v>
      </c>
      <c r="Y100" s="182" t="e">
        <f t="shared" si="42"/>
        <v>#N/A</v>
      </c>
      <c r="Z100" s="181" t="e">
        <f>HLOOKUP($Z$3,VaR_Calculo_Historico!$C$2:$ET$103,B100+1,0)</f>
        <v>#N/A</v>
      </c>
      <c r="AA100" s="182" t="e">
        <f t="shared" si="43"/>
        <v>#N/A</v>
      </c>
      <c r="AB100" s="181" t="e">
        <f>HLOOKUP($AB$3,VaR_Calculo_Historico!$C$2:$ET$103,B100+1,0)</f>
        <v>#N/A</v>
      </c>
      <c r="AC100" s="182" t="e">
        <f t="shared" si="44"/>
        <v>#N/A</v>
      </c>
      <c r="AD100" s="181" t="e">
        <f>HLOOKUP($AD$3,VaR_Calculo_Historico!$C$2:$ET$103,B100+1,0)</f>
        <v>#N/A</v>
      </c>
      <c r="AE100" s="182" t="e">
        <f t="shared" si="45"/>
        <v>#N/A</v>
      </c>
      <c r="AF100" s="181" t="e">
        <f>HLOOKUP($AF$3,VaR_Calculo_Historico!$C$2:$FZS$104,B100+1,0)</f>
        <v>#N/A</v>
      </c>
      <c r="AG100" s="182" t="e">
        <f t="shared" si="46"/>
        <v>#N/A</v>
      </c>
      <c r="AH100" s="181" t="e">
        <f>HLOOKUP($AH$3,VaR_Calculo_Historico!$C$2:$FS$104,B100+1,0)</f>
        <v>#N/A</v>
      </c>
      <c r="AI100" s="182" t="e">
        <f t="shared" si="47"/>
        <v>#N/A</v>
      </c>
      <c r="AJ100" s="181" t="e">
        <f>HLOOKUP($AJ$3,VaR_Calculo_Historico!$C$2:$ET$103,B100+1,0)</f>
        <v>#N/A</v>
      </c>
      <c r="AK100" s="182" t="e">
        <f t="shared" si="48"/>
        <v>#N/A</v>
      </c>
      <c r="AL100" s="181" t="e">
        <f>HLOOKUP($AL$3,VaR_Calculo_Historico!$C$2:$ET$103,B100+1,0)</f>
        <v>#N/A</v>
      </c>
      <c r="AM100" s="182" t="e">
        <f t="shared" si="49"/>
        <v>#N/A</v>
      </c>
      <c r="AN100" s="181" t="e">
        <f>HLOOKUP($AN$3,VaR_Calculo_Historico!$C$2:$ET$103,B100+1,0)</f>
        <v>#N/A</v>
      </c>
      <c r="AO100" s="182" t="e">
        <f t="shared" si="50"/>
        <v>#N/A</v>
      </c>
      <c r="AP100" s="181" t="e">
        <f>HLOOKUP($AP$3,VaR_Calculo_Historico!$C$2:$ET$103,B100+1,0)</f>
        <v>#N/A</v>
      </c>
      <c r="AQ100" s="182" t="e">
        <f t="shared" si="51"/>
        <v>#N/A</v>
      </c>
      <c r="AR100" s="181" t="e">
        <f>HLOOKUP($AR$3,VaR_Calculo_Historico!$C$2:$ET$103,B100+1,0)</f>
        <v>#N/A</v>
      </c>
      <c r="AS100" s="182" t="e">
        <f t="shared" si="52"/>
        <v>#N/A</v>
      </c>
      <c r="AT100" s="181" t="e">
        <f>HLOOKUP($AT$3,VaR_Calculo_Historico!$C$2:$ET$103,B100+1,0)</f>
        <v>#N/A</v>
      </c>
      <c r="AU100" s="182" t="e">
        <f t="shared" si="53"/>
        <v>#N/A</v>
      </c>
      <c r="AV100" s="181" t="e">
        <f>HLOOKUP($AV$3,VaR_Calculo_Historico!$C$2:$ET$103,B100+1,0)</f>
        <v>#N/A</v>
      </c>
      <c r="AW100" s="223" t="e">
        <f t="shared" si="54"/>
        <v>#N/A</v>
      </c>
      <c r="AX100" s="181" t="e">
        <f>HLOOKUP($AX$3,VaR_Calculo_Historico!$C$2:$ET$103,B100+1,0)</f>
        <v>#N/A</v>
      </c>
      <c r="AY100" s="182" t="e">
        <f t="shared" si="55"/>
        <v>#N/A</v>
      </c>
      <c r="AZ100" s="181" t="e">
        <f>HLOOKUP($AZ$3,VaR_Calculo_Historico!$C$2:$ET$103,B100+1,0)</f>
        <v>#N/A</v>
      </c>
      <c r="BA100" s="182" t="e">
        <f t="shared" si="56"/>
        <v>#N/A</v>
      </c>
      <c r="BB100" s="181" t="e">
        <f>HLOOKUP($BB$3,VaR_Calculo_Historico!$C$2:$ET$103,B100+1,0)</f>
        <v>#N/A</v>
      </c>
      <c r="BC100" s="182" t="e">
        <f t="shared" si="57"/>
        <v>#N/A</v>
      </c>
      <c r="BD100" s="181" t="e">
        <f>HLOOKUP($BD$3,VaR_Calculo_Historico!$C$2:$ET$103,B100+1,0)</f>
        <v>#N/A</v>
      </c>
      <c r="BE100" s="182" t="e">
        <f t="shared" si="58"/>
        <v>#N/A</v>
      </c>
      <c r="BF100" s="181" t="e">
        <f>HLOOKUP($BF$3,VaR_Calculo_Historico!$C$2:$ET$103,B100+1,0)</f>
        <v>#N/A</v>
      </c>
      <c r="BG100" s="182" t="e">
        <f t="shared" si="59"/>
        <v>#N/A</v>
      </c>
      <c r="BH100" s="181" t="e">
        <f>HLOOKUP($BH$3,VaR_Calculo_Historico!$C$2:$ET$103,B100+1,0)</f>
        <v>#N/A</v>
      </c>
      <c r="BI100" s="223" t="e">
        <f t="shared" si="60"/>
        <v>#N/A</v>
      </c>
      <c r="BJ100" s="181" t="e">
        <f>HLOOKUP($BJ$3,VaR_Calculo_Historico!$C$2:$ET$103,B100+1,0)</f>
        <v>#N/A</v>
      </c>
      <c r="BK100" s="223" t="e">
        <f t="shared" si="61"/>
        <v>#N/A</v>
      </c>
      <c r="BL100" s="181" t="e">
        <f>HLOOKUP($BL$3,VaR_Calculo_Historico!$C$2:$ET$103,B100+1,0)</f>
        <v>#N/A</v>
      </c>
      <c r="BM100" s="223" t="e">
        <f t="shared" si="62"/>
        <v>#N/A</v>
      </c>
      <c r="BN100" s="181" t="e">
        <f>HLOOKUP($BN$3,VaR_Calculo_Historico!$C$2:$EY$103,B100+1,0)</f>
        <v>#N/A</v>
      </c>
      <c r="BO100" s="223" t="e">
        <f t="shared" si="63"/>
        <v>#N/A</v>
      </c>
    </row>
    <row r="101" spans="1:67" x14ac:dyDescent="0.3">
      <c r="B101" s="166">
        <v>97</v>
      </c>
      <c r="C101" s="208">
        <f>VaR_Calculo_Historico!B98</f>
        <v>42452</v>
      </c>
      <c r="D101" s="181">
        <f>HLOOKUP($D$3,VaR_Calculo_Historico!$C$2:$ET$103,B101+1,0)</f>
        <v>3.5515595640000002</v>
      </c>
      <c r="E101" s="182">
        <f t="shared" si="32"/>
        <v>-2.6554166681315001E-3</v>
      </c>
      <c r="F101" s="181">
        <f>HLOOKUP($F$3,VaR_Calculo_Historico!$C$2:$ET$103,B101+1,0)</f>
        <v>1.6418740000000001</v>
      </c>
      <c r="G101" s="182">
        <f t="shared" si="33"/>
        <v>5.0138216209058507E-4</v>
      </c>
      <c r="H101" s="181">
        <f>HLOOKUP($H$3,VaR_Calculo_Historico!$C$2:$ET$103,B101+1,0)</f>
        <v>1.149442922</v>
      </c>
      <c r="I101" s="182">
        <f t="shared" si="34"/>
        <v>-6.8229172466829436E-4</v>
      </c>
      <c r="J101" s="181">
        <f>HLOOKUP($J$3,VaR_Calculo_Historico!$C$2:$ET$103,B101+1,0)</f>
        <v>1.894576</v>
      </c>
      <c r="K101" s="182">
        <f t="shared" si="35"/>
        <v>2.4388377106064683E-4</v>
      </c>
      <c r="L101" s="181">
        <f>HLOOKUP($L$3,VaR_Calculo_Historico!$C$2:$ET$103,B101+1,0)</f>
        <v>1.085779</v>
      </c>
      <c r="M101" s="182">
        <f t="shared" si="36"/>
        <v>-1.0959272499464508E-4</v>
      </c>
      <c r="N101" s="181">
        <f>HLOOKUP($N$3,VaR_Calculo_Historico!$C$2:$ET$103,B101+1,0)</f>
        <v>2.673079</v>
      </c>
      <c r="O101" s="182">
        <f t="shared" si="37"/>
        <v>6.9007924054520541E-4</v>
      </c>
      <c r="P101" s="181">
        <f>HLOOKUP($P$3,VaR_Calculo_Historico!$C$2:$ET$103,B101+1,0)</f>
        <v>1.8094159999999999</v>
      </c>
      <c r="Q101" s="182">
        <f t="shared" si="38"/>
        <v>2.5094116887874326E-4</v>
      </c>
      <c r="R101" s="181">
        <f>HLOOKUP($R$3,VaR_Calculo_Historico!$C$2:$ET$103,B101+1,0)</f>
        <v>1.375535</v>
      </c>
      <c r="S101" s="182">
        <f t="shared" si="39"/>
        <v>-4.8915633928911899E-3</v>
      </c>
      <c r="T101" s="181" t="e">
        <f>HLOOKUP($T$3,VaR_Calculo_Historico!$C$2:$ET$103,B101+1,0)</f>
        <v>#N/A</v>
      </c>
      <c r="U101" s="182" t="e">
        <f t="shared" si="40"/>
        <v>#N/A</v>
      </c>
      <c r="V101" s="181" t="e">
        <f>HLOOKUP($V$3,VaR_Calculo_Historico!$C$2:$ET$103,B101+1,0)</f>
        <v>#N/A</v>
      </c>
      <c r="W101" s="182" t="e">
        <f t="shared" si="41"/>
        <v>#N/A</v>
      </c>
      <c r="X101" s="181" t="e">
        <f>HLOOKUP($X$3,VaR_Calculo_Historico!$C$2:$ET$103,B101+1,0)</f>
        <v>#N/A</v>
      </c>
      <c r="Y101" s="182" t="e">
        <f t="shared" si="42"/>
        <v>#N/A</v>
      </c>
      <c r="Z101" s="181" t="e">
        <f>HLOOKUP($Z$3,VaR_Calculo_Historico!$C$2:$ET$103,B101+1,0)</f>
        <v>#N/A</v>
      </c>
      <c r="AA101" s="182" t="e">
        <f t="shared" si="43"/>
        <v>#N/A</v>
      </c>
      <c r="AB101" s="181" t="e">
        <f>HLOOKUP($AB$3,VaR_Calculo_Historico!$C$2:$ET$103,B101+1,0)</f>
        <v>#N/A</v>
      </c>
      <c r="AC101" s="182" t="e">
        <f t="shared" si="44"/>
        <v>#N/A</v>
      </c>
      <c r="AD101" s="181" t="e">
        <f>HLOOKUP($AD$3,VaR_Calculo_Historico!$C$2:$ET$103,B101+1,0)</f>
        <v>#N/A</v>
      </c>
      <c r="AE101" s="182" t="e">
        <f t="shared" si="45"/>
        <v>#N/A</v>
      </c>
      <c r="AF101" s="181" t="e">
        <f>HLOOKUP($AF$3,VaR_Calculo_Historico!$C$2:$FZS$104,B101+1,0)</f>
        <v>#N/A</v>
      </c>
      <c r="AG101" s="182" t="e">
        <f t="shared" si="46"/>
        <v>#N/A</v>
      </c>
      <c r="AH101" s="181" t="e">
        <f>HLOOKUP($AH$3,VaR_Calculo_Historico!$C$2:$FS$104,B101+1,0)</f>
        <v>#N/A</v>
      </c>
      <c r="AI101" s="182" t="e">
        <f t="shared" si="47"/>
        <v>#N/A</v>
      </c>
      <c r="AJ101" s="181" t="e">
        <f>HLOOKUP($AJ$3,VaR_Calculo_Historico!$C$2:$ET$103,B101+1,0)</f>
        <v>#N/A</v>
      </c>
      <c r="AK101" s="182" t="e">
        <f t="shared" si="48"/>
        <v>#N/A</v>
      </c>
      <c r="AL101" s="181" t="e">
        <f>HLOOKUP($AL$3,VaR_Calculo_Historico!$C$2:$ET$103,B101+1,0)</f>
        <v>#N/A</v>
      </c>
      <c r="AM101" s="182" t="e">
        <f t="shared" si="49"/>
        <v>#N/A</v>
      </c>
      <c r="AN101" s="181" t="e">
        <f>HLOOKUP($AN$3,VaR_Calculo_Historico!$C$2:$ET$103,B101+1,0)</f>
        <v>#N/A</v>
      </c>
      <c r="AO101" s="182" t="e">
        <f t="shared" si="50"/>
        <v>#N/A</v>
      </c>
      <c r="AP101" s="181" t="e">
        <f>HLOOKUP($AP$3,VaR_Calculo_Historico!$C$2:$ET$103,B101+1,0)</f>
        <v>#N/A</v>
      </c>
      <c r="AQ101" s="182" t="e">
        <f t="shared" si="51"/>
        <v>#N/A</v>
      </c>
      <c r="AR101" s="181" t="e">
        <f>HLOOKUP($AR$3,VaR_Calculo_Historico!$C$2:$ET$103,B101+1,0)</f>
        <v>#N/A</v>
      </c>
      <c r="AS101" s="182" t="e">
        <f t="shared" si="52"/>
        <v>#N/A</v>
      </c>
      <c r="AT101" s="181" t="e">
        <f>HLOOKUP($AT$3,VaR_Calculo_Historico!$C$2:$ET$103,B101+1,0)</f>
        <v>#N/A</v>
      </c>
      <c r="AU101" s="182" t="e">
        <f t="shared" si="53"/>
        <v>#N/A</v>
      </c>
      <c r="AV101" s="181" t="e">
        <f>HLOOKUP($AV$3,VaR_Calculo_Historico!$C$2:$ET$103,B101+1,0)</f>
        <v>#N/A</v>
      </c>
      <c r="AW101" s="223" t="e">
        <f t="shared" si="54"/>
        <v>#N/A</v>
      </c>
      <c r="AX101" s="181" t="e">
        <f>HLOOKUP($AX$3,VaR_Calculo_Historico!$C$2:$ET$103,B101+1,0)</f>
        <v>#N/A</v>
      </c>
      <c r="AY101" s="182" t="e">
        <f t="shared" si="55"/>
        <v>#N/A</v>
      </c>
      <c r="AZ101" s="181" t="e">
        <f>HLOOKUP($AZ$3,VaR_Calculo_Historico!$C$2:$ET$103,B101+1,0)</f>
        <v>#N/A</v>
      </c>
      <c r="BA101" s="182" t="e">
        <f t="shared" si="56"/>
        <v>#N/A</v>
      </c>
      <c r="BB101" s="181" t="e">
        <f>HLOOKUP($BB$3,VaR_Calculo_Historico!$C$2:$ET$103,B101+1,0)</f>
        <v>#N/A</v>
      </c>
      <c r="BC101" s="182" t="e">
        <f t="shared" si="57"/>
        <v>#N/A</v>
      </c>
      <c r="BD101" s="181" t="e">
        <f>HLOOKUP($BD$3,VaR_Calculo_Historico!$C$2:$ET$103,B101+1,0)</f>
        <v>#N/A</v>
      </c>
      <c r="BE101" s="182" t="e">
        <f t="shared" si="58"/>
        <v>#N/A</v>
      </c>
      <c r="BF101" s="181" t="e">
        <f>HLOOKUP($BF$3,VaR_Calculo_Historico!$C$2:$ET$103,B101+1,0)</f>
        <v>#N/A</v>
      </c>
      <c r="BG101" s="182" t="e">
        <f t="shared" si="59"/>
        <v>#N/A</v>
      </c>
      <c r="BH101" s="181" t="e">
        <f>HLOOKUP($BH$3,VaR_Calculo_Historico!$C$2:$ET$103,B101+1,0)</f>
        <v>#N/A</v>
      </c>
      <c r="BI101" s="223" t="e">
        <f t="shared" si="60"/>
        <v>#N/A</v>
      </c>
      <c r="BJ101" s="181" t="e">
        <f>HLOOKUP($BJ$3,VaR_Calculo_Historico!$C$2:$ET$103,B101+1,0)</f>
        <v>#N/A</v>
      </c>
      <c r="BK101" s="223" t="e">
        <f t="shared" si="61"/>
        <v>#N/A</v>
      </c>
      <c r="BL101" s="181" t="e">
        <f>HLOOKUP($BL$3,VaR_Calculo_Historico!$C$2:$ET$103,B101+1,0)</f>
        <v>#N/A</v>
      </c>
      <c r="BM101" s="223" t="e">
        <f t="shared" si="62"/>
        <v>#N/A</v>
      </c>
      <c r="BN101" s="181" t="e">
        <f>HLOOKUP($BN$3,VaR_Calculo_Historico!$C$2:$EY$103,B101+1,0)</f>
        <v>#N/A</v>
      </c>
      <c r="BO101" s="223" t="e">
        <f t="shared" si="63"/>
        <v>#N/A</v>
      </c>
    </row>
    <row r="102" spans="1:67" x14ac:dyDescent="0.3">
      <c r="B102" s="166">
        <v>98</v>
      </c>
      <c r="C102" s="208">
        <f>VaR_Calculo_Historico!B99</f>
        <v>42453</v>
      </c>
      <c r="D102" s="181">
        <f>HLOOKUP($D$3,VaR_Calculo_Historico!$C$2:$ET$103,B102+1,0)</f>
        <v>3.5701725049999999</v>
      </c>
      <c r="E102" s="182">
        <f t="shared" si="32"/>
        <v>5.2270945323449102E-3</v>
      </c>
      <c r="F102" s="181">
        <f>HLOOKUP($F$3,VaR_Calculo_Historico!$C$2:$ET$103,B102+1,0)</f>
        <v>1.6427389999999999</v>
      </c>
      <c r="G102" s="182">
        <f t="shared" si="33"/>
        <v>5.2669828682808486E-4</v>
      </c>
      <c r="H102" s="181">
        <f>HLOOKUP($H$3,VaR_Calculo_Historico!$C$2:$ET$103,B102+1,0)</f>
        <v>1.150180419</v>
      </c>
      <c r="I102" s="182">
        <f t="shared" si="34"/>
        <v>6.4140680096184456E-4</v>
      </c>
      <c r="J102" s="181">
        <f>HLOOKUP($J$3,VaR_Calculo_Historico!$C$2:$ET$103,B102+1,0)</f>
        <v>1.8959600000000001</v>
      </c>
      <c r="K102" s="182">
        <f t="shared" si="35"/>
        <v>7.3023976635577868E-4</v>
      </c>
      <c r="L102" s="181">
        <f>HLOOKUP($L$3,VaR_Calculo_Historico!$C$2:$ET$103,B102+1,0)</f>
        <v>1.0862449999999999</v>
      </c>
      <c r="M102" s="182">
        <f t="shared" si="36"/>
        <v>4.2909287111914985E-4</v>
      </c>
      <c r="N102" s="181">
        <f>HLOOKUP($N$3,VaR_Calculo_Historico!$C$2:$ET$103,B102+1,0)</f>
        <v>2.6744479999999999</v>
      </c>
      <c r="O102" s="182">
        <f t="shared" si="37"/>
        <v>5.1201238625176251E-4</v>
      </c>
      <c r="P102" s="181">
        <f>HLOOKUP($P$3,VaR_Calculo_Historico!$C$2:$ET$103,B102+1,0)</f>
        <v>1.8107359999999999</v>
      </c>
      <c r="Q102" s="182">
        <f t="shared" si="38"/>
        <v>7.2925117978410122E-4</v>
      </c>
      <c r="R102" s="181">
        <f>HLOOKUP($R$3,VaR_Calculo_Historico!$C$2:$ET$103,B102+1,0)</f>
        <v>1.387785</v>
      </c>
      <c r="S102" s="182">
        <f t="shared" si="39"/>
        <v>8.8662045996688709E-3</v>
      </c>
      <c r="T102" s="181" t="e">
        <f>HLOOKUP($T$3,VaR_Calculo_Historico!$C$2:$ET$103,B102+1,0)</f>
        <v>#N/A</v>
      </c>
      <c r="U102" s="182" t="e">
        <f t="shared" si="40"/>
        <v>#N/A</v>
      </c>
      <c r="V102" s="181" t="e">
        <f>HLOOKUP($V$3,VaR_Calculo_Historico!$C$2:$ET$103,B102+1,0)</f>
        <v>#N/A</v>
      </c>
      <c r="W102" s="182" t="e">
        <f t="shared" si="41"/>
        <v>#N/A</v>
      </c>
      <c r="X102" s="181" t="e">
        <f>HLOOKUP($X$3,VaR_Calculo_Historico!$C$2:$ET$103,B102+1,0)</f>
        <v>#N/A</v>
      </c>
      <c r="Y102" s="182" t="e">
        <f t="shared" si="42"/>
        <v>#N/A</v>
      </c>
      <c r="Z102" s="181" t="e">
        <f>HLOOKUP($Z$3,VaR_Calculo_Historico!$C$2:$ET$103,B102+1,0)</f>
        <v>#N/A</v>
      </c>
      <c r="AA102" s="182" t="e">
        <f t="shared" si="43"/>
        <v>#N/A</v>
      </c>
      <c r="AB102" s="181" t="e">
        <f>HLOOKUP($AB$3,VaR_Calculo_Historico!$C$2:$ET$103,B102+1,0)</f>
        <v>#N/A</v>
      </c>
      <c r="AC102" s="182" t="e">
        <f t="shared" si="44"/>
        <v>#N/A</v>
      </c>
      <c r="AD102" s="181" t="e">
        <f>HLOOKUP($AD$3,VaR_Calculo_Historico!$C$2:$ET$103,B102+1,0)</f>
        <v>#N/A</v>
      </c>
      <c r="AE102" s="182" t="e">
        <f t="shared" si="45"/>
        <v>#N/A</v>
      </c>
      <c r="AF102" s="181" t="e">
        <f>HLOOKUP($AF$3,VaR_Calculo_Historico!$C$2:$FZS$104,B102+1,0)</f>
        <v>#N/A</v>
      </c>
      <c r="AG102" s="182" t="e">
        <f t="shared" si="46"/>
        <v>#N/A</v>
      </c>
      <c r="AH102" s="181" t="e">
        <f>HLOOKUP($AH$3,VaR_Calculo_Historico!$C$2:$FS$104,B102+1,0)</f>
        <v>#N/A</v>
      </c>
      <c r="AI102" s="182" t="e">
        <f t="shared" si="47"/>
        <v>#N/A</v>
      </c>
      <c r="AJ102" s="181" t="e">
        <f>HLOOKUP($AJ$3,VaR_Calculo_Historico!$C$2:$ET$103,B102+1,0)</f>
        <v>#N/A</v>
      </c>
      <c r="AK102" s="182" t="e">
        <f t="shared" si="48"/>
        <v>#N/A</v>
      </c>
      <c r="AL102" s="181" t="e">
        <f>HLOOKUP($AL$3,VaR_Calculo_Historico!$C$2:$ET$103,B102+1,0)</f>
        <v>#N/A</v>
      </c>
      <c r="AM102" s="182" t="e">
        <f t="shared" si="49"/>
        <v>#N/A</v>
      </c>
      <c r="AN102" s="181" t="e">
        <f>HLOOKUP($AN$3,VaR_Calculo_Historico!$C$2:$ET$103,B102+1,0)</f>
        <v>#N/A</v>
      </c>
      <c r="AO102" s="182" t="e">
        <f t="shared" si="50"/>
        <v>#N/A</v>
      </c>
      <c r="AP102" s="181" t="e">
        <f>HLOOKUP($AP$3,VaR_Calculo_Historico!$C$2:$ET$103,B102+1,0)</f>
        <v>#N/A</v>
      </c>
      <c r="AQ102" s="182" t="e">
        <f t="shared" si="51"/>
        <v>#N/A</v>
      </c>
      <c r="AR102" s="181" t="e">
        <f>HLOOKUP($AR$3,VaR_Calculo_Historico!$C$2:$ET$103,B102+1,0)</f>
        <v>#N/A</v>
      </c>
      <c r="AS102" s="182" t="e">
        <f t="shared" si="52"/>
        <v>#N/A</v>
      </c>
      <c r="AT102" s="181" t="e">
        <f>HLOOKUP($AT$3,VaR_Calculo_Historico!$C$2:$ET$103,B102+1,0)</f>
        <v>#N/A</v>
      </c>
      <c r="AU102" s="182" t="e">
        <f t="shared" si="53"/>
        <v>#N/A</v>
      </c>
      <c r="AV102" s="181" t="e">
        <f>HLOOKUP($AV$3,VaR_Calculo_Historico!$C$2:$ET$103,B102+1,0)</f>
        <v>#N/A</v>
      </c>
      <c r="AW102" s="223" t="e">
        <f t="shared" si="54"/>
        <v>#N/A</v>
      </c>
      <c r="AX102" s="181" t="e">
        <f>HLOOKUP($AX$3,VaR_Calculo_Historico!$C$2:$ET$103,B102+1,0)</f>
        <v>#N/A</v>
      </c>
      <c r="AY102" s="182" t="e">
        <f t="shared" si="55"/>
        <v>#N/A</v>
      </c>
      <c r="AZ102" s="181" t="e">
        <f>HLOOKUP($AZ$3,VaR_Calculo_Historico!$C$2:$ET$103,B102+1,0)</f>
        <v>#N/A</v>
      </c>
      <c r="BA102" s="182" t="e">
        <f t="shared" si="56"/>
        <v>#N/A</v>
      </c>
      <c r="BB102" s="181" t="e">
        <f>HLOOKUP($BB$3,VaR_Calculo_Historico!$C$2:$ET$103,B102+1,0)</f>
        <v>#N/A</v>
      </c>
      <c r="BC102" s="182" t="e">
        <f t="shared" si="57"/>
        <v>#N/A</v>
      </c>
      <c r="BD102" s="181" t="e">
        <f>HLOOKUP($BD$3,VaR_Calculo_Historico!$C$2:$ET$103,B102+1,0)</f>
        <v>#N/A</v>
      </c>
      <c r="BE102" s="182" t="e">
        <f t="shared" si="58"/>
        <v>#N/A</v>
      </c>
      <c r="BF102" s="181" t="e">
        <f>HLOOKUP($BF$3,VaR_Calculo_Historico!$C$2:$ET$103,B102+1,0)</f>
        <v>#N/A</v>
      </c>
      <c r="BG102" s="182" t="e">
        <f t="shared" si="59"/>
        <v>#N/A</v>
      </c>
      <c r="BH102" s="181" t="e">
        <f>HLOOKUP($BH$3,VaR_Calculo_Historico!$C$2:$ET$103,B102+1,0)</f>
        <v>#N/A</v>
      </c>
      <c r="BI102" s="223" t="e">
        <f t="shared" si="60"/>
        <v>#N/A</v>
      </c>
      <c r="BJ102" s="181" t="e">
        <f>HLOOKUP($BJ$3,VaR_Calculo_Historico!$C$2:$ET$103,B102+1,0)</f>
        <v>#N/A</v>
      </c>
      <c r="BK102" s="223" t="e">
        <f t="shared" si="61"/>
        <v>#N/A</v>
      </c>
      <c r="BL102" s="181" t="e">
        <f>HLOOKUP($BL$3,VaR_Calculo_Historico!$C$2:$ET$103,B102+1,0)</f>
        <v>#N/A</v>
      </c>
      <c r="BM102" s="223" t="e">
        <f t="shared" si="62"/>
        <v>#N/A</v>
      </c>
      <c r="BN102" s="181" t="e">
        <f>HLOOKUP($BN$3,VaR_Calculo_Historico!$C$2:$EY$103,B102+1,0)</f>
        <v>#N/A</v>
      </c>
      <c r="BO102" s="223" t="e">
        <f t="shared" si="63"/>
        <v>#N/A</v>
      </c>
    </row>
    <row r="103" spans="1:67" x14ac:dyDescent="0.3">
      <c r="B103" s="166">
        <v>99</v>
      </c>
      <c r="C103" s="208">
        <f>VaR_Calculo_Historico!B100</f>
        <v>42457</v>
      </c>
      <c r="D103" s="181">
        <f>HLOOKUP($D$3,VaR_Calculo_Historico!$C$2:$ET$103,B103+1,0)</f>
        <v>3.5817712199999998</v>
      </c>
      <c r="E103" s="182">
        <f t="shared" si="32"/>
        <v>3.2435168996225111E-3</v>
      </c>
      <c r="F103" s="181">
        <f>HLOOKUP($F$3,VaR_Calculo_Historico!$C$2:$ET$103,B103+1,0)</f>
        <v>1.643564</v>
      </c>
      <c r="G103" s="182">
        <f t="shared" si="33"/>
        <v>5.0208396324440488E-4</v>
      </c>
      <c r="H103" s="181">
        <f>HLOOKUP($H$3,VaR_Calculo_Historico!$C$2:$ET$103,B103+1,0)</f>
        <v>1.1502446660000001</v>
      </c>
      <c r="I103" s="182">
        <f t="shared" si="34"/>
        <v>5.5856633137683159E-5</v>
      </c>
      <c r="J103" s="181">
        <f>HLOOKUP($J$3,VaR_Calculo_Historico!$C$2:$ET$103,B103+1,0)</f>
        <v>1.8969590000000001</v>
      </c>
      <c r="K103" s="182">
        <f t="shared" si="35"/>
        <v>5.267710821670093E-4</v>
      </c>
      <c r="L103" s="181">
        <f>HLOOKUP($L$3,VaR_Calculo_Historico!$C$2:$ET$103,B103+1,0)</f>
        <v>1.0864180000000001</v>
      </c>
      <c r="M103" s="182">
        <f t="shared" si="36"/>
        <v>1.5925157317612617E-4</v>
      </c>
      <c r="N103" s="181">
        <f>HLOOKUP($N$3,VaR_Calculo_Historico!$C$2:$ET$103,B103+1,0)</f>
        <v>2.6758299999999999</v>
      </c>
      <c r="O103" s="182">
        <f t="shared" si="37"/>
        <v>5.1660868116988428E-4</v>
      </c>
      <c r="P103" s="181">
        <f>HLOOKUP($P$3,VaR_Calculo_Historico!$C$2:$ET$103,B103+1,0)</f>
        <v>1.8116969999999999</v>
      </c>
      <c r="Q103" s="182">
        <f t="shared" si="38"/>
        <v>5.305826346794863E-4</v>
      </c>
      <c r="R103" s="181">
        <f>HLOOKUP($R$3,VaR_Calculo_Historico!$C$2:$ET$103,B103+1,0)</f>
        <v>1.395519</v>
      </c>
      <c r="S103" s="182">
        <f t="shared" si="39"/>
        <v>5.5574381421855338E-3</v>
      </c>
      <c r="T103" s="181" t="e">
        <f>HLOOKUP($T$3,VaR_Calculo_Historico!$C$2:$ET$103,B103+1,0)</f>
        <v>#N/A</v>
      </c>
      <c r="U103" s="182" t="e">
        <f t="shared" si="40"/>
        <v>#N/A</v>
      </c>
      <c r="V103" s="181" t="e">
        <f>HLOOKUP($V$3,VaR_Calculo_Historico!$C$2:$ET$103,B103+1,0)</f>
        <v>#N/A</v>
      </c>
      <c r="W103" s="182" t="e">
        <f t="shared" si="41"/>
        <v>#N/A</v>
      </c>
      <c r="X103" s="181" t="e">
        <f>HLOOKUP($X$3,VaR_Calculo_Historico!$C$2:$ET$103,B103+1,0)</f>
        <v>#N/A</v>
      </c>
      <c r="Y103" s="182" t="e">
        <f t="shared" si="42"/>
        <v>#N/A</v>
      </c>
      <c r="Z103" s="181" t="e">
        <f>HLOOKUP($Z$3,VaR_Calculo_Historico!$C$2:$ET$103,B103+1,0)</f>
        <v>#N/A</v>
      </c>
      <c r="AA103" s="182" t="e">
        <f t="shared" si="43"/>
        <v>#N/A</v>
      </c>
      <c r="AB103" s="181" t="e">
        <f>HLOOKUP($AB$3,VaR_Calculo_Historico!$C$2:$ET$103,B103+1,0)</f>
        <v>#N/A</v>
      </c>
      <c r="AC103" s="182" t="e">
        <f t="shared" si="44"/>
        <v>#N/A</v>
      </c>
      <c r="AD103" s="181" t="e">
        <f>HLOOKUP($AD$3,VaR_Calculo_Historico!$C$2:$ET$103,B103+1,0)</f>
        <v>#N/A</v>
      </c>
      <c r="AE103" s="182" t="e">
        <f t="shared" si="45"/>
        <v>#N/A</v>
      </c>
      <c r="AF103" s="181" t="e">
        <f>HLOOKUP($AF$3,VaR_Calculo_Historico!$C$2:$FZS$104,B103+1,0)</f>
        <v>#N/A</v>
      </c>
      <c r="AG103" s="182" t="e">
        <f t="shared" si="46"/>
        <v>#N/A</v>
      </c>
      <c r="AH103" s="181" t="e">
        <f>HLOOKUP($AH$3,VaR_Calculo_Historico!$C$2:$FS$104,B103+1,0)</f>
        <v>#N/A</v>
      </c>
      <c r="AI103" s="182" t="e">
        <f t="shared" si="47"/>
        <v>#N/A</v>
      </c>
      <c r="AJ103" s="181" t="e">
        <f>HLOOKUP($AJ$3,VaR_Calculo_Historico!$C$2:$ET$103,B103+1,0)</f>
        <v>#N/A</v>
      </c>
      <c r="AK103" s="182" t="e">
        <f t="shared" si="48"/>
        <v>#N/A</v>
      </c>
      <c r="AL103" s="181" t="e">
        <f>HLOOKUP($AL$3,VaR_Calculo_Historico!$C$2:$ET$103,B103+1,0)</f>
        <v>#N/A</v>
      </c>
      <c r="AM103" s="182" t="e">
        <f t="shared" si="49"/>
        <v>#N/A</v>
      </c>
      <c r="AN103" s="181" t="e">
        <f>HLOOKUP($AN$3,VaR_Calculo_Historico!$C$2:$ET$103,B103+1,0)</f>
        <v>#N/A</v>
      </c>
      <c r="AO103" s="182" t="e">
        <f t="shared" si="50"/>
        <v>#N/A</v>
      </c>
      <c r="AP103" s="181" t="e">
        <f>HLOOKUP($AP$3,VaR_Calculo_Historico!$C$2:$ET$103,B103+1,0)</f>
        <v>#N/A</v>
      </c>
      <c r="AQ103" s="182" t="e">
        <f t="shared" si="51"/>
        <v>#N/A</v>
      </c>
      <c r="AR103" s="181" t="e">
        <f>HLOOKUP($AR$3,VaR_Calculo_Historico!$C$2:$ET$103,B103+1,0)</f>
        <v>#N/A</v>
      </c>
      <c r="AS103" s="182" t="e">
        <f t="shared" si="52"/>
        <v>#N/A</v>
      </c>
      <c r="AT103" s="181" t="e">
        <f>HLOOKUP($AT$3,VaR_Calculo_Historico!$C$2:$ET$103,B103+1,0)</f>
        <v>#N/A</v>
      </c>
      <c r="AU103" s="182" t="e">
        <f t="shared" si="53"/>
        <v>#N/A</v>
      </c>
      <c r="AV103" s="181" t="e">
        <f>HLOOKUP($AV$3,VaR_Calculo_Historico!$C$2:$ET$103,B103+1,0)</f>
        <v>#N/A</v>
      </c>
      <c r="AW103" s="223" t="e">
        <f t="shared" si="54"/>
        <v>#N/A</v>
      </c>
      <c r="AX103" s="181" t="e">
        <f>HLOOKUP($AX$3,VaR_Calculo_Historico!$C$2:$ET$103,B103+1,0)</f>
        <v>#N/A</v>
      </c>
      <c r="AY103" s="182" t="e">
        <f t="shared" si="55"/>
        <v>#N/A</v>
      </c>
      <c r="AZ103" s="181" t="e">
        <f>HLOOKUP($AZ$3,VaR_Calculo_Historico!$C$2:$ET$103,B103+1,0)</f>
        <v>#N/A</v>
      </c>
      <c r="BA103" s="182" t="e">
        <f t="shared" si="56"/>
        <v>#N/A</v>
      </c>
      <c r="BB103" s="181" t="e">
        <f>HLOOKUP($BB$3,VaR_Calculo_Historico!$C$2:$ET$103,B103+1,0)</f>
        <v>#N/A</v>
      </c>
      <c r="BC103" s="182" t="e">
        <f t="shared" si="57"/>
        <v>#N/A</v>
      </c>
      <c r="BD103" s="181" t="e">
        <f>HLOOKUP($BD$3,VaR_Calculo_Historico!$C$2:$ET$103,B103+1,0)</f>
        <v>#N/A</v>
      </c>
      <c r="BE103" s="182" t="e">
        <f t="shared" si="58"/>
        <v>#N/A</v>
      </c>
      <c r="BF103" s="181" t="e">
        <f>HLOOKUP($BF$3,VaR_Calculo_Historico!$C$2:$ET$103,B103+1,0)</f>
        <v>#N/A</v>
      </c>
      <c r="BG103" s="182" t="e">
        <f t="shared" si="59"/>
        <v>#N/A</v>
      </c>
      <c r="BH103" s="181" t="e">
        <f>HLOOKUP($BH$3,VaR_Calculo_Historico!$C$2:$ET$103,B103+1,0)</f>
        <v>#N/A</v>
      </c>
      <c r="BI103" s="223" t="e">
        <f t="shared" si="60"/>
        <v>#N/A</v>
      </c>
      <c r="BJ103" s="181" t="e">
        <f>HLOOKUP($BJ$3,VaR_Calculo_Historico!$C$2:$ET$103,B103+1,0)</f>
        <v>#N/A</v>
      </c>
      <c r="BK103" s="223" t="e">
        <f t="shared" si="61"/>
        <v>#N/A</v>
      </c>
      <c r="BL103" s="181" t="e">
        <f>HLOOKUP($BL$3,VaR_Calculo_Historico!$C$2:$ET$103,B103+1,0)</f>
        <v>#N/A</v>
      </c>
      <c r="BM103" s="223" t="e">
        <f t="shared" si="62"/>
        <v>#N/A</v>
      </c>
      <c r="BN103" s="181" t="e">
        <f>HLOOKUP($BN$3,VaR_Calculo_Historico!$C$2:$EY$103,B103+1,0)</f>
        <v>#N/A</v>
      </c>
      <c r="BO103" s="223" t="e">
        <f t="shared" si="63"/>
        <v>#N/A</v>
      </c>
    </row>
    <row r="104" spans="1:67" x14ac:dyDescent="0.3">
      <c r="B104" s="166">
        <v>100</v>
      </c>
      <c r="C104" s="208">
        <f>VaR_Calculo_Historico!B101</f>
        <v>42458</v>
      </c>
      <c r="D104" s="181">
        <f>HLOOKUP($D$3,VaR_Calculo_Historico!$C$2:$ET$103,B104+1,0)</f>
        <v>3.5766894150000001</v>
      </c>
      <c r="E104" s="182">
        <f t="shared" si="32"/>
        <v>-1.4198040927486568E-3</v>
      </c>
      <c r="F104" s="181">
        <f>HLOOKUP($F$3,VaR_Calculo_Historico!$C$2:$ET$103,B104+1,0)</f>
        <v>1.64439</v>
      </c>
      <c r="G104" s="182">
        <f t="shared" si="33"/>
        <v>5.0244012986600428E-4</v>
      </c>
      <c r="H104" s="181">
        <f>HLOOKUP($H$3,VaR_Calculo_Historico!$C$2:$ET$103,B104+1,0)</f>
        <v>1.149642981</v>
      </c>
      <c r="I104" s="182">
        <f t="shared" si="34"/>
        <v>-5.2322991908926493E-4</v>
      </c>
      <c r="J104" s="181">
        <f>HLOOKUP($J$3,VaR_Calculo_Historico!$C$2:$ET$103,B104+1,0)</f>
        <v>1.8977360000000001</v>
      </c>
      <c r="K104" s="182">
        <f t="shared" si="35"/>
        <v>4.095190843316531E-4</v>
      </c>
      <c r="L104" s="181">
        <f>HLOOKUP($L$3,VaR_Calculo_Historico!$C$2:$ET$103,B104+1,0)</f>
        <v>1.0862449999999999</v>
      </c>
      <c r="M104" s="182">
        <f t="shared" si="36"/>
        <v>-1.5925157317615632E-4</v>
      </c>
      <c r="N104" s="181">
        <f>HLOOKUP($N$3,VaR_Calculo_Historico!$C$2:$ET$103,B104+1,0)</f>
        <v>2.6772360000000002</v>
      </c>
      <c r="O104" s="182">
        <f t="shared" si="37"/>
        <v>5.253064439452611E-4</v>
      </c>
      <c r="P104" s="181">
        <f>HLOOKUP($P$3,VaR_Calculo_Historico!$C$2:$ET$103,B104+1,0)</f>
        <v>1.812454</v>
      </c>
      <c r="Q104" s="182">
        <f t="shared" si="38"/>
        <v>4.1775301912610959E-4</v>
      </c>
      <c r="R104" s="181">
        <f>HLOOKUP($R$3,VaR_Calculo_Historico!$C$2:$ET$103,B104+1,0)</f>
        <v>1.3917550000000001</v>
      </c>
      <c r="S104" s="182">
        <f t="shared" si="39"/>
        <v>-2.7008484189691728E-3</v>
      </c>
      <c r="T104" s="181" t="e">
        <f>HLOOKUP($T$3,VaR_Calculo_Historico!$C$2:$ET$103,B104+1,0)</f>
        <v>#N/A</v>
      </c>
      <c r="U104" s="182" t="e">
        <f t="shared" si="40"/>
        <v>#N/A</v>
      </c>
      <c r="V104" s="181" t="e">
        <f>HLOOKUP($V$3,VaR_Calculo_Historico!$C$2:$ET$103,B104+1,0)</f>
        <v>#N/A</v>
      </c>
      <c r="W104" s="182" t="e">
        <f t="shared" si="41"/>
        <v>#N/A</v>
      </c>
      <c r="X104" s="181" t="e">
        <f>HLOOKUP($X$3,VaR_Calculo_Historico!$C$2:$ET$103,B104+1,0)</f>
        <v>#N/A</v>
      </c>
      <c r="Y104" s="182" t="e">
        <f t="shared" si="42"/>
        <v>#N/A</v>
      </c>
      <c r="Z104" s="181" t="e">
        <f>HLOOKUP($Z$3,VaR_Calculo_Historico!$C$2:$ET$103,B104+1,0)</f>
        <v>#N/A</v>
      </c>
      <c r="AA104" s="182" t="e">
        <f t="shared" si="43"/>
        <v>#N/A</v>
      </c>
      <c r="AB104" s="181" t="e">
        <f>HLOOKUP($AB$3,VaR_Calculo_Historico!$C$2:$ET$103,B104+1,0)</f>
        <v>#N/A</v>
      </c>
      <c r="AC104" s="182" t="e">
        <f t="shared" si="44"/>
        <v>#N/A</v>
      </c>
      <c r="AD104" s="181" t="e">
        <f>HLOOKUP($AD$3,VaR_Calculo_Historico!$C$2:$ET$103,B104+1,0)</f>
        <v>#N/A</v>
      </c>
      <c r="AE104" s="182" t="e">
        <f t="shared" si="45"/>
        <v>#N/A</v>
      </c>
      <c r="AF104" s="181" t="e">
        <f>HLOOKUP($AF$3,VaR_Calculo_Historico!$C$2:$FZS$104,B104+1,0)</f>
        <v>#N/A</v>
      </c>
      <c r="AG104" s="182" t="e">
        <f t="shared" si="46"/>
        <v>#N/A</v>
      </c>
      <c r="AH104" s="181" t="e">
        <f>HLOOKUP($AH$3,VaR_Calculo_Historico!$C$2:$FS$104,B104+1,0)</f>
        <v>#N/A</v>
      </c>
      <c r="AI104" s="182" t="e">
        <f t="shared" si="47"/>
        <v>#N/A</v>
      </c>
      <c r="AJ104" s="181" t="e">
        <f>HLOOKUP($AJ$3,VaR_Calculo_Historico!$C$2:$ET$103,B104+1,0)</f>
        <v>#N/A</v>
      </c>
      <c r="AK104" s="182" t="e">
        <f t="shared" si="48"/>
        <v>#N/A</v>
      </c>
      <c r="AL104" s="181" t="e">
        <f>HLOOKUP($AL$3,VaR_Calculo_Historico!$C$2:$ET$103,B104+1,0)</f>
        <v>#N/A</v>
      </c>
      <c r="AM104" s="182" t="e">
        <f t="shared" si="49"/>
        <v>#N/A</v>
      </c>
      <c r="AN104" s="181" t="e">
        <f>HLOOKUP($AN$3,VaR_Calculo_Historico!$C$2:$ET$103,B104+1,0)</f>
        <v>#N/A</v>
      </c>
      <c r="AO104" s="182" t="e">
        <f t="shared" si="50"/>
        <v>#N/A</v>
      </c>
      <c r="AP104" s="181" t="e">
        <f>HLOOKUP($AP$3,VaR_Calculo_Historico!$C$2:$ET$103,B104+1,0)</f>
        <v>#N/A</v>
      </c>
      <c r="AQ104" s="182" t="e">
        <f t="shared" si="51"/>
        <v>#N/A</v>
      </c>
      <c r="AR104" s="181" t="e">
        <f>HLOOKUP($AR$3,VaR_Calculo_Historico!$C$2:$ET$103,B104+1,0)</f>
        <v>#N/A</v>
      </c>
      <c r="AS104" s="182" t="e">
        <f t="shared" si="52"/>
        <v>#N/A</v>
      </c>
      <c r="AT104" s="181" t="e">
        <f>HLOOKUP($AT$3,VaR_Calculo_Historico!$C$2:$ET$103,B104+1,0)</f>
        <v>#N/A</v>
      </c>
      <c r="AU104" s="182" t="e">
        <f t="shared" si="53"/>
        <v>#N/A</v>
      </c>
      <c r="AV104" s="181" t="e">
        <f>HLOOKUP($AV$3,VaR_Calculo_Historico!$C$2:$ET$103,B104+1,0)</f>
        <v>#N/A</v>
      </c>
      <c r="AW104" s="223" t="e">
        <f t="shared" si="54"/>
        <v>#N/A</v>
      </c>
      <c r="AX104" s="181" t="e">
        <f>HLOOKUP($AX$3,VaR_Calculo_Historico!$C$2:$ET$103,B104+1,0)</f>
        <v>#N/A</v>
      </c>
      <c r="AY104" s="182" t="e">
        <f t="shared" si="55"/>
        <v>#N/A</v>
      </c>
      <c r="AZ104" s="181" t="e">
        <f>HLOOKUP($AZ$3,VaR_Calculo_Historico!$C$2:$ET$103,B104+1,0)</f>
        <v>#N/A</v>
      </c>
      <c r="BA104" s="182" t="e">
        <f t="shared" si="56"/>
        <v>#N/A</v>
      </c>
      <c r="BB104" s="181" t="e">
        <f>HLOOKUP($BB$3,VaR_Calculo_Historico!$C$2:$ET$103,B104+1,0)</f>
        <v>#N/A</v>
      </c>
      <c r="BC104" s="182" t="e">
        <f t="shared" si="57"/>
        <v>#N/A</v>
      </c>
      <c r="BD104" s="181" t="e">
        <f>HLOOKUP($BD$3,VaR_Calculo_Historico!$C$2:$ET$103,B104+1,0)</f>
        <v>#N/A</v>
      </c>
      <c r="BE104" s="182" t="e">
        <f t="shared" si="58"/>
        <v>#N/A</v>
      </c>
      <c r="BF104" s="181" t="e">
        <f>HLOOKUP($BF$3,VaR_Calculo_Historico!$C$2:$ET$103,B104+1,0)</f>
        <v>#N/A</v>
      </c>
      <c r="BG104" s="182" t="e">
        <f t="shared" si="59"/>
        <v>#N/A</v>
      </c>
      <c r="BH104" s="181" t="e">
        <f>HLOOKUP($BH$3,VaR_Calculo_Historico!$C$2:$ET$103,B104+1,0)</f>
        <v>#N/A</v>
      </c>
      <c r="BI104" s="223" t="e">
        <f t="shared" si="60"/>
        <v>#N/A</v>
      </c>
      <c r="BJ104" s="181" t="e">
        <f>HLOOKUP($BJ$3,VaR_Calculo_Historico!$C$2:$ET$103,B104+1,0)</f>
        <v>#N/A</v>
      </c>
      <c r="BK104" s="223" t="e">
        <f t="shared" si="61"/>
        <v>#N/A</v>
      </c>
      <c r="BL104" s="181" t="e">
        <f>HLOOKUP($BL$3,VaR_Calculo_Historico!$C$2:$ET$103,B104+1,0)</f>
        <v>#N/A</v>
      </c>
      <c r="BM104" s="223" t="e">
        <f t="shared" si="62"/>
        <v>#N/A</v>
      </c>
      <c r="BN104" s="181" t="e">
        <f>HLOOKUP($BN$3,VaR_Calculo_Historico!$C$2:$EY$103,B104+1,0)</f>
        <v>#N/A</v>
      </c>
      <c r="BO104" s="223" t="e">
        <f t="shared" si="63"/>
        <v>#N/A</v>
      </c>
    </row>
    <row r="105" spans="1:67" x14ac:dyDescent="0.3">
      <c r="B105" s="166">
        <v>101</v>
      </c>
      <c r="C105" s="208">
        <f>VaR_Calculo_Historico!B102</f>
        <v>42459</v>
      </c>
      <c r="D105" s="181">
        <f>HLOOKUP($D$3,VaR_Calculo_Historico!$C$2:$ET$103,B105+1,0)</f>
        <v>3.5630414340000001</v>
      </c>
      <c r="E105" s="182">
        <f t="shared" si="32"/>
        <v>-3.8231126388650802E-3</v>
      </c>
      <c r="F105" s="181">
        <f>HLOOKUP($F$3,VaR_Calculo_Historico!$C$2:$ET$103,B105+1,0)</f>
        <v>1.6452009999999999</v>
      </c>
      <c r="G105" s="182">
        <f t="shared" si="33"/>
        <v>4.9307042512622954E-4</v>
      </c>
      <c r="H105" s="181">
        <f>HLOOKUP($H$3,VaR_Calculo_Historico!$C$2:$ET$103,B105+1,0)</f>
        <v>1.1489492080000001</v>
      </c>
      <c r="I105" s="182">
        <f t="shared" si="34"/>
        <v>-6.0365037729360528E-4</v>
      </c>
      <c r="J105" s="181">
        <f>HLOOKUP($J$3,VaR_Calculo_Historico!$C$2:$ET$103,B105+1,0)</f>
        <v>1.8981250000000001</v>
      </c>
      <c r="K105" s="182">
        <f t="shared" si="35"/>
        <v>2.0496008750667881E-4</v>
      </c>
      <c r="L105" s="181">
        <f>HLOOKUP($L$3,VaR_Calculo_Historico!$C$2:$ET$103,B105+1,0)</f>
        <v>1.0861730000000001</v>
      </c>
      <c r="M105" s="182">
        <f t="shared" si="36"/>
        <v>-6.6285585947326365E-5</v>
      </c>
      <c r="N105" s="181">
        <f>HLOOKUP($N$3,VaR_Calculo_Historico!$C$2:$ET$103,B105+1,0)</f>
        <v>2.6786530000000002</v>
      </c>
      <c r="O105" s="182">
        <f t="shared" si="37"/>
        <v>5.2913719200003853E-4</v>
      </c>
      <c r="P105" s="181">
        <f>HLOOKUP($P$3,VaR_Calculo_Historico!$C$2:$ET$103,B105+1,0)</f>
        <v>1.8128500000000001</v>
      </c>
      <c r="Q105" s="182">
        <f t="shared" si="38"/>
        <v>2.1846443860997305E-4</v>
      </c>
      <c r="R105" s="181">
        <f>HLOOKUP($R$3,VaR_Calculo_Historico!$C$2:$ET$103,B105+1,0)</f>
        <v>1.3819330000000001</v>
      </c>
      <c r="S105" s="182">
        <f t="shared" si="39"/>
        <v>-7.0822969671067541E-3</v>
      </c>
      <c r="T105" s="181" t="e">
        <f>HLOOKUP($T$3,VaR_Calculo_Historico!$C$2:$ET$103,B105+1,0)</f>
        <v>#N/A</v>
      </c>
      <c r="U105" s="182" t="e">
        <f>LN(T105/T104)</f>
        <v>#N/A</v>
      </c>
      <c r="V105" s="181" t="e">
        <f>HLOOKUP($V$3,VaR_Calculo_Historico!$C$2:$ET$103,B105+1,0)</f>
        <v>#N/A</v>
      </c>
      <c r="W105" s="182" t="e">
        <f t="shared" si="41"/>
        <v>#N/A</v>
      </c>
      <c r="X105" s="181" t="e">
        <f>HLOOKUP($X$3,VaR_Calculo_Historico!$C$2:$ET$103,B105+1,0)</f>
        <v>#N/A</v>
      </c>
      <c r="Y105" s="182" t="e">
        <f t="shared" si="42"/>
        <v>#N/A</v>
      </c>
      <c r="Z105" s="181" t="e">
        <f>HLOOKUP($Z$3,VaR_Calculo_Historico!$C$2:$ET$103,B105+1,0)</f>
        <v>#N/A</v>
      </c>
      <c r="AA105" s="182" t="e">
        <f t="shared" si="43"/>
        <v>#N/A</v>
      </c>
      <c r="AB105" s="181" t="e">
        <f>HLOOKUP($AB$3,VaR_Calculo_Historico!$C$2:$ET$103,B105+1,0)</f>
        <v>#N/A</v>
      </c>
      <c r="AC105" s="182" t="e">
        <f t="shared" si="44"/>
        <v>#N/A</v>
      </c>
      <c r="AD105" s="181" t="e">
        <f>HLOOKUP($AD$3,VaR_Calculo_Historico!$C$2:$ET$103,B105+1,0)</f>
        <v>#N/A</v>
      </c>
      <c r="AE105" s="182" t="e">
        <f t="shared" si="45"/>
        <v>#N/A</v>
      </c>
      <c r="AF105" s="181" t="e">
        <f>HLOOKUP($AF$3,VaR_Calculo_Historico!$C$2:$FZS$104,B105+1,0)</f>
        <v>#N/A</v>
      </c>
      <c r="AG105" s="182" t="e">
        <f t="shared" si="46"/>
        <v>#N/A</v>
      </c>
      <c r="AH105" s="181" t="e">
        <f>HLOOKUP($AH$3,VaR_Calculo_Historico!$C$2:$FS$104,B105+1,0)</f>
        <v>#N/A</v>
      </c>
      <c r="AI105" s="182" t="e">
        <f t="shared" si="47"/>
        <v>#N/A</v>
      </c>
      <c r="AJ105" s="181" t="e">
        <f>HLOOKUP($AJ$3,VaR_Calculo_Historico!$C$2:$ET$103,B105+1,0)</f>
        <v>#N/A</v>
      </c>
      <c r="AK105" s="182" t="e">
        <f t="shared" si="48"/>
        <v>#N/A</v>
      </c>
      <c r="AL105" s="181" t="e">
        <f>HLOOKUP($AL$3,VaR_Calculo_Historico!$C$2:$ET$103,B105+1,0)</f>
        <v>#N/A</v>
      </c>
      <c r="AM105" s="182" t="e">
        <f t="shared" si="49"/>
        <v>#N/A</v>
      </c>
      <c r="AN105" s="181" t="e">
        <f>HLOOKUP($AN$3,VaR_Calculo_Historico!$C$2:$ET$103,B105+1,0)</f>
        <v>#N/A</v>
      </c>
      <c r="AO105" s="182" t="e">
        <f t="shared" si="50"/>
        <v>#N/A</v>
      </c>
      <c r="AP105" s="181" t="e">
        <f>HLOOKUP($AP$3,VaR_Calculo_Historico!$C$2:$ET$103,B105+1,0)</f>
        <v>#N/A</v>
      </c>
      <c r="AQ105" s="182" t="e">
        <f t="shared" si="51"/>
        <v>#N/A</v>
      </c>
      <c r="AR105" s="181" t="e">
        <f>HLOOKUP($AR$3,VaR_Calculo_Historico!$C$2:$ET$103,B105+1,0)</f>
        <v>#N/A</v>
      </c>
      <c r="AS105" s="182" t="e">
        <f t="shared" si="52"/>
        <v>#N/A</v>
      </c>
      <c r="AT105" s="181" t="e">
        <f>HLOOKUP($AT$3,VaR_Calculo_Historico!$C$2:$ET$103,B105+1,0)</f>
        <v>#N/A</v>
      </c>
      <c r="AU105" s="182" t="e">
        <f t="shared" si="53"/>
        <v>#N/A</v>
      </c>
      <c r="AV105" s="181" t="e">
        <f>HLOOKUP($AV$3,VaR_Calculo_Historico!$C$2:$ET$103,B105+1,0)</f>
        <v>#N/A</v>
      </c>
      <c r="AW105" s="223" t="e">
        <f t="shared" si="54"/>
        <v>#N/A</v>
      </c>
      <c r="AX105" s="181" t="e">
        <f>HLOOKUP($AX$3,VaR_Calculo_Historico!$C$2:$ET$103,B105+1,0)</f>
        <v>#N/A</v>
      </c>
      <c r="AY105" s="182" t="e">
        <f t="shared" si="55"/>
        <v>#N/A</v>
      </c>
      <c r="AZ105" s="181" t="e">
        <f>HLOOKUP($AZ$3,VaR_Calculo_Historico!$C$2:$ET$103,B105+1,0)</f>
        <v>#N/A</v>
      </c>
      <c r="BA105" s="182" t="e">
        <f t="shared" si="56"/>
        <v>#N/A</v>
      </c>
      <c r="BB105" s="181" t="e">
        <f>HLOOKUP($BB$3,VaR_Calculo_Historico!$C$2:$ET$103,B105+1,0)</f>
        <v>#N/A</v>
      </c>
      <c r="BC105" s="182" t="e">
        <f t="shared" si="57"/>
        <v>#N/A</v>
      </c>
      <c r="BD105" s="181" t="e">
        <f>HLOOKUP($BD$3,VaR_Calculo_Historico!$C$2:$ET$103,B105+1,0)</f>
        <v>#N/A</v>
      </c>
      <c r="BE105" s="182" t="e">
        <f t="shared" si="58"/>
        <v>#N/A</v>
      </c>
      <c r="BF105" s="181" t="e">
        <f>HLOOKUP($BF$3,VaR_Calculo_Historico!$C$2:$ET$103,B105+1,0)</f>
        <v>#N/A</v>
      </c>
      <c r="BG105" s="182" t="e">
        <f t="shared" si="59"/>
        <v>#N/A</v>
      </c>
      <c r="BH105" s="181" t="e">
        <f>HLOOKUP($BH$3,VaR_Calculo_Historico!$C$2:$ET$103,B105+1,0)</f>
        <v>#N/A</v>
      </c>
      <c r="BI105" s="223" t="e">
        <f t="shared" si="60"/>
        <v>#N/A</v>
      </c>
      <c r="BJ105" s="181" t="e">
        <f>HLOOKUP($BJ$3,VaR_Calculo_Historico!$C$2:$ET$103,B105+1,0)</f>
        <v>#N/A</v>
      </c>
      <c r="BK105" s="223" t="e">
        <f t="shared" si="61"/>
        <v>#N/A</v>
      </c>
      <c r="BL105" s="181" t="e">
        <f>HLOOKUP($BL$3,VaR_Calculo_Historico!$C$2:$ET$103,B105+1,0)</f>
        <v>#N/A</v>
      </c>
      <c r="BM105" s="223" t="e">
        <f t="shared" si="62"/>
        <v>#N/A</v>
      </c>
      <c r="BN105" s="181" t="e">
        <f>HLOOKUP($BN$3,VaR_Calculo_Historico!$C$2:$EY$103,B105+1,0)</f>
        <v>#N/A</v>
      </c>
      <c r="BO105" s="223" t="e">
        <f t="shared" si="63"/>
        <v>#N/A</v>
      </c>
    </row>
    <row r="106" spans="1:67" ht="15.75" thickBot="1" x14ac:dyDescent="0.35">
      <c r="BH106" s="223"/>
      <c r="BI106" s="223"/>
      <c r="BJ106" s="223"/>
      <c r="BK106" s="223"/>
      <c r="BL106" s="223"/>
      <c r="BM106" s="223"/>
      <c r="BN106" s="223"/>
      <c r="BO106" s="223"/>
    </row>
    <row r="107" spans="1:67" x14ac:dyDescent="0.3">
      <c r="A107" s="177" t="s">
        <v>937</v>
      </c>
      <c r="B107" s="179"/>
      <c r="C107" s="183" t="s">
        <v>941</v>
      </c>
      <c r="D107" s="167">
        <f>AVERAGE(E6:E105)</f>
        <v>8.4079475512718784E-4</v>
      </c>
      <c r="E107" s="183"/>
      <c r="F107" s="167">
        <f>AVERAGE(G6:G105)</f>
        <v>5.1911519035010125E-4</v>
      </c>
      <c r="G107" s="183"/>
      <c r="H107" s="167">
        <f>AVERAGE(I6:I105)</f>
        <v>6.0435042633640284E-4</v>
      </c>
      <c r="I107" s="183"/>
      <c r="J107" s="167">
        <f>AVERAGE(K6:K105)</f>
        <v>5.918907055994109E-4</v>
      </c>
      <c r="K107" s="183"/>
      <c r="L107" s="167">
        <f>AVERAGE(M6:M105)</f>
        <v>3.0737163145550694E-4</v>
      </c>
      <c r="M107" s="183"/>
      <c r="N107" s="167">
        <f>AVERAGE(O6:O105)</f>
        <v>5.2417566311829973E-4</v>
      </c>
      <c r="O107" s="183"/>
      <c r="P107" s="167">
        <f>AVERAGE(Q6:Q105)</f>
        <v>5.9421956996557853E-4</v>
      </c>
      <c r="Q107" s="183"/>
      <c r="R107" s="167">
        <f>AVERAGE(S6:S105)</f>
        <v>1.0686010414952428E-3</v>
      </c>
      <c r="S107" s="183"/>
      <c r="T107" s="167" t="e">
        <f>AVERAGE(U6:U105)</f>
        <v>#N/A</v>
      </c>
      <c r="U107" s="183"/>
      <c r="V107" s="167" t="e">
        <f>AVERAGE(W6:W105)</f>
        <v>#N/A</v>
      </c>
      <c r="W107" s="183"/>
      <c r="X107" s="167" t="e">
        <f>AVERAGE(Y6:Y105)</f>
        <v>#N/A</v>
      </c>
      <c r="Y107" s="183"/>
      <c r="Z107" s="167" t="e">
        <f>AVERAGE(AA6:AA105)</f>
        <v>#N/A</v>
      </c>
      <c r="AA107" s="183"/>
      <c r="AB107" s="167" t="e">
        <f>AVERAGE(AC6:AC105)</f>
        <v>#N/A</v>
      </c>
      <c r="AC107" s="183"/>
      <c r="AD107" s="167" t="e">
        <f>AVERAGE(AE6:AE105)</f>
        <v>#N/A</v>
      </c>
      <c r="AE107" s="183"/>
      <c r="AF107" s="167" t="e">
        <f>AVERAGE(AG6:AG105)</f>
        <v>#N/A</v>
      </c>
      <c r="AG107" s="183"/>
      <c r="AH107" s="167" t="e">
        <f>AVERAGE(AI6:AI105)</f>
        <v>#N/A</v>
      </c>
      <c r="AI107" s="183"/>
      <c r="AJ107" s="167" t="e">
        <f>AVERAGE(AK6:AK105)</f>
        <v>#N/A</v>
      </c>
      <c r="AK107" s="183"/>
      <c r="AL107" s="167" t="e">
        <f>AVERAGE(AM6:AM105)</f>
        <v>#N/A</v>
      </c>
      <c r="AM107" s="183"/>
      <c r="AN107" s="167" t="e">
        <f>AVERAGE(AO6:AO105)</f>
        <v>#N/A</v>
      </c>
      <c r="AO107" s="183"/>
      <c r="AP107" s="167" t="e">
        <f>AVERAGE(AQ6:AQ105)</f>
        <v>#N/A</v>
      </c>
      <c r="AQ107" s="183"/>
      <c r="AR107" s="167" t="e">
        <f>AVERAGE(AS6:AS105)</f>
        <v>#N/A</v>
      </c>
      <c r="AS107" s="183"/>
      <c r="AT107" s="167" t="e">
        <f>AVERAGE(AU6:AU105)</f>
        <v>#N/A</v>
      </c>
      <c r="AU107" s="183"/>
      <c r="AV107" s="167" t="e">
        <f>AVERAGE(AW6:AW105)</f>
        <v>#N/A</v>
      </c>
      <c r="AW107" s="183"/>
      <c r="AX107" s="167" t="e">
        <f>AVERAGE(AY6:AY105)</f>
        <v>#N/A</v>
      </c>
      <c r="AY107" s="183"/>
      <c r="AZ107" s="167" t="e">
        <f>AVERAGE(BA6:BA105)</f>
        <v>#N/A</v>
      </c>
      <c r="BA107" s="183"/>
      <c r="BB107" s="167" t="e">
        <f>AVERAGE(BC6:BC105)</f>
        <v>#N/A</v>
      </c>
      <c r="BC107" s="183"/>
      <c r="BD107" s="167" t="e">
        <f>AVERAGE(BE6:BE105)</f>
        <v>#N/A</v>
      </c>
      <c r="BE107" s="183"/>
      <c r="BF107" s="167" t="e">
        <f>AVERAGE(BG6:BG105)</f>
        <v>#N/A</v>
      </c>
      <c r="BH107" s="167" t="e">
        <f>AVERAGE(BI6:BI105)</f>
        <v>#N/A</v>
      </c>
      <c r="BI107" s="223"/>
      <c r="BJ107" s="167" t="e">
        <f>AVERAGE(BK6:BK105)</f>
        <v>#N/A</v>
      </c>
      <c r="BK107" s="223"/>
      <c r="BL107" s="167" t="e">
        <f>AVERAGE(BM6:BM105)</f>
        <v>#N/A</v>
      </c>
      <c r="BM107" s="223"/>
      <c r="BN107" s="167" t="e">
        <f>AVERAGE(BO6:BO105)</f>
        <v>#N/A</v>
      </c>
      <c r="BO107" s="223"/>
    </row>
    <row r="108" spans="1:67" x14ac:dyDescent="0.3">
      <c r="A108" s="176" t="s">
        <v>938</v>
      </c>
      <c r="B108" s="175">
        <v>1.645</v>
      </c>
      <c r="C108" s="182" t="s">
        <v>942</v>
      </c>
      <c r="D108" s="167">
        <f>STDEVP(E6:E105)</f>
        <v>2.3054329857050142E-3</v>
      </c>
      <c r="F108" s="167">
        <f>STDEVP(G6:G105)</f>
        <v>3.0964142054148572E-5</v>
      </c>
      <c r="H108" s="167">
        <f>STDEVP(I6:I105)</f>
        <v>7.7651159137085465E-4</v>
      </c>
      <c r="J108" s="167">
        <f>STDEVP(K6:K105)</f>
        <v>2.8450277765913539E-4</v>
      </c>
      <c r="L108" s="167">
        <f>STDEVP(M6:M105)</f>
        <v>2.8948642920087237E-3</v>
      </c>
      <c r="N108" s="167">
        <f>STDEVP(O6:O105)</f>
        <v>3.2736631341295886E-5</v>
      </c>
      <c r="P108" s="167">
        <f>STDEVP(Q6:Q105)</f>
        <v>2.8721893695985427E-4</v>
      </c>
      <c r="R108" s="167">
        <f>STDEVP(S6:S105)</f>
        <v>3.9834127267814445E-3</v>
      </c>
      <c r="T108" s="167" t="e">
        <f>STDEVP(U6:U105)</f>
        <v>#N/A</v>
      </c>
      <c r="V108" s="167" t="e">
        <f>STDEVP(W6:W105)</f>
        <v>#N/A</v>
      </c>
      <c r="X108" s="167" t="e">
        <f>STDEVP(Y6:Y105)</f>
        <v>#N/A</v>
      </c>
      <c r="Z108" s="167" t="e">
        <f>STDEVP(AA6:AA105)</f>
        <v>#N/A</v>
      </c>
      <c r="AB108" s="167" t="e">
        <f>STDEVP(AC6:AC105)</f>
        <v>#N/A</v>
      </c>
      <c r="AD108" s="167" t="e">
        <f>STDEVP(AE6:AE105)</f>
        <v>#N/A</v>
      </c>
      <c r="AF108" s="167" t="e">
        <f>STDEVP(AG6:AG105)</f>
        <v>#N/A</v>
      </c>
      <c r="AH108" s="167" t="e">
        <f>STDEVP(AI6:AI105)</f>
        <v>#N/A</v>
      </c>
      <c r="AJ108" s="167" t="e">
        <f>STDEVP(AK6:AK105)</f>
        <v>#N/A</v>
      </c>
      <c r="AL108" s="167" t="e">
        <f>STDEVP(AM6:AM105)</f>
        <v>#N/A</v>
      </c>
      <c r="AN108" s="167" t="e">
        <f>STDEVP(AO6:AO105)</f>
        <v>#N/A</v>
      </c>
      <c r="AP108" s="167" t="e">
        <f>STDEVP(AQ6:AQ105)</f>
        <v>#N/A</v>
      </c>
      <c r="AR108" s="167" t="e">
        <f>STDEVP(AS6:AS105)</f>
        <v>#N/A</v>
      </c>
      <c r="AT108" s="167" t="e">
        <f>STDEVP(AU6:AU105)</f>
        <v>#N/A</v>
      </c>
      <c r="AV108" s="167" t="e">
        <f>STDEVP(AW6:AW105)</f>
        <v>#N/A</v>
      </c>
      <c r="AX108" s="167" t="e">
        <f>STDEVP(AY6:AY105)</f>
        <v>#N/A</v>
      </c>
      <c r="AZ108" s="167" t="e">
        <f>STDEVP(BA6:BA105)</f>
        <v>#N/A</v>
      </c>
      <c r="BB108" s="167" t="e">
        <f>STDEVP(BC6:BC105)</f>
        <v>#N/A</v>
      </c>
      <c r="BD108" s="167" t="e">
        <f>STDEVP(BE6:BE105)</f>
        <v>#N/A</v>
      </c>
      <c r="BF108" s="167" t="e">
        <f>STDEVP(BG6:BG105)</f>
        <v>#N/A</v>
      </c>
      <c r="BH108" s="167" t="e">
        <f>STDEVP(BI6:BI105)</f>
        <v>#N/A</v>
      </c>
      <c r="BI108" s="223"/>
      <c r="BJ108" s="167" t="e">
        <f>STDEVP(BK6:BK105)</f>
        <v>#N/A</v>
      </c>
      <c r="BK108" s="223"/>
      <c r="BL108" s="167" t="e">
        <f>STDEVP(BM6:BM105)</f>
        <v>#N/A</v>
      </c>
      <c r="BM108" s="223"/>
      <c r="BN108" s="167" t="e">
        <f>STDEVP(BO6:BO105)</f>
        <v>#N/A</v>
      </c>
      <c r="BO108" s="223"/>
    </row>
    <row r="109" spans="1:67" x14ac:dyDescent="0.3">
      <c r="A109" s="174" t="s">
        <v>939</v>
      </c>
      <c r="B109" s="173">
        <f>SUM(D4,F4,H4,J4,L4,N4,P4,S4,U4,W4,Y4,AA4,AC4,AE4,AG4,AI4,AK4,AM4,AO4,AQ4,AS4,AU4,AW4,AY4,BA4,BC4,BE4,BG4,BI4,BK4,BM4,BO4)</f>
        <v>8167736.2599999998</v>
      </c>
      <c r="C109" s="182" t="s">
        <v>943</v>
      </c>
      <c r="D109" s="34">
        <f>D4</f>
        <v>0</v>
      </c>
      <c r="F109" s="201">
        <f>F4</f>
        <v>368033.64</v>
      </c>
      <c r="H109" s="201">
        <f>H4</f>
        <v>535928.17000000004</v>
      </c>
      <c r="J109" s="201">
        <f>J4</f>
        <v>3391984.3</v>
      </c>
      <c r="L109" s="201">
        <f>L4</f>
        <v>1086173</v>
      </c>
      <c r="N109" s="201">
        <f>N4</f>
        <v>635599.06999999995</v>
      </c>
      <c r="P109" s="201">
        <f>P4</f>
        <v>2150018.08</v>
      </c>
      <c r="R109" s="201">
        <f>S4</f>
        <v>0</v>
      </c>
      <c r="T109" s="201">
        <f>U4</f>
        <v>0</v>
      </c>
      <c r="V109" s="201">
        <f>W4</f>
        <v>0</v>
      </c>
      <c r="X109" s="201">
        <f>Y4</f>
        <v>0</v>
      </c>
      <c r="Z109" s="201">
        <f>AA4</f>
        <v>0</v>
      </c>
      <c r="AB109" s="201">
        <f>AC4</f>
        <v>0</v>
      </c>
      <c r="AD109" s="201">
        <f>AE4</f>
        <v>0</v>
      </c>
      <c r="AF109" s="201">
        <f>AG4</f>
        <v>0</v>
      </c>
      <c r="AH109" s="201">
        <f>AI4</f>
        <v>0</v>
      </c>
      <c r="AJ109" s="201">
        <f>AK4</f>
        <v>0</v>
      </c>
      <c r="AL109" s="201">
        <f>AM4</f>
        <v>0</v>
      </c>
      <c r="AN109" s="201">
        <f>AO4</f>
        <v>0</v>
      </c>
      <c r="AP109" s="201">
        <f>AQ4</f>
        <v>0</v>
      </c>
      <c r="AR109" s="201">
        <f>AS4</f>
        <v>0</v>
      </c>
      <c r="AT109" s="201">
        <f>AU4</f>
        <v>0</v>
      </c>
      <c r="AV109" s="201">
        <f>AW4</f>
        <v>0</v>
      </c>
      <c r="AX109" s="201">
        <f>AY4</f>
        <v>0</v>
      </c>
      <c r="AZ109" s="201">
        <f>BA4</f>
        <v>0</v>
      </c>
      <c r="BB109" s="201">
        <f>BC4</f>
        <v>0</v>
      </c>
      <c r="BD109" s="201">
        <f>BE4</f>
        <v>0</v>
      </c>
      <c r="BF109" s="201">
        <f>BG4</f>
        <v>0</v>
      </c>
      <c r="BH109" s="201">
        <f>BI4</f>
        <v>0</v>
      </c>
      <c r="BI109" s="223"/>
      <c r="BJ109" s="201">
        <f>BK4</f>
        <v>0</v>
      </c>
      <c r="BK109" s="223"/>
      <c r="BL109" s="201">
        <f>BM4</f>
        <v>0</v>
      </c>
      <c r="BM109" s="223"/>
      <c r="BN109" s="201">
        <f>BO4</f>
        <v>0</v>
      </c>
      <c r="BO109" s="223"/>
    </row>
    <row r="110" spans="1:67" ht="15.75" thickBot="1" x14ac:dyDescent="0.35">
      <c r="A110" s="172" t="s">
        <v>940</v>
      </c>
      <c r="B110" s="171">
        <f>21^(1/2)</f>
        <v>4.5825756949558398</v>
      </c>
      <c r="C110" s="183" t="s">
        <v>614</v>
      </c>
      <c r="D110" s="34">
        <f>D109*$B$108*D108</f>
        <v>0</v>
      </c>
      <c r="E110" s="183"/>
      <c r="F110" s="201">
        <f>F109*$B$108*F108</f>
        <v>18.746166521399545</v>
      </c>
      <c r="G110" s="183"/>
      <c r="H110" s="201">
        <f>H109*$B$108*H108</f>
        <v>684.57404746209465</v>
      </c>
      <c r="I110" s="183"/>
      <c r="J110" s="201">
        <f>J109*$B$108*J108</f>
        <v>1587.4726311825627</v>
      </c>
      <c r="K110" s="183"/>
      <c r="L110" s="201">
        <f>L109*$B$108*L108</f>
        <v>5172.4120466993654</v>
      </c>
      <c r="M110" s="183"/>
      <c r="N110" s="201">
        <f>N109*$B$108*N108</f>
        <v>34.228127656332546</v>
      </c>
      <c r="O110" s="183"/>
      <c r="P110" s="201">
        <f>P109*$B$108*P108</f>
        <v>1015.8301176435001</v>
      </c>
      <c r="Q110" s="183"/>
      <c r="R110" s="201">
        <f>R109*$B$108*R108</f>
        <v>0</v>
      </c>
      <c r="S110" s="183"/>
      <c r="T110" s="201" t="e">
        <f>T109*$B$108*T108</f>
        <v>#N/A</v>
      </c>
      <c r="U110" s="183"/>
      <c r="V110" s="201" t="e">
        <f>V109*$B$108*V108</f>
        <v>#N/A</v>
      </c>
      <c r="W110" s="183"/>
      <c r="X110" s="201" t="e">
        <f>X109*$B$108*X108</f>
        <v>#N/A</v>
      </c>
      <c r="Y110" s="183"/>
      <c r="Z110" s="201" t="e">
        <f>Z109*$B$108*Z108</f>
        <v>#N/A</v>
      </c>
      <c r="AA110" s="183"/>
      <c r="AB110" s="201" t="e">
        <f>AB109*$B$108*AB108</f>
        <v>#N/A</v>
      </c>
      <c r="AC110" s="183"/>
      <c r="AD110" s="201" t="e">
        <f>AD109*$B$108*AD108</f>
        <v>#N/A</v>
      </c>
      <c r="AE110" s="183"/>
      <c r="AF110" s="201" t="e">
        <f>AF109*$B$108*AF108</f>
        <v>#N/A</v>
      </c>
      <c r="AG110" s="183"/>
      <c r="AH110" s="201" t="e">
        <f>AH109*$B$108*AH108</f>
        <v>#N/A</v>
      </c>
      <c r="AI110" s="183"/>
      <c r="AJ110" s="201" t="e">
        <f>AJ109*$B$108*AJ108</f>
        <v>#N/A</v>
      </c>
      <c r="AK110" s="183"/>
      <c r="AL110" s="201" t="e">
        <f>AL109*$B$108*AL108</f>
        <v>#N/A</v>
      </c>
      <c r="AM110" s="183"/>
      <c r="AN110" s="201" t="e">
        <f>AN109*$B$108*AN108</f>
        <v>#N/A</v>
      </c>
      <c r="AO110" s="183"/>
      <c r="AP110" s="201" t="e">
        <f>AP109*$B$108*AP108</f>
        <v>#N/A</v>
      </c>
      <c r="AQ110" s="183"/>
      <c r="AR110" s="201" t="e">
        <f>AR109*$B$108*AR108</f>
        <v>#N/A</v>
      </c>
      <c r="AS110" s="183"/>
      <c r="AT110" s="201" t="e">
        <f>AT109*$B$108*AT108</f>
        <v>#N/A</v>
      </c>
      <c r="AU110" s="183"/>
      <c r="AV110" s="201" t="e">
        <f>AV109*$B$108*AV108</f>
        <v>#N/A</v>
      </c>
      <c r="AW110" s="183"/>
      <c r="AX110" s="201" t="e">
        <f>AX109*$B$108*AX108</f>
        <v>#N/A</v>
      </c>
      <c r="AY110" s="183"/>
      <c r="AZ110" s="201" t="e">
        <f>AZ109*$B$108*AZ108</f>
        <v>#N/A</v>
      </c>
      <c r="BA110" s="183"/>
      <c r="BB110" s="201" t="e">
        <f>BB109*$B$108*BB108</f>
        <v>#N/A</v>
      </c>
      <c r="BC110" s="183"/>
      <c r="BD110" s="201" t="e">
        <f>BD109*$B$108*BD108</f>
        <v>#N/A</v>
      </c>
      <c r="BE110" s="183"/>
      <c r="BF110" s="201" t="e">
        <f>BF109*$B$108*BF108</f>
        <v>#N/A</v>
      </c>
      <c r="BH110" s="201" t="e">
        <f>BH109*$B$108*BH108</f>
        <v>#N/A</v>
      </c>
      <c r="BI110" s="223"/>
      <c r="BJ110" s="201" t="e">
        <f>BJ109*$B$108*BJ108</f>
        <v>#N/A</v>
      </c>
      <c r="BK110" s="223"/>
      <c r="BL110" s="201" t="e">
        <f>BL109*$B$108*BL108</f>
        <v>#N/A</v>
      </c>
      <c r="BM110" s="223"/>
      <c r="BN110" s="201" t="e">
        <f>BN109*$B$108*BN108</f>
        <v>#N/A</v>
      </c>
      <c r="BO110" s="223"/>
    </row>
    <row r="111" spans="1:67" x14ac:dyDescent="0.3">
      <c r="A111"/>
      <c r="B111" s="166"/>
      <c r="C111" s="183" t="s">
        <v>615</v>
      </c>
      <c r="D111" s="167">
        <f>D110/$B$109</f>
        <v>0</v>
      </c>
      <c r="E111" s="183"/>
      <c r="F111" s="167">
        <f>F110/$B$109</f>
        <v>2.295148364817493E-6</v>
      </c>
      <c r="G111" s="183"/>
      <c r="H111" s="167">
        <f>H110/$B$109</f>
        <v>8.3814416341363926E-5</v>
      </c>
      <c r="I111" s="183"/>
      <c r="J111" s="167">
        <f>J110/$B$109</f>
        <v>1.9435894850779165E-4</v>
      </c>
      <c r="K111" s="183"/>
      <c r="L111" s="167">
        <f>L110/$B$109</f>
        <v>6.3327363691091632E-4</v>
      </c>
      <c r="M111" s="183"/>
      <c r="N111" s="167">
        <f>N110/$B$109</f>
        <v>4.1906504528015386E-6</v>
      </c>
      <c r="O111" s="183"/>
      <c r="P111" s="167">
        <f>P110/$B$109</f>
        <v>1.2437107238860576E-4</v>
      </c>
      <c r="Q111" s="183"/>
      <c r="R111" s="167">
        <f>R110/$B$109</f>
        <v>0</v>
      </c>
      <c r="S111" s="183"/>
      <c r="T111" s="167" t="e">
        <f>T110/$B$109</f>
        <v>#N/A</v>
      </c>
      <c r="U111" s="183"/>
      <c r="V111" s="167" t="e">
        <f>V110/$B$109</f>
        <v>#N/A</v>
      </c>
      <c r="W111" s="183"/>
      <c r="X111" s="167" t="e">
        <f>X110/$B$109</f>
        <v>#N/A</v>
      </c>
      <c r="Y111" s="183"/>
      <c r="Z111" s="167" t="e">
        <f>Z110/$B$109</f>
        <v>#N/A</v>
      </c>
      <c r="AA111" s="183"/>
      <c r="AB111" s="167" t="e">
        <f>AB110/$B$109</f>
        <v>#N/A</v>
      </c>
      <c r="AC111" s="183"/>
      <c r="AD111" s="167" t="e">
        <f>AD110/$B$109</f>
        <v>#N/A</v>
      </c>
      <c r="AE111" s="183"/>
      <c r="AF111" s="167" t="e">
        <f>AF110/$B$109</f>
        <v>#N/A</v>
      </c>
      <c r="AG111" s="183"/>
      <c r="AH111" s="167" t="e">
        <f>AH110/$B$109</f>
        <v>#N/A</v>
      </c>
      <c r="AI111" s="183"/>
      <c r="AJ111" s="167" t="e">
        <f>AJ110/$B$109</f>
        <v>#N/A</v>
      </c>
      <c r="AK111" s="183"/>
      <c r="AL111" s="167" t="e">
        <f>AL110/$B$109</f>
        <v>#N/A</v>
      </c>
      <c r="AM111" s="183"/>
      <c r="AN111" s="167" t="e">
        <f>AN110/$B$109</f>
        <v>#N/A</v>
      </c>
      <c r="AO111" s="183"/>
      <c r="AP111" s="167" t="e">
        <f>AP110/$B$109</f>
        <v>#N/A</v>
      </c>
      <c r="AQ111" s="183"/>
      <c r="AR111" s="167" t="e">
        <f>AR110/$B$109</f>
        <v>#N/A</v>
      </c>
      <c r="AS111" s="183"/>
      <c r="AT111" s="167" t="e">
        <f>AT110/$B$109</f>
        <v>#N/A</v>
      </c>
      <c r="AU111" s="183"/>
      <c r="AV111" s="167" t="e">
        <f>AV110/$B$109</f>
        <v>#N/A</v>
      </c>
      <c r="AW111" s="183"/>
      <c r="AX111" s="167" t="e">
        <f>AX110/$B$109</f>
        <v>#N/A</v>
      </c>
      <c r="AY111" s="183"/>
      <c r="AZ111" s="167" t="e">
        <f>AZ110/$B$109</f>
        <v>#N/A</v>
      </c>
      <c r="BA111" s="183"/>
      <c r="BB111" s="167" t="e">
        <f>BB110/$B$109</f>
        <v>#N/A</v>
      </c>
      <c r="BC111" s="183"/>
      <c r="BD111" s="167" t="e">
        <f>BD110/$B$109</f>
        <v>#N/A</v>
      </c>
      <c r="BE111" s="183"/>
      <c r="BF111" s="167" t="e">
        <f>BF110/$B$109</f>
        <v>#N/A</v>
      </c>
      <c r="BH111" s="167" t="e">
        <f>BH110/$B$109</f>
        <v>#N/A</v>
      </c>
      <c r="BI111" s="223"/>
      <c r="BJ111" s="167" t="e">
        <f>BJ110/$B$109</f>
        <v>#N/A</v>
      </c>
      <c r="BK111" s="223"/>
      <c r="BL111" s="167" t="e">
        <f>BL110/$B$109</f>
        <v>#N/A</v>
      </c>
      <c r="BM111" s="223"/>
      <c r="BN111" s="167" t="e">
        <f>BN110/$B$109</f>
        <v>#N/A</v>
      </c>
      <c r="BO111" s="223"/>
    </row>
    <row r="112" spans="1:67" x14ac:dyDescent="0.3">
      <c r="A112"/>
      <c r="B112" s="166"/>
      <c r="C112" s="183" t="s">
        <v>616</v>
      </c>
      <c r="D112" s="34">
        <f>D109*$B$108*D108*$B$110</f>
        <v>0</v>
      </c>
      <c r="E112" s="183"/>
      <c r="F112" s="201">
        <f>F109*$B$108*F108*$B$110</f>
        <v>85.905727074560417</v>
      </c>
      <c r="G112" s="183"/>
      <c r="H112" s="201">
        <f>H109*$B$108*H108*$B$110</f>
        <v>3137.1123912973403</v>
      </c>
      <c r="I112" s="183"/>
      <c r="J112" s="201">
        <f>J109*$B$108*J108*$B$110</f>
        <v>7274.7134960648082</v>
      </c>
      <c r="K112" s="183"/>
      <c r="L112" s="201">
        <f>L109*$B$108*L108*$B$110</f>
        <v>23702.969729501303</v>
      </c>
      <c r="M112" s="183"/>
      <c r="N112" s="201">
        <f>N109*$B$108*N108*$B$110</f>
        <v>156.85298588175533</v>
      </c>
      <c r="O112" s="183"/>
      <c r="P112" s="201">
        <f>P109*$B$108*P108*$B$110</f>
        <v>4655.1184073172353</v>
      </c>
      <c r="Q112" s="183"/>
      <c r="R112" s="201">
        <f>R109*$B$108*R108*$B$110</f>
        <v>0</v>
      </c>
      <c r="S112" s="183"/>
      <c r="T112" s="201" t="e">
        <f>T109*$B$108*T108*$B$110</f>
        <v>#N/A</v>
      </c>
      <c r="U112" s="183"/>
      <c r="V112" s="201" t="e">
        <f>V109*$B$108*V108*$B$110</f>
        <v>#N/A</v>
      </c>
      <c r="W112" s="183"/>
      <c r="X112" s="201" t="e">
        <f>X109*$B$108*X108*$B$110</f>
        <v>#N/A</v>
      </c>
      <c r="Y112" s="183"/>
      <c r="Z112" s="201" t="e">
        <f>Z109*$B$108*Z108*$B$110</f>
        <v>#N/A</v>
      </c>
      <c r="AA112" s="183"/>
      <c r="AB112" s="201" t="e">
        <f>AB109*$B$108*AB108*$B$110</f>
        <v>#N/A</v>
      </c>
      <c r="AC112" s="183"/>
      <c r="AD112" s="201" t="e">
        <f>AD109*$B$108*AD108*$B$110</f>
        <v>#N/A</v>
      </c>
      <c r="AE112" s="183"/>
      <c r="AF112" s="201" t="e">
        <f>AF109*$B$108*AF108*$B$110</f>
        <v>#N/A</v>
      </c>
      <c r="AG112" s="183"/>
      <c r="AH112" s="201" t="e">
        <f>AH109*$B$108*AH108*$B$110</f>
        <v>#N/A</v>
      </c>
      <c r="AI112" s="183"/>
      <c r="AJ112" s="201" t="e">
        <f>AJ109*$B$108*AJ108*$B$110</f>
        <v>#N/A</v>
      </c>
      <c r="AK112" s="183"/>
      <c r="AL112" s="201" t="e">
        <f>AL109*$B$108*AL108*$B$110</f>
        <v>#N/A</v>
      </c>
      <c r="AM112" s="183"/>
      <c r="AN112" s="201" t="e">
        <f>AN109*$B$108*AN108*$B$110</f>
        <v>#N/A</v>
      </c>
      <c r="AO112" s="183"/>
      <c r="AP112" s="201" t="e">
        <f>AP109*$B$108*AP108*$B$110</f>
        <v>#N/A</v>
      </c>
      <c r="AQ112" s="183"/>
      <c r="AR112" s="201" t="e">
        <f>AR109*$B$108*AR108*$B$110</f>
        <v>#N/A</v>
      </c>
      <c r="AS112" s="183"/>
      <c r="AT112" s="201" t="e">
        <f>AT109*$B$108*AT108*$B$110</f>
        <v>#N/A</v>
      </c>
      <c r="AU112" s="183"/>
      <c r="AV112" s="201" t="e">
        <f>AV109*$B$108*AV108*$B$110</f>
        <v>#N/A</v>
      </c>
      <c r="AW112" s="183"/>
      <c r="AX112" s="201" t="e">
        <f>AX109*$B$108*AX108*$B$110</f>
        <v>#N/A</v>
      </c>
      <c r="AY112" s="183"/>
      <c r="AZ112" s="201" t="e">
        <f>AZ109*$B$108*AZ108*$B$110</f>
        <v>#N/A</v>
      </c>
      <c r="BA112" s="183"/>
      <c r="BB112" s="201" t="e">
        <f>BB109*$B$108*BB108*$B$110</f>
        <v>#N/A</v>
      </c>
      <c r="BC112" s="183"/>
      <c r="BD112" s="201" t="e">
        <f>BD109*$B$108*BD108*$B$110</f>
        <v>#N/A</v>
      </c>
      <c r="BE112" s="183"/>
      <c r="BF112" s="201" t="e">
        <f>BF109*$B$108*BF108*$B$110</f>
        <v>#N/A</v>
      </c>
      <c r="BH112" s="201" t="e">
        <f>BH109*$B$108*BH108*$B$110</f>
        <v>#N/A</v>
      </c>
      <c r="BI112" s="223"/>
      <c r="BJ112" s="201" t="e">
        <f>BJ109*$B$108*BJ108*$B$110</f>
        <v>#N/A</v>
      </c>
      <c r="BK112" s="223"/>
      <c r="BL112" s="201" t="e">
        <f>BL109*$B$108*BL108*$B$110</f>
        <v>#N/A</v>
      </c>
      <c r="BM112" s="223"/>
      <c r="BN112" s="201" t="e">
        <f>BN109*$B$108*BN108*$B$110</f>
        <v>#N/A</v>
      </c>
      <c r="BO112" s="223"/>
    </row>
    <row r="113" spans="1:67" x14ac:dyDescent="0.3">
      <c r="A113"/>
      <c r="B113" s="166"/>
      <c r="C113" s="183" t="s">
        <v>617</v>
      </c>
      <c r="D113" s="167">
        <f>D112/$B$109</f>
        <v>0</v>
      </c>
      <c r="E113" s="183"/>
      <c r="F113" s="167">
        <f>F112/$B$109</f>
        <v>1.0517691112930283E-5</v>
      </c>
      <c r="G113" s="183"/>
      <c r="H113" s="167">
        <f>H112/$B$109</f>
        <v>3.8408590721284385E-4</v>
      </c>
      <c r="I113" s="183"/>
      <c r="J113" s="167">
        <f>J112/$B$109</f>
        <v>8.9066459352897965E-4</v>
      </c>
      <c r="K113" s="183"/>
      <c r="L113" s="167">
        <f>L112/$B$109</f>
        <v>2.9020243767642548E-3</v>
      </c>
      <c r="M113" s="183"/>
      <c r="N113" s="167">
        <f>N112/$B$109</f>
        <v>1.9203972911064018E-5</v>
      </c>
      <c r="O113" s="183"/>
      <c r="P113" s="167">
        <f>P112/$B$109</f>
        <v>5.6993985348361819E-4</v>
      </c>
      <c r="Q113" s="183"/>
      <c r="R113" s="167">
        <f>R112/$B$109</f>
        <v>0</v>
      </c>
      <c r="S113" s="183"/>
      <c r="T113" s="167" t="e">
        <f>T112/$B$109</f>
        <v>#N/A</v>
      </c>
      <c r="U113" s="183"/>
      <c r="V113" s="167" t="e">
        <f>V112/$B$109</f>
        <v>#N/A</v>
      </c>
      <c r="W113" s="183"/>
      <c r="X113" s="167" t="e">
        <f>X112/$B$109</f>
        <v>#N/A</v>
      </c>
      <c r="Y113" s="183"/>
      <c r="Z113" s="167" t="e">
        <f>Z112/$B$109</f>
        <v>#N/A</v>
      </c>
      <c r="AA113" s="183"/>
      <c r="AB113" s="167" t="e">
        <f>AB112/$B$109</f>
        <v>#N/A</v>
      </c>
      <c r="AC113" s="183"/>
      <c r="AD113" s="167" t="e">
        <f>AD112/$B$109</f>
        <v>#N/A</v>
      </c>
      <c r="AE113" s="183"/>
      <c r="AF113" s="167" t="e">
        <f>AF112/$B$109</f>
        <v>#N/A</v>
      </c>
      <c r="AG113" s="183"/>
      <c r="AH113" s="167" t="e">
        <f>AH112/$B$109</f>
        <v>#N/A</v>
      </c>
      <c r="AI113" s="183"/>
      <c r="AJ113" s="167" t="e">
        <f>AJ112/$B$109</f>
        <v>#N/A</v>
      </c>
      <c r="AK113" s="183"/>
      <c r="AL113" s="167" t="e">
        <f>AL112/$B$109</f>
        <v>#N/A</v>
      </c>
      <c r="AM113" s="183"/>
      <c r="AN113" s="167" t="e">
        <f>AN112/$B$109</f>
        <v>#N/A</v>
      </c>
      <c r="AO113" s="183"/>
      <c r="AP113" s="167" t="e">
        <f>AP112/$B$109</f>
        <v>#N/A</v>
      </c>
      <c r="AQ113" s="183"/>
      <c r="AR113" s="167" t="e">
        <f>AR112/$B$109</f>
        <v>#N/A</v>
      </c>
      <c r="AS113" s="183"/>
      <c r="AT113" s="167" t="e">
        <f>AT112/$B$109</f>
        <v>#N/A</v>
      </c>
      <c r="AU113" s="183"/>
      <c r="AV113" s="167" t="e">
        <f>AV112/$B$109</f>
        <v>#N/A</v>
      </c>
      <c r="AW113" s="183"/>
      <c r="AX113" s="167" t="e">
        <f>AX112/$B$109</f>
        <v>#N/A</v>
      </c>
      <c r="AY113" s="183"/>
      <c r="AZ113" s="167" t="e">
        <f>AZ112/$B$109</f>
        <v>#N/A</v>
      </c>
      <c r="BA113" s="183"/>
      <c r="BB113" s="167" t="e">
        <f>BB112/$B$109</f>
        <v>#N/A</v>
      </c>
      <c r="BC113" s="183"/>
      <c r="BD113" s="167" t="e">
        <f>BD112/$B$109</f>
        <v>#N/A</v>
      </c>
      <c r="BE113" s="183"/>
      <c r="BF113" s="167" t="e">
        <f>BF112/$B$109</f>
        <v>#N/A</v>
      </c>
      <c r="BH113" s="167" t="e">
        <f>BH112/$B$109</f>
        <v>#N/A</v>
      </c>
      <c r="BI113" s="223"/>
      <c r="BJ113" s="167" t="e">
        <f>BJ112/$B$109</f>
        <v>#N/A</v>
      </c>
      <c r="BK113" s="223"/>
      <c r="BL113" s="167" t="e">
        <f>BL112/$B$109</f>
        <v>#N/A</v>
      </c>
      <c r="BM113" s="223"/>
      <c r="BN113" s="167" t="e">
        <f>BN112/$B$109</f>
        <v>#N/A</v>
      </c>
      <c r="BO113" s="223"/>
    </row>
    <row r="114" spans="1:67" s="223" customFormat="1" x14ac:dyDescent="0.3">
      <c r="C114" s="183" t="s">
        <v>1111</v>
      </c>
      <c r="D114" s="201">
        <f>(D110*(252^(1/2)))</f>
        <v>0</v>
      </c>
      <c r="E114" s="183"/>
      <c r="F114" s="201">
        <f>(F110*(252^(1/2)))</f>
        <v>297.58616790856792</v>
      </c>
      <c r="G114" s="183"/>
      <c r="H114" s="201">
        <f>(H110*(252^(1/2)))</f>
        <v>10867.276101561782</v>
      </c>
      <c r="I114" s="183"/>
      <c r="J114" s="201">
        <f>(J110*(252^(1/2)))</f>
        <v>25200.346771382527</v>
      </c>
      <c r="K114" s="183"/>
      <c r="L114" s="201">
        <f>(L110*(252^(1/2)))</f>
        <v>82109.495723526779</v>
      </c>
      <c r="M114" s="183"/>
      <c r="N114" s="201">
        <f>(N110*(252^(1/2)))</f>
        <v>543.35468173216805</v>
      </c>
      <c r="O114" s="183"/>
      <c r="P114" s="201">
        <f>(P110*(252^(1/2)))</f>
        <v>16125.803193445126</v>
      </c>
      <c r="Q114" s="183"/>
      <c r="R114" s="201">
        <f>(R110*(252^(1/2)))</f>
        <v>0</v>
      </c>
      <c r="S114" s="183"/>
      <c r="T114" s="201" t="e">
        <f>(T110*(252^(1/2)))</f>
        <v>#N/A</v>
      </c>
      <c r="U114" s="183"/>
      <c r="V114" s="201" t="e">
        <f>(V110*(252^(1/2)))</f>
        <v>#N/A</v>
      </c>
      <c r="W114" s="183"/>
      <c r="X114" s="201" t="e">
        <f>(X110*(252^(1/2)))</f>
        <v>#N/A</v>
      </c>
      <c r="Y114" s="183"/>
      <c r="Z114" s="201" t="e">
        <f>(Z110*(252^(1/2)))</f>
        <v>#N/A</v>
      </c>
      <c r="AA114" s="183"/>
      <c r="AB114" s="201" t="e">
        <f>(AB110*(252^(1/2)))</f>
        <v>#N/A</v>
      </c>
      <c r="AC114" s="183"/>
      <c r="AD114" s="201" t="e">
        <f>(AD110*(252^(1/2)))</f>
        <v>#N/A</v>
      </c>
      <c r="AE114" s="183"/>
      <c r="AF114" s="201" t="e">
        <f>(AF110*(252^(1/2)))</f>
        <v>#N/A</v>
      </c>
      <c r="AG114" s="183"/>
      <c r="AH114" s="201" t="e">
        <f>(AH110*(252^(1/2)))</f>
        <v>#N/A</v>
      </c>
      <c r="AI114" s="183"/>
      <c r="AJ114" s="201" t="e">
        <f>(AJ110*(252^(1/2)))</f>
        <v>#N/A</v>
      </c>
      <c r="AK114" s="183"/>
      <c r="AL114" s="201" t="e">
        <f>(AL110*(252^(1/2)))</f>
        <v>#N/A</v>
      </c>
      <c r="AM114" s="183"/>
      <c r="AN114" s="201" t="e">
        <f>(AN110*(252^(1/2)))</f>
        <v>#N/A</v>
      </c>
      <c r="AO114" s="183"/>
      <c r="AP114" s="201" t="e">
        <f>(AP110*(252^(1/2)))</f>
        <v>#N/A</v>
      </c>
      <c r="AQ114" s="183"/>
      <c r="AR114" s="201" t="e">
        <f>(AR110*(252^(1/2)))</f>
        <v>#N/A</v>
      </c>
      <c r="AS114" s="183"/>
      <c r="AT114" s="201" t="e">
        <f>(AT110*(252^(1/2)))</f>
        <v>#N/A</v>
      </c>
      <c r="AU114" s="183"/>
      <c r="AV114" s="201" t="e">
        <f>(AV110*(252^(1/2)))</f>
        <v>#N/A</v>
      </c>
      <c r="AW114" s="183"/>
      <c r="AX114" s="201" t="e">
        <f>(AX110*(252^(1/2)))</f>
        <v>#N/A</v>
      </c>
      <c r="AY114" s="183"/>
      <c r="AZ114" s="201" t="e">
        <f>(AZ110*(252^(1/2)))</f>
        <v>#N/A</v>
      </c>
      <c r="BA114" s="183"/>
      <c r="BB114" s="201" t="e">
        <f>(BB110*(252^(1/2)))</f>
        <v>#N/A</v>
      </c>
      <c r="BC114" s="183"/>
      <c r="BD114" s="201" t="e">
        <f>(BD110*(252^(1/2)))</f>
        <v>#N/A</v>
      </c>
      <c r="BE114" s="183"/>
      <c r="BF114" s="201" t="e">
        <f>(BF110*(252^(1/2)))</f>
        <v>#N/A</v>
      </c>
      <c r="BH114" s="201" t="e">
        <f>(BH110*(252^(1/2)))</f>
        <v>#N/A</v>
      </c>
      <c r="BJ114" s="201" t="e">
        <f>(BJ110*(252^(1/2)))</f>
        <v>#N/A</v>
      </c>
      <c r="BL114" s="201" t="e">
        <f>(BL110*(252^(1/2)))</f>
        <v>#N/A</v>
      </c>
      <c r="BN114" s="201" t="e">
        <f>(BN110*(252^(1/2)))</f>
        <v>#N/A</v>
      </c>
    </row>
    <row r="115" spans="1:67" s="223" customFormat="1" x14ac:dyDescent="0.3">
      <c r="C115" s="183" t="s">
        <v>1110</v>
      </c>
      <c r="D115" s="167">
        <f>D114/$B$109</f>
        <v>0</v>
      </c>
      <c r="E115" s="183"/>
      <c r="F115" s="167">
        <f>F114/$B$109</f>
        <v>3.6434350771821803E-5</v>
      </c>
      <c r="G115" s="183"/>
      <c r="H115" s="167">
        <f>H114/$B$109</f>
        <v>1.3305126115276623E-3</v>
      </c>
      <c r="I115" s="183"/>
      <c r="J115" s="167">
        <f>J114/$B$109</f>
        <v>3.0853526569897503E-3</v>
      </c>
      <c r="K115" s="183"/>
      <c r="L115" s="167">
        <f>L114/$B$109</f>
        <v>1.005290733071819E-2</v>
      </c>
      <c r="M115" s="183"/>
      <c r="N115" s="167">
        <f>N114/$B$109</f>
        <v>6.6524513578278553E-5</v>
      </c>
      <c r="O115" s="183"/>
      <c r="P115" s="167">
        <f>P114/$B$109</f>
        <v>1.9743295669839771E-3</v>
      </c>
      <c r="Q115" s="183"/>
      <c r="R115" s="167">
        <f>R114/$B$109</f>
        <v>0</v>
      </c>
      <c r="S115" s="183"/>
      <c r="T115" s="167" t="e">
        <f>T114/$B$109</f>
        <v>#N/A</v>
      </c>
      <c r="U115" s="183"/>
      <c r="V115" s="167" t="e">
        <f>V114/$B$109</f>
        <v>#N/A</v>
      </c>
      <c r="W115" s="183"/>
      <c r="X115" s="167" t="e">
        <f>X114/$B$109</f>
        <v>#N/A</v>
      </c>
      <c r="Y115" s="183"/>
      <c r="Z115" s="167" t="e">
        <f>Z114/$B$109</f>
        <v>#N/A</v>
      </c>
      <c r="AA115" s="183"/>
      <c r="AB115" s="167" t="e">
        <f>AB114/$B$109</f>
        <v>#N/A</v>
      </c>
      <c r="AC115" s="183"/>
      <c r="AD115" s="167" t="e">
        <f>AD114/$B$109</f>
        <v>#N/A</v>
      </c>
      <c r="AE115" s="183"/>
      <c r="AF115" s="167" t="e">
        <f>AF114/$B$109</f>
        <v>#N/A</v>
      </c>
      <c r="AG115" s="183"/>
      <c r="AH115" s="167" t="e">
        <f>AH114/$B$109</f>
        <v>#N/A</v>
      </c>
      <c r="AI115" s="183"/>
      <c r="AJ115" s="167" t="e">
        <f>AJ114/$B$109</f>
        <v>#N/A</v>
      </c>
      <c r="AK115" s="183"/>
      <c r="AL115" s="167" t="e">
        <f>AL114/$B$109</f>
        <v>#N/A</v>
      </c>
      <c r="AM115" s="183"/>
      <c r="AN115" s="167" t="e">
        <f>AN114/$B$109</f>
        <v>#N/A</v>
      </c>
      <c r="AO115" s="183"/>
      <c r="AP115" s="167" t="e">
        <f>AP114/$B$109</f>
        <v>#N/A</v>
      </c>
      <c r="AQ115" s="183"/>
      <c r="AR115" s="167" t="e">
        <f>AR114/$B$109</f>
        <v>#N/A</v>
      </c>
      <c r="AS115" s="183"/>
      <c r="AT115" s="167" t="e">
        <f>AT114/$B$109</f>
        <v>#N/A</v>
      </c>
      <c r="AU115" s="183"/>
      <c r="AV115" s="167" t="e">
        <f>AV114/$B$109</f>
        <v>#N/A</v>
      </c>
      <c r="AW115" s="183"/>
      <c r="AX115" s="167" t="e">
        <f>AX114/$B$109</f>
        <v>#N/A</v>
      </c>
      <c r="AY115" s="183"/>
      <c r="AZ115" s="167" t="e">
        <f>AZ114/$B$109</f>
        <v>#N/A</v>
      </c>
      <c r="BA115" s="183"/>
      <c r="BB115" s="167" t="e">
        <f>BB114/$B$109</f>
        <v>#N/A</v>
      </c>
      <c r="BC115" s="183"/>
      <c r="BD115" s="167" t="e">
        <f>BD114/$B$109</f>
        <v>#N/A</v>
      </c>
      <c r="BE115" s="183"/>
      <c r="BF115" s="167" t="e">
        <f>BF114/$B$109</f>
        <v>#N/A</v>
      </c>
      <c r="BH115" s="167" t="e">
        <f>BH114/$B$109</f>
        <v>#N/A</v>
      </c>
      <c r="BJ115" s="167" t="e">
        <f>BJ114/$B$109</f>
        <v>#N/A</v>
      </c>
      <c r="BL115" s="167" t="e">
        <f>BL114/$B$109</f>
        <v>#N/A</v>
      </c>
      <c r="BN115" s="167" t="e">
        <f>BN114/$B$109</f>
        <v>#N/A</v>
      </c>
    </row>
    <row r="116" spans="1:67" ht="15.75" thickBot="1" x14ac:dyDescent="0.35"/>
    <row r="117" spans="1:67" ht="17.25" thickBot="1" x14ac:dyDescent="0.35">
      <c r="B117" s="186"/>
      <c r="C117" s="187" t="s">
        <v>944</v>
      </c>
      <c r="D117" s="187" t="s">
        <v>945</v>
      </c>
      <c r="E117" s="187" t="s">
        <v>946</v>
      </c>
      <c r="F117" s="187" t="s">
        <v>947</v>
      </c>
      <c r="G117" s="187" t="s">
        <v>948</v>
      </c>
      <c r="H117" s="187" t="s">
        <v>949</v>
      </c>
      <c r="I117" s="187" t="s">
        <v>950</v>
      </c>
      <c r="J117" s="187" t="s">
        <v>951</v>
      </c>
      <c r="K117" s="187" t="s">
        <v>952</v>
      </c>
      <c r="L117" s="187" t="s">
        <v>953</v>
      </c>
      <c r="M117" s="187" t="s">
        <v>954</v>
      </c>
      <c r="N117" s="187" t="s">
        <v>955</v>
      </c>
      <c r="O117" s="187" t="s">
        <v>956</v>
      </c>
      <c r="P117" s="187" t="s">
        <v>957</v>
      </c>
      <c r="Q117" s="187" t="s">
        <v>958</v>
      </c>
      <c r="R117" s="187" t="s">
        <v>959</v>
      </c>
      <c r="S117" s="187" t="s">
        <v>960</v>
      </c>
      <c r="T117" s="187" t="s">
        <v>961</v>
      </c>
      <c r="U117" s="187" t="s">
        <v>962</v>
      </c>
      <c r="V117" s="187" t="s">
        <v>963</v>
      </c>
      <c r="W117" s="187" t="s">
        <v>964</v>
      </c>
      <c r="X117" s="187" t="s">
        <v>965</v>
      </c>
      <c r="Y117" s="187" t="s">
        <v>966</v>
      </c>
      <c r="Z117" s="187" t="s">
        <v>967</v>
      </c>
      <c r="AA117" s="191" t="s">
        <v>968</v>
      </c>
      <c r="AB117" s="187" t="s">
        <v>969</v>
      </c>
      <c r="AC117" s="192" t="s">
        <v>970</v>
      </c>
      <c r="AD117" s="187" t="s">
        <v>971</v>
      </c>
      <c r="AE117" s="187" t="s">
        <v>1059</v>
      </c>
      <c r="AF117" s="187" t="s">
        <v>1060</v>
      </c>
      <c r="AG117" s="187" t="s">
        <v>1061</v>
      </c>
      <c r="AH117" s="232" t="s">
        <v>1062</v>
      </c>
      <c r="AI117"/>
      <c r="AJ117" s="182"/>
      <c r="AK117"/>
      <c r="AL117" s="182"/>
      <c r="AM117"/>
      <c r="AN117" s="182"/>
      <c r="AO117"/>
      <c r="AP117" s="182"/>
      <c r="AQ117"/>
      <c r="AR117" s="182"/>
      <c r="AS117"/>
      <c r="AT117" s="182"/>
      <c r="AU117"/>
      <c r="AV117" s="182"/>
      <c r="AW117"/>
      <c r="AX117" s="182"/>
      <c r="AY117"/>
      <c r="AZ117" s="182"/>
      <c r="BA117"/>
      <c r="BB117" s="182"/>
      <c r="BC117"/>
      <c r="BD117" s="182"/>
      <c r="BE117"/>
    </row>
    <row r="118" spans="1:67" ht="17.25" thickBot="1" x14ac:dyDescent="0.35">
      <c r="B118" s="187" t="s">
        <v>944</v>
      </c>
      <c r="C118" s="185">
        <f>IFERROR(CORREL($E$6:$E$105,E6:E105),0)</f>
        <v>1</v>
      </c>
      <c r="D118" s="56">
        <f>IFERROR(CORREL($G$6:$G$105,E6:E105),0)</f>
        <v>0.19599042257674965</v>
      </c>
      <c r="E118" s="56">
        <f>IFERROR(CORREL($I$6:$I$105,E6:E105),0)</f>
        <v>0.40770160165416497</v>
      </c>
      <c r="F118" s="56">
        <f>IFERROR(CORREL($K$6:$K$105,E6:E105),0)</f>
        <v>0.54699177144727418</v>
      </c>
      <c r="G118" s="56">
        <f>IFERROR(CORREL($M$6:$M$105,E6:E105),0)</f>
        <v>-4.4741149180253841E-2</v>
      </c>
      <c r="H118" s="56">
        <f>IFERROR(CORREL($O$6:$O$105,E6:E105),0)</f>
        <v>-4.7425403022917756E-2</v>
      </c>
      <c r="I118" s="56">
        <f>IFERROR(CORREL($Q$6:$Q$105,E6:E105),0)</f>
        <v>0.54933914213609059</v>
      </c>
      <c r="J118" s="56">
        <f>IFERROR(CORREL($S$6:$S$105,E6:E105),0)</f>
        <v>0.99642365906758046</v>
      </c>
      <c r="K118" s="56">
        <f>IFERROR(CORREL($U$6:$U$105,E6:E105),0)</f>
        <v>0</v>
      </c>
      <c r="L118" s="56">
        <f>IFERROR(CORREL($W$6:$W$105,E6:E105),0)</f>
        <v>0</v>
      </c>
      <c r="M118" s="56">
        <f>IFERROR(CORREL($Y$6:$Y$105,E6:E105),0)</f>
        <v>0</v>
      </c>
      <c r="N118" s="56">
        <f>IFERROR(CORREL($AA$6:$AA$105,E6:E105),0)</f>
        <v>0</v>
      </c>
      <c r="O118" s="56">
        <f>IFERROR(CORREL($AC$6:$AC$105,E6:E105),0)</f>
        <v>0</v>
      </c>
      <c r="P118" s="56">
        <f>IFERROR(CORREL($AE$6:$AE$105,E6:E105),0)</f>
        <v>0</v>
      </c>
      <c r="Q118" s="56">
        <f>IFERROR(CORREL($AG$6:$AG$105,E6:E105),0)</f>
        <v>0</v>
      </c>
      <c r="R118" s="56">
        <f>IFERROR(CORREL($AI$6:$AI$105,E6:E105),0)</f>
        <v>0</v>
      </c>
      <c r="S118" s="56">
        <f>IFERROR(CORREL($AK$6:$AK$105,E6:E105),0)</f>
        <v>0</v>
      </c>
      <c r="T118" s="56">
        <f>IFERROR(CORREL($AM$6:$AM$105,E6:E105),0)</f>
        <v>0</v>
      </c>
      <c r="U118" s="56">
        <f>IFERROR(CORREL($AO$6:$AO$105,E6:E105),0)</f>
        <v>0</v>
      </c>
      <c r="V118" s="56">
        <f>IFERROR(CORREL($AQ$6:$AQ$105,E6:E105),0)</f>
        <v>0</v>
      </c>
      <c r="W118" s="56">
        <f>IFERROR(CORREL(AS6:AS105,E6:E105),0)</f>
        <v>0</v>
      </c>
      <c r="X118" s="56">
        <f>IFERROR(CORREL(AU6:AU105,E6:E105),0)</f>
        <v>0</v>
      </c>
      <c r="Y118" s="56">
        <f>IFERROR(CORREL(AW6:AW105,E6:E105),0)</f>
        <v>0</v>
      </c>
      <c r="Z118" s="56">
        <f>IFERROR(CORREL(AY6:AY105,E6:E105),0)</f>
        <v>0</v>
      </c>
      <c r="AA118" s="56">
        <f>IFERROR(CORREL(BA6:BA105,E6:E105),0)</f>
        <v>0</v>
      </c>
      <c r="AB118" s="56">
        <f>IFERROR(CORREL(BC6:BC105,E6:E105),0)</f>
        <v>0</v>
      </c>
      <c r="AC118" s="56">
        <f>IFERROR(CORREL(BE6:BE105,E6:E105),0)</f>
        <v>0</v>
      </c>
      <c r="AD118" s="56">
        <f>IFERROR(CORREL(BG6:BG105,E6:E105),0)</f>
        <v>0</v>
      </c>
      <c r="AE118" s="229">
        <f>IFERROR(CORREL(BI6:BI105,E6:E105),0)</f>
        <v>0</v>
      </c>
      <c r="AF118" s="229">
        <f>IFERROR(CORREL($BK$6:$BK$105,$E$6:$E$105),0)</f>
        <v>0</v>
      </c>
      <c r="AG118" s="229">
        <f>IFERROR(CORREL($BM$6:$BM$105,$E$6:$E$105),0)</f>
        <v>0</v>
      </c>
      <c r="AH118" s="229">
        <f>IFERROR(CORREL($BO$6:$BO$105,$E$6:$E$105),0)</f>
        <v>0</v>
      </c>
      <c r="AI118"/>
      <c r="AJ118" s="182"/>
      <c r="AK118"/>
      <c r="AL118" s="182"/>
      <c r="AM118"/>
      <c r="AO118"/>
      <c r="AQ118"/>
      <c r="AS118"/>
      <c r="AU118"/>
      <c r="AW118"/>
      <c r="AY118"/>
      <c r="BA118"/>
      <c r="BC118"/>
      <c r="BE118"/>
    </row>
    <row r="119" spans="1:67" ht="17.25" thickBot="1" x14ac:dyDescent="0.35">
      <c r="B119" s="170" t="s">
        <v>945</v>
      </c>
      <c r="C119" s="56">
        <f>IFERROR(CORREL(E6:$E$105,G6:G105),0)</f>
        <v>0.19599042257674965</v>
      </c>
      <c r="D119" s="185">
        <f>IFERROR(CORREL($G$6:$G$105,G6:G105),0)</f>
        <v>1</v>
      </c>
      <c r="E119" s="56">
        <f>IFERROR(CORREL($I$6:$I$105,G6:G105),0)</f>
        <v>0.28471618927143028</v>
      </c>
      <c r="F119" s="56">
        <f>IFERROR(CORREL($K$6:$K$105,G6:G105),0)</f>
        <v>0.13567045618760598</v>
      </c>
      <c r="G119" s="56">
        <f>IFERROR(CORREL($M$6:$M$105,G6:G105),0)</f>
        <v>1.9284296745114903E-2</v>
      </c>
      <c r="H119" s="56">
        <f>IFERROR(CORREL($O$6:$O$105,G6:G105),0)</f>
        <v>0.18780035706906059</v>
      </c>
      <c r="I119" s="56">
        <f>IFERROR(CORREL($Q$6:$Q$105,G6:G105),0)</f>
        <v>0.1420077204511466</v>
      </c>
      <c r="J119" s="56">
        <f>IFERROR(CORREL($S$6:$S$105,G6:G105),0)</f>
        <v>0.19298241261950455</v>
      </c>
      <c r="K119" s="56">
        <f>IFERROR(CORREL($U$6:$U$105,G6:G105),0)</f>
        <v>0</v>
      </c>
      <c r="L119" s="56">
        <f>IFERROR(CORREL($W$6:$W$105,G6:G105),0)</f>
        <v>0</v>
      </c>
      <c r="M119" s="56">
        <f>IFERROR(CORREL($Y$6:$Y$105,G6:G105),0)</f>
        <v>0</v>
      </c>
      <c r="N119" s="56">
        <f>IFERROR(CORREL($AA$6:$AA$105,G6:G105),0)</f>
        <v>0</v>
      </c>
      <c r="O119" s="56">
        <f>IFERROR(CORREL($AC$6:$AC$105,G6:G105),0)</f>
        <v>0</v>
      </c>
      <c r="P119" s="56">
        <f>IFERROR(CORREL($AE$6:$AE$105,G6:G105),0)</f>
        <v>0</v>
      </c>
      <c r="Q119" s="56">
        <f>IFERROR(CORREL($AG$6:$AG$105,G6:G105),0)</f>
        <v>0</v>
      </c>
      <c r="R119" s="56">
        <f>IFERROR(CORREL($AI$6:$AI$105,G6:G105),0)</f>
        <v>0</v>
      </c>
      <c r="S119" s="56">
        <f>IFERROR(CORREL($AK$6:$AK$105,G6:G105),0)</f>
        <v>0</v>
      </c>
      <c r="T119" s="56">
        <f>IFERROR(CORREL($AM$6:$AM$105,G6:G105),0)</f>
        <v>0</v>
      </c>
      <c r="U119" s="56">
        <f>IFERROR(CORREL($AO$6:$AO$105,G6:G105),0)</f>
        <v>0</v>
      </c>
      <c r="V119" s="56">
        <f>IFERROR(CORREL($AQ$6:$AQ$105,G6:G105),0)</f>
        <v>0</v>
      </c>
      <c r="W119" s="56">
        <f>IFERROR(CORREL(AS6:AS105,G6:G105),0)</f>
        <v>0</v>
      </c>
      <c r="X119" s="56">
        <f>IFERROR(CORREL(AU6:AU105,G6:G105),0)</f>
        <v>0</v>
      </c>
      <c r="Y119" s="56">
        <f>IFERROR(CORREL(AW6:AW105,G6:G105),0)</f>
        <v>0</v>
      </c>
      <c r="Z119" s="56">
        <f>IFERROR(CORREL(AY6:AY105,G6:G105),0)</f>
        <v>0</v>
      </c>
      <c r="AA119" s="56">
        <f>IFERROR(CORREL(BA6:BA105,G6:G105),0)</f>
        <v>0</v>
      </c>
      <c r="AB119" s="56">
        <f>IFERROR(CORREL(BC6:BC105,G6:G105),0)</f>
        <v>0</v>
      </c>
      <c r="AC119" s="56">
        <f>IFERROR(CORREL(BE6:BE105,G6:G105),0)</f>
        <v>0</v>
      </c>
      <c r="AD119" s="56">
        <f>IFERROR(CORREL(BG6:BG105,G6:G105),0)</f>
        <v>0</v>
      </c>
      <c r="AE119" s="229">
        <f>IFERROR(CORREL(BI6:BI105,G6:G105),0)</f>
        <v>0</v>
      </c>
      <c r="AF119" s="229">
        <f>IFERROR(CORREL($BK$6:$BK$105,$G$6:$G$105),0)</f>
        <v>0</v>
      </c>
      <c r="AG119" s="229">
        <f>IFERROR(CORREL($BM$6:$BM$105,$G$6:$G$105),0)</f>
        <v>0</v>
      </c>
      <c r="AH119" s="229">
        <f>IFERROR(CORREL($BO$6:$BO$105,$G$6:$G$105),0)</f>
        <v>0</v>
      </c>
      <c r="AI119"/>
      <c r="AJ119" s="182"/>
      <c r="AK119"/>
      <c r="AL119" s="182"/>
      <c r="AM119"/>
      <c r="AO119"/>
      <c r="AQ119"/>
      <c r="AS119"/>
      <c r="AU119"/>
      <c r="AW119"/>
      <c r="AY119"/>
      <c r="BA119"/>
      <c r="BC119"/>
      <c r="BE119"/>
    </row>
    <row r="120" spans="1:67" ht="17.25" thickBot="1" x14ac:dyDescent="0.35">
      <c r="B120" s="170" t="s">
        <v>946</v>
      </c>
      <c r="C120" s="56">
        <f>IFERROR(CORREL(E6:E105,I6:I105),0)</f>
        <v>0.40770160165416497</v>
      </c>
      <c r="D120" s="56">
        <f>IFERROR(CORREL($G6:G$105,I6:I105),0)</f>
        <v>0.28471618927143028</v>
      </c>
      <c r="E120" s="185">
        <f>IFERROR(CORREL($I$6:$I$105,I6:I105),0)</f>
        <v>0.99999999999999978</v>
      </c>
      <c r="F120" s="56">
        <f>IFERROR(CORREL($K$6:$K$105,I6:I105),0)</f>
        <v>0.5849238588490554</v>
      </c>
      <c r="G120" s="56">
        <f>IFERROR(CORREL($M$6:$M$105,I6:I105),0)</f>
        <v>0.23894349356588471</v>
      </c>
      <c r="H120" s="56">
        <f>IFERROR(CORREL($O$6:$O$105,I6:I105),0)</f>
        <v>-3.7017250330247161E-3</v>
      </c>
      <c r="I120" s="56">
        <f>IFERROR(CORREL($Q$6:$Q$105,I6:I105),0)</f>
        <v>0.58905621245598561</v>
      </c>
      <c r="J120" s="56">
        <f>IFERROR(CORREL($S$6:$S$105,I6:I105),0)</f>
        <v>0.37467287864586607</v>
      </c>
      <c r="K120" s="56">
        <f>IFERROR(CORREL($U$6:$U$105,I6:I105),0)</f>
        <v>0</v>
      </c>
      <c r="L120" s="56">
        <f>IFERROR(CORREL($W$6:$W$105,I6:I105),0)</f>
        <v>0</v>
      </c>
      <c r="M120" s="56">
        <f>IFERROR(CORREL($Y$6:$Y$105,I6:I105),0)</f>
        <v>0</v>
      </c>
      <c r="N120" s="56">
        <f>IFERROR(CORREL($AA$6:$AA$105,I6:I105),0)</f>
        <v>0</v>
      </c>
      <c r="O120" s="56">
        <f>IFERROR(CORREL($AC$6:$AC$105,I6:I105),0)</f>
        <v>0</v>
      </c>
      <c r="P120" s="56">
        <f>IFERROR(CORREL($AE$6:$AE$105,I6:I105),0)</f>
        <v>0</v>
      </c>
      <c r="Q120" s="56">
        <f>IFERROR(CORREL($AG$6:$AG$105,I6:I105),0)</f>
        <v>0</v>
      </c>
      <c r="R120" s="56">
        <f>IFERROR(CORREL($AI$6:$AI$105,I6:I105),0)</f>
        <v>0</v>
      </c>
      <c r="S120" s="56">
        <f>IFERROR(CORREL($AK$6:$AK$105,I6:I105),0)</f>
        <v>0</v>
      </c>
      <c r="T120" s="56">
        <f>IFERROR(CORREL($AM$6:$AM$105,I6:I105),0)</f>
        <v>0</v>
      </c>
      <c r="U120" s="56">
        <f>IFERROR(CORREL($AO$6:$AO$105,I6:I105),0)</f>
        <v>0</v>
      </c>
      <c r="V120" s="56">
        <f>IFERROR(CORREL($AQ$6:$AQ$105,I6:I105),0)</f>
        <v>0</v>
      </c>
      <c r="W120" s="56">
        <f>IFERROR(CORREL(AS6:AS105,I6:I105),0)</f>
        <v>0</v>
      </c>
      <c r="X120" s="56">
        <f>IFERROR(CORREL(AU6:AU105,I6:I105),0)</f>
        <v>0</v>
      </c>
      <c r="Y120" s="56">
        <f>IFERROR(CORREL(AW6:AW105,I6:I105),0)</f>
        <v>0</v>
      </c>
      <c r="Z120" s="56">
        <f>IFERROR(CORREL(AY6:AY105,I6:I105),0)</f>
        <v>0</v>
      </c>
      <c r="AA120" s="56">
        <f>IFERROR(CORREL(BA6:BA105,I6:I105),0)</f>
        <v>0</v>
      </c>
      <c r="AB120" s="56">
        <f>IFERROR(CORREL(BC6:BC105,I6:I105),0)</f>
        <v>0</v>
      </c>
      <c r="AC120" s="56">
        <f>IFERROR(CORREL(BE6:BE105,I6:I105),0)</f>
        <v>0</v>
      </c>
      <c r="AD120" s="56">
        <f>IFERROR(CORREL(BG6:BG105,I6:I105),0)</f>
        <v>0</v>
      </c>
      <c r="AE120" s="229">
        <f>IFERROR(CORREL(BI6:BI105,I6:I105),0)</f>
        <v>0</v>
      </c>
      <c r="AF120" s="229">
        <f>IFERROR(CORREL($BK$6:$BK$105,$I$6:$I$105),0)</f>
        <v>0</v>
      </c>
      <c r="AG120" s="229">
        <f>IFERROR(CORREL($BM$6:$BM$105,$I$6:$I$105),0)</f>
        <v>0</v>
      </c>
      <c r="AH120" s="229">
        <f>IFERROR(CORREL($BO$6:$BO$105,$I$6:$I$105),0)</f>
        <v>0</v>
      </c>
      <c r="AI120"/>
      <c r="AJ120" s="182"/>
      <c r="AK120"/>
      <c r="AL120" s="182"/>
      <c r="AM120"/>
      <c r="AO120"/>
      <c r="AQ120"/>
      <c r="AS120"/>
      <c r="AU120"/>
      <c r="AW120"/>
      <c r="AY120"/>
      <c r="BA120"/>
      <c r="BC120"/>
      <c r="BE120"/>
    </row>
    <row r="121" spans="1:67" ht="17.25" thickBot="1" x14ac:dyDescent="0.35">
      <c r="B121" s="170" t="s">
        <v>947</v>
      </c>
      <c r="C121" s="56">
        <f>IFERROR(CORREL(E6:E105,K6:K105),0)</f>
        <v>0.54699177144727418</v>
      </c>
      <c r="D121" s="56">
        <f>IFERROR(CORREL(G6:G105,K6:K105),0)</f>
        <v>0.13567045618760598</v>
      </c>
      <c r="E121" s="56">
        <f>IFERROR(CORREL($I6:I$105,K6:K105),0)</f>
        <v>0.5849238588490554</v>
      </c>
      <c r="F121" s="185">
        <f>IFERROR(CORREL($K$6:$K$105,K6:K105),0)</f>
        <v>1.0000000000000002</v>
      </c>
      <c r="G121" s="56">
        <f>IFERROR(CORREL($M$6:$M$105,K6:K105),0)</f>
        <v>2.5843336472362824E-2</v>
      </c>
      <c r="H121" s="56">
        <f>IFERROR(CORREL($O$6:$O$105,K6:K105),0)</f>
        <v>4.7217503360136567E-2</v>
      </c>
      <c r="I121" s="56">
        <f>IFERROR(CORREL($Q$6:$Q$105,K6:K105),0)</f>
        <v>0.99870791884847232</v>
      </c>
      <c r="J121" s="56">
        <f>IFERROR(CORREL($S$6:$S$105,K6:K105),0)</f>
        <v>0.49599098340207498</v>
      </c>
      <c r="K121" s="56">
        <f>IFERROR(CORREL($U$6:$U$105,K6:K105),0)</f>
        <v>0</v>
      </c>
      <c r="L121" s="56">
        <f>IFERROR(CORREL($W$6:$W$105,K6:K105),0)</f>
        <v>0</v>
      </c>
      <c r="M121" s="56">
        <f>IFERROR(CORREL($Y$6:$Y$105,K6:K105),0)</f>
        <v>0</v>
      </c>
      <c r="N121" s="56">
        <f>IFERROR(CORREL($AA$6:$AA$105,K6:K105),0)</f>
        <v>0</v>
      </c>
      <c r="O121" s="56">
        <f>IFERROR(CORREL($AC$6:$AC$105,K6:K105),0)</f>
        <v>0</v>
      </c>
      <c r="P121" s="56">
        <f>IFERROR(CORREL($AE$6:$AE$105,K6:K105),0)</f>
        <v>0</v>
      </c>
      <c r="Q121" s="56">
        <f>IFERROR(CORREL($AG$6:$AG$105,K6:K105),0)</f>
        <v>0</v>
      </c>
      <c r="R121" s="56">
        <f>IFERROR(CORREL($AI$6:$AI$105,K6:K105),0)</f>
        <v>0</v>
      </c>
      <c r="S121" s="56">
        <f>IFERROR(CORREL($AK$6:$AK$105,K6:K105),0)</f>
        <v>0</v>
      </c>
      <c r="T121" s="56">
        <f>IFERROR(CORREL($AM$6:$AM$105,K6:K105),0)</f>
        <v>0</v>
      </c>
      <c r="U121" s="56">
        <f>IFERROR(CORREL($AO$6:$AO$105,K6:K105),0)</f>
        <v>0</v>
      </c>
      <c r="V121" s="56">
        <f>IFERROR(CORREL($AQ$6:$AQ$105,K6:K105),0)</f>
        <v>0</v>
      </c>
      <c r="W121" s="56">
        <f>IFERROR(CORREL(AS6:AS105,K6:K105),0)</f>
        <v>0</v>
      </c>
      <c r="X121" s="56">
        <f>IFERROR(CORREL(AU6:AU105,K6:K105),0)</f>
        <v>0</v>
      </c>
      <c r="Y121" s="56">
        <f>IFERROR(CORREL(AW6:AW105,K6:K105),0)</f>
        <v>0</v>
      </c>
      <c r="Z121" s="56">
        <f>IFERROR(CORREL(AY6:AY105,K6:K105),0)</f>
        <v>0</v>
      </c>
      <c r="AA121" s="56">
        <f>IFERROR(CORREL(BA6:BA105,K6:K105),0)</f>
        <v>0</v>
      </c>
      <c r="AB121" s="56">
        <f>IFERROR(CORREL(BC6:BC105,K6:K105),0)</f>
        <v>0</v>
      </c>
      <c r="AC121" s="56">
        <f>IFERROR(CORREL(BE6:BE105,K6:K105),0)</f>
        <v>0</v>
      </c>
      <c r="AD121" s="56">
        <f>IFERROR(CORREL(BG6:BG105,K6:K105),0)</f>
        <v>0</v>
      </c>
      <c r="AE121" s="229">
        <f>IFERROR(CORREL(BI6:BI105,H6:H105),0)</f>
        <v>0</v>
      </c>
      <c r="AF121" s="229">
        <f>IFERROR(CORREL($BK$6:$BK$105,$K$6:$K$105),0)</f>
        <v>0</v>
      </c>
      <c r="AG121" s="229">
        <f>IFERROR(CORREL($BM$6:$BM$105,$K$6:$K$105),0)</f>
        <v>0</v>
      </c>
      <c r="AH121" s="229">
        <f>IFERROR(CORREL($BO$6:$BO$105,$K$6:$K$105),0)</f>
        <v>0</v>
      </c>
      <c r="AI121"/>
      <c r="AJ121" s="182"/>
      <c r="AK121"/>
      <c r="AL121" s="182"/>
      <c r="AM121"/>
      <c r="AO121"/>
      <c r="AQ121"/>
      <c r="AS121"/>
      <c r="AU121"/>
      <c r="AW121"/>
      <c r="AY121"/>
      <c r="BA121"/>
      <c r="BC121"/>
      <c r="BE121"/>
    </row>
    <row r="122" spans="1:67" ht="17.25" thickBot="1" x14ac:dyDescent="0.35">
      <c r="B122" s="170" t="s">
        <v>948</v>
      </c>
      <c r="C122" s="56">
        <f>IFERROR(CORREL(E6:E105,M6:M105),0)</f>
        <v>-4.4741149180253841E-2</v>
      </c>
      <c r="D122" s="56">
        <f>IFERROR(CORREL(G6:G105,M6:M105),0)</f>
        <v>1.9284296745114903E-2</v>
      </c>
      <c r="E122" s="56">
        <f>IFERROR(CORREL(I6:I105,M6:M105),0)</f>
        <v>0.23894349356588471</v>
      </c>
      <c r="F122" s="56">
        <f>IFERROR(CORREL($K6:K$105,M6:M105),0)</f>
        <v>2.5843336472362824E-2</v>
      </c>
      <c r="G122" s="185">
        <f>IFERROR(CORREL($M$6:$M$105,M6:M105),0)</f>
        <v>1</v>
      </c>
      <c r="H122" s="56">
        <f>IFERROR(CORREL($O$6:$O$105,M6:M105),0)</f>
        <v>2.4855550975096719E-2</v>
      </c>
      <c r="I122" s="56">
        <f>IFERROR(CORREL($Q$6:$Q$105,M6:M105),0)</f>
        <v>2.6643719841194371E-2</v>
      </c>
      <c r="J122" s="56">
        <f>IFERROR(CORREL($Q$6:$S$105,M6:M105),0)</f>
        <v>0</v>
      </c>
      <c r="K122" s="56">
        <f>IFERROR(CORREL($U$6:$U$105,M6:M105),0)</f>
        <v>0</v>
      </c>
      <c r="L122" s="56">
        <f>IFERROR(CORREL($W$6:$W$105,M6:M105),0)</f>
        <v>0</v>
      </c>
      <c r="M122" s="56">
        <f>IFERROR(CORREL($Y$6:$Y$105,M6:M105),0)</f>
        <v>0</v>
      </c>
      <c r="N122" s="56">
        <f>IFERROR(CORREL($AA$6:$AA$105,M6:M105),0)</f>
        <v>0</v>
      </c>
      <c r="O122" s="56">
        <f>IFERROR(CORREL($AC$6:$AC$105,M6:M105),0)</f>
        <v>0</v>
      </c>
      <c r="P122" s="56">
        <f>IFERROR(CORREL($AE$6:$AE$105,M6:M105),0)</f>
        <v>0</v>
      </c>
      <c r="Q122" s="56">
        <f>IFERROR(CORREL($AG$6:$AG$105,M6:M105),0)</f>
        <v>0</v>
      </c>
      <c r="R122" s="56">
        <f>IFERROR(CORREL($AI$6:$AI$105,M6:M105),0)</f>
        <v>0</v>
      </c>
      <c r="S122" s="56">
        <f>IFERROR(CORREL($AK$6:$AK$105,M6:M105),0)</f>
        <v>0</v>
      </c>
      <c r="T122" s="56">
        <f>IFERROR(CORREL($AM$6:$AM$105,M6:M105),0)</f>
        <v>0</v>
      </c>
      <c r="U122" s="56">
        <f>IFERROR(CORREL($AO$6:$AO$105,M6:M105),0)</f>
        <v>0</v>
      </c>
      <c r="V122" s="56">
        <f>IFERROR(CORREL($AQ$6:$AQ$105,M6:M105),0)</f>
        <v>0</v>
      </c>
      <c r="W122" s="56">
        <f>IFERROR(CORREL(AS6:AS105,M6:M105),0)</f>
        <v>0</v>
      </c>
      <c r="X122" s="56">
        <f>IFERROR(CORREL(AU6:AU105,M6:M105),0)</f>
        <v>0</v>
      </c>
      <c r="Y122" s="56">
        <f>IFERROR(CORREL(AW6:AW105,M6:M105),0)</f>
        <v>0</v>
      </c>
      <c r="Z122" s="56">
        <f>IFERROR(CORREL(AY6:AY105,M6:M105),0)</f>
        <v>0</v>
      </c>
      <c r="AA122" s="56">
        <f>IFERROR(CORREL(BA6:BA105,M6:M105),0)</f>
        <v>0</v>
      </c>
      <c r="AB122" s="56">
        <f>IFERROR(CORREL(BC6:BC105,M6:M105),0)</f>
        <v>0</v>
      </c>
      <c r="AC122" s="56">
        <f>IFERROR(CORREL(BE6:BE105,M6:M105),0)</f>
        <v>0</v>
      </c>
      <c r="AD122" s="56">
        <f>IFERROR(CORREL(BG6:BG105,M6:M105),0)</f>
        <v>0</v>
      </c>
      <c r="AE122" s="229">
        <f>IFERROR(CORREL(BI6:BI105,M6:M105),0)</f>
        <v>0</v>
      </c>
      <c r="AF122" s="229">
        <f>IFERROR(CORREL($BK$6:$BK$105,$M$6:$M$105),0)</f>
        <v>0</v>
      </c>
      <c r="AG122" s="229">
        <f>IFERROR(CORREL($BM$6:$BM$105,$M$6:$M$105),0)</f>
        <v>0</v>
      </c>
      <c r="AH122" s="229">
        <f>IFERROR(CORREL($BO$6:$BO$105,$M$6:$M$105),0)</f>
        <v>0</v>
      </c>
      <c r="AI122"/>
      <c r="AJ122" s="182"/>
      <c r="AK122"/>
      <c r="AL122" s="182"/>
      <c r="AM122"/>
      <c r="AO122"/>
      <c r="AQ122"/>
      <c r="AS122"/>
      <c r="AU122"/>
      <c r="AW122"/>
      <c r="AY122"/>
      <c r="BA122"/>
      <c r="BC122"/>
      <c r="BE122"/>
    </row>
    <row r="123" spans="1:67" ht="17.25" thickBot="1" x14ac:dyDescent="0.35">
      <c r="B123" s="170" t="s">
        <v>949</v>
      </c>
      <c r="C123" s="56">
        <f>IFERROR(CORREL(E6:E105,O6:O105),0)</f>
        <v>-4.7425403022917756E-2</v>
      </c>
      <c r="D123" s="56">
        <f>IFERROR(CORREL(G6:G105,O6:O105),0)</f>
        <v>0.18780035706906059</v>
      </c>
      <c r="E123" s="56">
        <f>IFERROR(CORREL(I6:I105,O6:O105),0)</f>
        <v>-3.7017250330247161E-3</v>
      </c>
      <c r="F123" s="56">
        <f>IFERROR(CORREL(K6:K105,O6:O105),0)</f>
        <v>4.7217503360136567E-2</v>
      </c>
      <c r="G123" s="56">
        <f>IFERROR(CORREL($M6:M$105,O6:O105),0)</f>
        <v>2.4855550975096719E-2</v>
      </c>
      <c r="H123" s="185">
        <f>IFERROR(CORREL($O$6:$O$105,O6:O105),0)</f>
        <v>1.0000000000000002</v>
      </c>
      <c r="I123" s="56">
        <f>IFERROR(CORREL($Q$6:$Q$105,O6:O105),0)</f>
        <v>5.55150618104805E-2</v>
      </c>
      <c r="J123" s="56">
        <f>IFERROR(CORREL($S$6:$S$105,O6:O105),0)</f>
        <v>-5.6738337697135932E-2</v>
      </c>
      <c r="K123" s="56">
        <f>IFERROR(CORREL($U$6:$U$105,O6:O105),0)</f>
        <v>0</v>
      </c>
      <c r="L123" s="56">
        <f>IFERROR(CORREL($W$6:$W$105,O6:O105),0)</f>
        <v>0</v>
      </c>
      <c r="M123" s="56">
        <f>IFERROR(CORREL($Y$6:$Y$105,O6:O105),0)</f>
        <v>0</v>
      </c>
      <c r="N123" s="56">
        <f>IFERROR(CORREL($AA$6:$AA$105,O6:O105),0)</f>
        <v>0</v>
      </c>
      <c r="O123" s="56">
        <f>IFERROR(CORREL($AC$6:$AC$105,O6:O105),0)</f>
        <v>0</v>
      </c>
      <c r="P123" s="56">
        <f>IFERROR(CORREL($AE$6:$AE$105,O6:O105),0)</f>
        <v>0</v>
      </c>
      <c r="Q123" s="56">
        <f>IFERROR(CORREL($AG$6:$AG$105,O6:O105),0)</f>
        <v>0</v>
      </c>
      <c r="R123" s="56">
        <f>IFERROR(CORREL($AI$6:$AI$105,O6:O105),0)</f>
        <v>0</v>
      </c>
      <c r="S123" s="56">
        <f>IFERROR(CORREL($AK$6:$AK$105,O6:O105),0)</f>
        <v>0</v>
      </c>
      <c r="T123" s="56">
        <f>IFERROR(CORREL($AM$6:$AM$105,O6:O105),0)</f>
        <v>0</v>
      </c>
      <c r="U123" s="56">
        <f>IFERROR(CORREL($AO$6:$AO$105,O6:O105),0)</f>
        <v>0</v>
      </c>
      <c r="V123" s="56">
        <f>IFERROR(CORREL($AQ$6:$AQ$105,O6:O105),0)</f>
        <v>0</v>
      </c>
      <c r="W123" s="56">
        <f>IFERROR(CORREL(AS6:AS105,O6:O105),0)</f>
        <v>0</v>
      </c>
      <c r="X123" s="56">
        <f>IFERROR(CORREL(AU6:AU105,O6:O105),0)</f>
        <v>0</v>
      </c>
      <c r="Y123" s="56">
        <f>IFERROR(CORREL(AW6:AW105,O6:O105),0)</f>
        <v>0</v>
      </c>
      <c r="Z123" s="56">
        <f>IFERROR(CORREL(AY6:AY105,O6:O105),0)</f>
        <v>0</v>
      </c>
      <c r="AA123" s="56">
        <f>IFERROR(CORREL(BA6:BA105,O6:O105),0)</f>
        <v>0</v>
      </c>
      <c r="AB123" s="56">
        <f>IFERROR(CORREL(BC6:BC105,O6:O105),0)</f>
        <v>0</v>
      </c>
      <c r="AC123" s="56">
        <f>IFERROR(CORREL(BE6:BE105,O6:O105),0)</f>
        <v>0</v>
      </c>
      <c r="AD123" s="56">
        <f>IFERROR(CORREL(BG6:BG105,O6:O105),0)</f>
        <v>0</v>
      </c>
      <c r="AE123" s="229">
        <f>IFERROR(CORREL(BI6:BI105,O6:O105),0)</f>
        <v>0</v>
      </c>
      <c r="AF123" s="229">
        <f>IFERROR(CORREL($BK$6:$BK$105,$O$6:$O$105),0)</f>
        <v>0</v>
      </c>
      <c r="AG123" s="229">
        <f>IFERROR(CORREL($BM$6:$BM$105,$O$6:$O$105),0)</f>
        <v>0</v>
      </c>
      <c r="AH123" s="229">
        <f>IFERROR(CORREL($BO$6:$BO$105,$O$6:$O$105),0)</f>
        <v>0</v>
      </c>
      <c r="AI123"/>
      <c r="AJ123" s="182"/>
      <c r="AK123"/>
      <c r="AL123" s="182"/>
      <c r="AM123"/>
      <c r="AO123"/>
      <c r="AQ123"/>
      <c r="AS123"/>
      <c r="AU123"/>
      <c r="AW123"/>
      <c r="AY123"/>
      <c r="BA123"/>
      <c r="BC123"/>
      <c r="BE123"/>
    </row>
    <row r="124" spans="1:67" ht="17.25" thickBot="1" x14ac:dyDescent="0.35">
      <c r="B124" s="170" t="s">
        <v>950</v>
      </c>
      <c r="C124" s="56">
        <f>IFERROR(CORREL(E6:E105,Q5:Q106),0)</f>
        <v>0</v>
      </c>
      <c r="D124" s="56">
        <f>IFERROR(CORREL(G6:G105,Q6:Q105),0)</f>
        <v>0.1420077204511466</v>
      </c>
      <c r="E124" s="56">
        <f>IFERROR(CORREL(I6:I105,Q6:Q105),0)</f>
        <v>0.58905621245598561</v>
      </c>
      <c r="F124" s="56">
        <f>IFERROR(CORREL(K6:K105,Q6:Q105),0)</f>
        <v>0.99870791884847232</v>
      </c>
      <c r="G124" s="56">
        <f>IFERROR(CORREL(M6:M105,Q6:Q105),0)</f>
        <v>2.6643719841194371E-2</v>
      </c>
      <c r="H124" s="56">
        <f>IFERROR(CORREL($O6:O$105,Q6:Q105),0)</f>
        <v>5.55150618104805E-2</v>
      </c>
      <c r="I124" s="185">
        <f>IFERROR(CORREL($Q$6:$Q$105,Q6:Q105),0)</f>
        <v>1</v>
      </c>
      <c r="J124" s="56">
        <f>IFERROR(CORREL($S$6:$S$105,Q6:Q105),0)</f>
        <v>0.49763289460536486</v>
      </c>
      <c r="K124" s="56">
        <f>IFERROR(CORREL($U$6:$U$105,Q6:Q105),0)</f>
        <v>0</v>
      </c>
      <c r="L124" s="56">
        <f>IFERROR(CORREL($W$6:$W$105,Q6:Q105),0)</f>
        <v>0</v>
      </c>
      <c r="M124" s="56">
        <f>IFERROR(CORREL($Y$6:$Y$105,Q6:Q105),0)</f>
        <v>0</v>
      </c>
      <c r="N124" s="56">
        <f>IFERROR(CORREL($AA$6:$AA$105,Q6:Q105),0)</f>
        <v>0</v>
      </c>
      <c r="O124" s="56">
        <f>IFERROR(CORREL($AC$6:$AC$105,Q6:Q105),0)</f>
        <v>0</v>
      </c>
      <c r="P124" s="56">
        <f>IFERROR(CORREL($AE$6:$AE$105,Q6:Q105),0)</f>
        <v>0</v>
      </c>
      <c r="Q124" s="56">
        <f>IFERROR(CORREL($AG$6:$AG$105,Q6:Q105),0)</f>
        <v>0</v>
      </c>
      <c r="R124" s="56">
        <f>IFERROR(CORREL($AI$6:$AI$105,Q6:Q105),0)</f>
        <v>0</v>
      </c>
      <c r="S124" s="56">
        <f>IFERROR(CORREL($AK$6:$AK$105,Q6:Q105),0)</f>
        <v>0</v>
      </c>
      <c r="T124" s="56">
        <f>IFERROR(CORREL($AM$6:$AM$105,Q6:Q105),0)</f>
        <v>0</v>
      </c>
      <c r="U124" s="56">
        <f>IFERROR(CORREL($AO$6:$AO$105,Q6:Q105),0)</f>
        <v>0</v>
      </c>
      <c r="V124" s="56">
        <f>IFERROR(CORREL($AQ$6:$AQ$105,Q6:Q105),0)</f>
        <v>0</v>
      </c>
      <c r="W124" s="56">
        <f>IFERROR(CORREL(AS6:AS105,Q6:Q105),0)</f>
        <v>0</v>
      </c>
      <c r="X124" s="56">
        <f>IFERROR(CORREL(AU6:AU105,Q6:Q105),0)</f>
        <v>0</v>
      </c>
      <c r="Y124" s="56">
        <f>IFERROR(CORREL(AW6:AW105,Q6:Q105),0)</f>
        <v>0</v>
      </c>
      <c r="Z124" s="56">
        <f>IFERROR(CORREL(AY6:AY105,Q6:Q105),0)</f>
        <v>0</v>
      </c>
      <c r="AA124" s="56">
        <f>IFERROR(CORREL(BA6:BA105,Q6:Q105),0)</f>
        <v>0</v>
      </c>
      <c r="AB124" s="56">
        <f>IFERROR(CORREL(BC6:BC105,Q6:Q105),0)</f>
        <v>0</v>
      </c>
      <c r="AC124" s="56">
        <f>IFERROR(CORREL(BE6:BE105,Q6:Q105),0)</f>
        <v>0</v>
      </c>
      <c r="AD124" s="56">
        <f>IFERROR(CORREL(BG6:BG105,Q6:Q105),0)</f>
        <v>0</v>
      </c>
      <c r="AE124" s="229">
        <f>IFERROR(CORREL(BI6:BI105,Q6:Q105),0)</f>
        <v>0</v>
      </c>
      <c r="AF124" s="229">
        <f>IFERROR(CORREL($BK$6:$BK$105,$Q$6:$Q$105),0)</f>
        <v>0</v>
      </c>
      <c r="AG124" s="229">
        <f>IFERROR(CORREL($BM$6:$BM$105,$Q$6:$Q$105),0)</f>
        <v>0</v>
      </c>
      <c r="AH124" s="229">
        <f>IFERROR(CORREL($BO$6:$BO$105,$Q$6:$Q$105),0)</f>
        <v>0</v>
      </c>
      <c r="AI124"/>
      <c r="AJ124" s="182"/>
      <c r="AK124"/>
      <c r="AL124" s="182"/>
      <c r="AM124"/>
      <c r="AO124"/>
      <c r="AQ124"/>
      <c r="AS124"/>
      <c r="AU124"/>
      <c r="AW124"/>
      <c r="AY124"/>
      <c r="BA124"/>
      <c r="BC124"/>
      <c r="BE124"/>
    </row>
    <row r="125" spans="1:67" ht="17.25" thickBot="1" x14ac:dyDescent="0.35">
      <c r="B125" s="170" t="s">
        <v>951</v>
      </c>
      <c r="C125" s="56">
        <f>IFERROR(CORREL(E6:E105,S6:S105),0)</f>
        <v>0.99642365906758046</v>
      </c>
      <c r="D125" s="56">
        <f>IFERROR(CORREL(G6:G105,S5:S106),0)</f>
        <v>0</v>
      </c>
      <c r="E125" s="56">
        <f>IFERROR(CORREL(I6:I105,S6:S105),0)</f>
        <v>0.37467287864586607</v>
      </c>
      <c r="F125" s="56">
        <f>IFERROR(CORREL(K6:K105,S6:S105),0)</f>
        <v>0.49599098340207498</v>
      </c>
      <c r="G125" s="56">
        <f>IFERROR(CORREL(M6:M105,S6:S105),0)</f>
        <v>-5.1457051619217549E-2</v>
      </c>
      <c r="H125" s="56">
        <f>IFERROR(CORREL(O6:O105,S6:S105),0)</f>
        <v>-5.6738337697135932E-2</v>
      </c>
      <c r="I125" s="56">
        <f>IFERROR(CORREL($Q6:Q$105,S6:S105),0)</f>
        <v>0.49763289460536486</v>
      </c>
      <c r="J125" s="185">
        <f>IFERROR(CORREL($S$6:$S$105,S6:S105),0)</f>
        <v>1</v>
      </c>
      <c r="K125" s="56">
        <f>IFERROR(CORREL($U$6:$U$105,S6:S105),0)</f>
        <v>0</v>
      </c>
      <c r="L125" s="56">
        <f>IFERROR(CORREL($W$6:$W$105,S6:S105),0)</f>
        <v>0</v>
      </c>
      <c r="M125" s="56">
        <f>IFERROR(CORREL($Y$6:$Y$105,S6:S105),0)</f>
        <v>0</v>
      </c>
      <c r="N125" s="56">
        <f>IFERROR(CORREL($AA$6:$AA$105,S6:S105),0)</f>
        <v>0</v>
      </c>
      <c r="O125" s="56">
        <f>IFERROR(CORREL($AC$6:$AC$105,S6:S105),0)</f>
        <v>0</v>
      </c>
      <c r="P125" s="56">
        <f>IFERROR(CORREL($AE$6:$AE$105,S6:S105),0)</f>
        <v>0</v>
      </c>
      <c r="Q125" s="56">
        <f>IFERROR(CORREL($AG$6:$AG$105,S6:S105),0)</f>
        <v>0</v>
      </c>
      <c r="R125" s="56">
        <f>IFERROR(CORREL($AI$6:$AI$105,S6:S105),0)</f>
        <v>0</v>
      </c>
      <c r="S125" s="56">
        <f>IFERROR(CORREL($AK$6:$AK$105,S6:S105),0)</f>
        <v>0</v>
      </c>
      <c r="T125" s="56">
        <f>IFERROR(CORREL($AM$6:$AM$105,S6:S105),0)</f>
        <v>0</v>
      </c>
      <c r="U125" s="56">
        <f>IFERROR(CORREL($AO$6:$AO$105,S6:S105),0)</f>
        <v>0</v>
      </c>
      <c r="V125" s="56">
        <f>IFERROR(CORREL($AQ$6:$AQ$105,S6:S105),0)</f>
        <v>0</v>
      </c>
      <c r="W125" s="56">
        <f>IFERROR(CORREL(AS6:AS105,S6:S105),0)</f>
        <v>0</v>
      </c>
      <c r="X125" s="56">
        <f>IFERROR(CORREL(AU6:AU105,S6:S105),0)</f>
        <v>0</v>
      </c>
      <c r="Y125" s="56">
        <f>IFERROR(CORREL(AW6:AW105,S6:S105),0)</f>
        <v>0</v>
      </c>
      <c r="Z125" s="56">
        <f>IFERROR(CORREL(AY6:AY105,S6:S105),0)</f>
        <v>0</v>
      </c>
      <c r="AA125" s="56">
        <f>IFERROR(CORREL(BA6:BA105,S6:S105),0)</f>
        <v>0</v>
      </c>
      <c r="AB125" s="56">
        <f>IFERROR(CORREL(BC6:BC105,S6:S105),0)</f>
        <v>0</v>
      </c>
      <c r="AC125" s="56">
        <f>IFERROR(CORREL(BE6:BE105,S6:S105),0)</f>
        <v>0</v>
      </c>
      <c r="AD125" s="56">
        <f>IFERROR(CORREL(BG6:BG105,S6:S105),0)</f>
        <v>0</v>
      </c>
      <c r="AE125" s="229">
        <f>IFERROR(CORREL(BI6:BI105,S6:S105),0)</f>
        <v>0</v>
      </c>
      <c r="AF125" s="229">
        <f>IFERROR(CORREL($BK$6:$BK$105,$S$6:$S$105),0)</f>
        <v>0</v>
      </c>
      <c r="AG125" s="229">
        <f>IFERROR(CORREL($BM$6:$BM$105,$S$6:$S$105),0)</f>
        <v>0</v>
      </c>
      <c r="AH125" s="229">
        <f>IFERROR(CORREL($BO$6:$BO$105,$S$6:$S$105),0)</f>
        <v>0</v>
      </c>
      <c r="AI125"/>
      <c r="AJ125" s="182"/>
      <c r="AK125"/>
      <c r="AL125" s="182"/>
      <c r="AM125"/>
      <c r="AO125"/>
      <c r="AQ125"/>
      <c r="AS125"/>
      <c r="AU125"/>
      <c r="AW125"/>
      <c r="AY125"/>
      <c r="BA125"/>
      <c r="BC125"/>
      <c r="BE125"/>
    </row>
    <row r="126" spans="1:67" ht="17.25" thickBot="1" x14ac:dyDescent="0.35">
      <c r="B126" s="170" t="s">
        <v>952</v>
      </c>
      <c r="C126" s="56">
        <f>IFERROR(CORREL(E6:E105,U6:U105),0)</f>
        <v>0</v>
      </c>
      <c r="D126" s="56">
        <f>IFERROR(CORREL(G6:G105,U6:U105),0)</f>
        <v>0</v>
      </c>
      <c r="E126" s="56">
        <f>IFERROR(CORREL(I6:I105,U5:U106),0)</f>
        <v>0</v>
      </c>
      <c r="F126" s="56">
        <f>IFERROR(CORREL(K6:K105,U6:U105),0)</f>
        <v>0</v>
      </c>
      <c r="G126" s="56">
        <f>IFERROR(CORREL(M6:M105,U6:U105),0)</f>
        <v>0</v>
      </c>
      <c r="H126" s="56">
        <f>IFERROR(CORREL(O6:O105,U6:U105),0)</f>
        <v>0</v>
      </c>
      <c r="I126" s="56">
        <f>IFERROR(CORREL(Q6:Q105,U6:U105),0)</f>
        <v>0</v>
      </c>
      <c r="J126" s="56">
        <f>IFERROR(CORREL($S6:S$105,U6:U105),0)</f>
        <v>0</v>
      </c>
      <c r="K126" s="185">
        <f>IFERROR(CORREL($U$6:$U$105,U6:U105),0)</f>
        <v>0</v>
      </c>
      <c r="L126" s="56">
        <f>IFERROR(CORREL($W$6:$W$105,U6:U105),0)</f>
        <v>0</v>
      </c>
      <c r="M126" s="56">
        <f>IFERROR(CORREL($Y$6:$Y$105,U6:U105),0)</f>
        <v>0</v>
      </c>
      <c r="N126" s="56">
        <f>IFERROR(CORREL($AA$6:$AA$105,U6:U105),0)</f>
        <v>0</v>
      </c>
      <c r="O126" s="56">
        <f>IFERROR(CORREL($AC$6:$AC$105,U6:U105),0)</f>
        <v>0</v>
      </c>
      <c r="P126" s="56">
        <f>IFERROR(CORREL($AE$6:$AE$105,U6:U105),0)</f>
        <v>0</v>
      </c>
      <c r="Q126" s="56">
        <f>IFERROR(CORREL($AG$6:$AG$105,U6:U105),0)</f>
        <v>0</v>
      </c>
      <c r="R126" s="56">
        <f>IFERROR(CORREL($AI$6:$AI$105,U6:U105),0)</f>
        <v>0</v>
      </c>
      <c r="S126" s="56">
        <f>IFERROR(CORREL($AK$6:$AK$105,U6:U105),0)</f>
        <v>0</v>
      </c>
      <c r="T126" s="56">
        <f>IFERROR(CORREL($AM$6:$AM$105,U6:U105),0)</f>
        <v>0</v>
      </c>
      <c r="U126" s="56">
        <f>IFERROR(CORREL($AO$6:$AO$105,U6:U105),0)</f>
        <v>0</v>
      </c>
      <c r="V126" s="56">
        <f>IFERROR(CORREL($AQ$6:$AQ$105,U6:U105),0)</f>
        <v>0</v>
      </c>
      <c r="W126" s="56">
        <f>IFERROR(CORREL(AS6:AS105,U6:U105),0)</f>
        <v>0</v>
      </c>
      <c r="X126" s="56">
        <f>IFERROR(CORREL(AU6:AU105,U6:U105),0)</f>
        <v>0</v>
      </c>
      <c r="Y126" s="56">
        <f>IFERROR(CORREL(AW6:AW105,U6:U105),0)</f>
        <v>0</v>
      </c>
      <c r="Z126" s="56">
        <f>IFERROR(CORREL(AY6:AY105,U6:U105),0)</f>
        <v>0</v>
      </c>
      <c r="AA126" s="56">
        <f>IFERROR(CORREL(BA6:BA105,U6:U105),0)</f>
        <v>0</v>
      </c>
      <c r="AB126" s="56">
        <f>IFERROR(CORREL(BC6:BC105,U6:U105),0)</f>
        <v>0</v>
      </c>
      <c r="AC126" s="56">
        <f>IFERROR(CORREL(BE6:BE105,U6:U105),0)</f>
        <v>0</v>
      </c>
      <c r="AD126" s="56">
        <f>IFERROR(CORREL(BG6:BG105,U6:U105),0)</f>
        <v>0</v>
      </c>
      <c r="AE126" s="229">
        <f>IFERROR(CORREL(BI6:BI105,U6:U105),0)</f>
        <v>0</v>
      </c>
      <c r="AF126" s="229">
        <f>IFERROR(CORREL($BK$6:$BK$105,$U$6:$U$105),0)</f>
        <v>0</v>
      </c>
      <c r="AG126" s="229">
        <f>IFERROR(CORREL($BM$6:$BM$105,$U$6:$U$105),0)</f>
        <v>0</v>
      </c>
      <c r="AH126" s="229">
        <f>IFERROR(CORREL($BO$6:$BO$105,$U$6:$U$105),0)</f>
        <v>0</v>
      </c>
      <c r="AI126"/>
      <c r="AJ126" s="182"/>
      <c r="AK126"/>
      <c r="AL126" s="182"/>
      <c r="AM126"/>
      <c r="AO126"/>
      <c r="AQ126"/>
      <c r="AS126"/>
      <c r="AU126"/>
      <c r="AW126"/>
      <c r="AY126"/>
      <c r="BA126"/>
      <c r="BC126"/>
      <c r="BE126"/>
    </row>
    <row r="127" spans="1:67" ht="17.25" thickBot="1" x14ac:dyDescent="0.35">
      <c r="B127" s="170" t="s">
        <v>953</v>
      </c>
      <c r="C127" s="56">
        <f>IFERROR(CORREL(E6:E105,W6:W105),0)</f>
        <v>0</v>
      </c>
      <c r="D127" s="56">
        <f>IFERROR(CORREL(G6:G105,W6:W105),0)</f>
        <v>0</v>
      </c>
      <c r="E127" s="56">
        <f>IFERROR(CORREL(I6:I105,W6:W105),0)</f>
        <v>0</v>
      </c>
      <c r="F127" s="56">
        <f>IFERROR(CORREL(K6:K105,W5:W106),0)</f>
        <v>0</v>
      </c>
      <c r="G127" s="56">
        <f>IFERROR(CORREL(M6:M105,W6:W105),0)</f>
        <v>0</v>
      </c>
      <c r="H127" s="56">
        <f>IFERROR(CORREL(O6:O105,W6:W105),0)</f>
        <v>0</v>
      </c>
      <c r="I127" s="56">
        <f>IFERROR(CORREL(Q6:Q105,W6:W105),0)</f>
        <v>0</v>
      </c>
      <c r="J127" s="56">
        <f>IFERROR(CORREL(S6:S105,W6:W105),0)</f>
        <v>0</v>
      </c>
      <c r="K127" s="56">
        <f>IFERROR(CORREL($U6:U$105,W6:W105),0)</f>
        <v>0</v>
      </c>
      <c r="L127" s="185">
        <f>IFERROR(CORREL($W$6:$W$105,W6:W105),0)</f>
        <v>0</v>
      </c>
      <c r="M127" s="56">
        <f>IFERROR(CORREL($Y$6:$Y$105,W6:W105),0)</f>
        <v>0</v>
      </c>
      <c r="N127" s="56">
        <f>IFERROR(CORREL($AA$6:$AA$105,W6:W105),0)</f>
        <v>0</v>
      </c>
      <c r="O127" s="56">
        <f>IFERROR(CORREL($AC$6:$AC$105,W6:W105),0)</f>
        <v>0</v>
      </c>
      <c r="P127" s="56">
        <f>IFERROR(CORREL($AE$6:$AE$105,W6:W105),0)</f>
        <v>0</v>
      </c>
      <c r="Q127" s="56">
        <f>IFERROR(CORREL($AG$6:$AG$105,W6:W105),0)</f>
        <v>0</v>
      </c>
      <c r="R127" s="56">
        <f>IFERROR(CORREL($AI$6:$AI$105,W6:W105),0)</f>
        <v>0</v>
      </c>
      <c r="S127" s="56">
        <f>IFERROR(CORREL($AK$6:$AK$105,W6:W105),0)</f>
        <v>0</v>
      </c>
      <c r="T127" s="56">
        <f>IFERROR(CORREL($AM$6:$AM$105,W6:W105),0)</f>
        <v>0</v>
      </c>
      <c r="U127" s="56">
        <f>IFERROR(CORREL($AO$6:$AO$105,W6:W105),0)</f>
        <v>0</v>
      </c>
      <c r="V127" s="56">
        <f>IFERROR(CORREL($AQ$6:$AQ$105,W6:W105),0)</f>
        <v>0</v>
      </c>
      <c r="W127" s="56">
        <f>IFERROR(CORREL(AS6:AS105,W6:W105),0)</f>
        <v>0</v>
      </c>
      <c r="X127" s="56">
        <f>IFERROR(CORREL(AU6:AU105,W6:W105),0)</f>
        <v>0</v>
      </c>
      <c r="Y127" s="56">
        <f>IFERROR(CORREL(AW6:AW105,W6:W105),0)</f>
        <v>0</v>
      </c>
      <c r="Z127" s="56">
        <f>IFERROR(CORREL(AY6:AY105,W6:W105),0)</f>
        <v>0</v>
      </c>
      <c r="AA127" s="56">
        <f>IFERROR(CORREL(BA6:BA105,W6:W105),0)</f>
        <v>0</v>
      </c>
      <c r="AB127" s="56">
        <f>IFERROR(CORREL(BC6:BC105,W6:W105),0)</f>
        <v>0</v>
      </c>
      <c r="AC127" s="56">
        <f>IFERROR(CORREL(BE6:BE105,W6:W105),0)</f>
        <v>0</v>
      </c>
      <c r="AD127" s="56">
        <f>IFERROR(CORREL(BG6:BG105,W6:W105),0)</f>
        <v>0</v>
      </c>
      <c r="AE127" s="229">
        <f>IFERROR(CORREL(BI6:BI105,W6:W105),0)</f>
        <v>0</v>
      </c>
      <c r="AF127" s="229">
        <f>IFERROR(CORREL($BK$6:$BK$105,$W$6:$W$105),0)</f>
        <v>0</v>
      </c>
      <c r="AG127" s="229">
        <f>IFERROR(CORREL($BM$6:$BM$105,$W$6:$W$105),0)</f>
        <v>0</v>
      </c>
      <c r="AH127" s="229">
        <f>IFERROR(CORREL($BO$6:$BO$105,$W$6:$W$105),0)</f>
        <v>0</v>
      </c>
      <c r="AI127"/>
      <c r="AJ127" s="182"/>
      <c r="AK127"/>
      <c r="AL127" s="182"/>
      <c r="AM127"/>
      <c r="AO127"/>
      <c r="AQ127"/>
      <c r="AS127"/>
      <c r="AU127"/>
      <c r="AW127"/>
      <c r="AY127"/>
      <c r="BA127"/>
      <c r="BC127"/>
      <c r="BE127"/>
    </row>
    <row r="128" spans="1:67" ht="17.25" thickBot="1" x14ac:dyDescent="0.35">
      <c r="B128" s="170" t="s">
        <v>954</v>
      </c>
      <c r="C128" s="56">
        <f>IFERROR(CORREL(E6:E105,Y6:Y105),0)</f>
        <v>0</v>
      </c>
      <c r="D128" s="56">
        <f>IFERROR(CORREL(G6:G105,Y6:Y105),0)</f>
        <v>0</v>
      </c>
      <c r="E128" s="56">
        <f>IFERROR(CORREL(I6:I105,Y6:Y105),0)</f>
        <v>0</v>
      </c>
      <c r="F128" s="56">
        <f>IFERROR(CORREL(K6:K105,Y6:Y105),0)</f>
        <v>0</v>
      </c>
      <c r="G128" s="56">
        <f>IFERROR(CORREL(M6:M105,Y5:Y106),0)</f>
        <v>0</v>
      </c>
      <c r="H128" s="56">
        <f>IFERROR(CORREL(O6:O105,Y6:Y105),0)</f>
        <v>0</v>
      </c>
      <c r="I128" s="56">
        <f>IFERROR(CORREL(Q6:Q105,Y6:Y105),0)</f>
        <v>0</v>
      </c>
      <c r="J128" s="56">
        <f>IFERROR(CORREL(S6:S105,Y6:Y105),0)</f>
        <v>0</v>
      </c>
      <c r="K128" s="56">
        <f>IFERROR(CORREL(U6:U105,Y6:Y105),0)</f>
        <v>0</v>
      </c>
      <c r="L128" s="56">
        <f>IFERROR(CORREL($W6:W$105,Y6:Y105),0)</f>
        <v>0</v>
      </c>
      <c r="M128" s="185">
        <f>IFERROR(CORREL($Y$6:$Y$105,Y6:Y105),0)</f>
        <v>0</v>
      </c>
      <c r="N128" s="56">
        <f>IFERROR(CORREL($AA$6:$AA$105,Y6:Y105),0)</f>
        <v>0</v>
      </c>
      <c r="O128" s="56">
        <f>IFERROR(CORREL($AC$6:$AC$105,Y6:Y105),0)</f>
        <v>0</v>
      </c>
      <c r="P128" s="56">
        <f>IFERROR(CORREL($AE$6:$AE$105,Y6:Y105),0)</f>
        <v>0</v>
      </c>
      <c r="Q128" s="56">
        <f>IFERROR(CORREL($AG$6:$AG$105,Y6:Y105),0)</f>
        <v>0</v>
      </c>
      <c r="R128" s="56">
        <f>IFERROR(CORREL($AI$6:$AI$105,Y6:Y105),0)</f>
        <v>0</v>
      </c>
      <c r="S128" s="56">
        <f>IFERROR(CORREL($AK$6:$AK$105,Y6:Y105),0)</f>
        <v>0</v>
      </c>
      <c r="T128" s="56">
        <f>IFERROR(CORREL($AM$6:$AM$105,Y6:Y105),0)</f>
        <v>0</v>
      </c>
      <c r="U128" s="56">
        <f>IFERROR(CORREL($AO$6:$AO$105,Y6:Y105),0)</f>
        <v>0</v>
      </c>
      <c r="V128" s="56">
        <f>IFERROR(CORREL($AQ$6:$AQ$105,Y6:Y105),0)</f>
        <v>0</v>
      </c>
      <c r="W128" s="56">
        <f>IFERROR(CORREL(AS6:AS105,Y6:Y105),0)</f>
        <v>0</v>
      </c>
      <c r="X128" s="56">
        <f>IFERROR(CORREL(AU6:AU105,Y6:Y105),0)</f>
        <v>0</v>
      </c>
      <c r="Y128" s="56">
        <f>IFERROR(CORREL(AW6:AW105,Y6:Y105),0)</f>
        <v>0</v>
      </c>
      <c r="Z128" s="56">
        <f>IFERROR(CORREL(AY6:AY105,Y6:Y105),0)</f>
        <v>0</v>
      </c>
      <c r="AA128" s="56">
        <f>IFERROR(CORREL(BA6:BA105,Y6:Y105),0)</f>
        <v>0</v>
      </c>
      <c r="AB128" s="56">
        <f>IFERROR(CORREL(BC6:BC105,Y6:Y105),0)</f>
        <v>0</v>
      </c>
      <c r="AC128" s="56">
        <f>IFERROR(CORREL(BE6:BE105,Y6:Y105),0)</f>
        <v>0</v>
      </c>
      <c r="AD128" s="56">
        <f>IFERROR(CORREL(BG6:BG105,Y6:Y105),0)</f>
        <v>0</v>
      </c>
      <c r="AE128" s="229">
        <f>IFERROR(CORREL(BI6:BI105,Y6:Y105),0)</f>
        <v>0</v>
      </c>
      <c r="AF128" s="229">
        <f>IFERROR(CORREL($BK$6:$BK$105,$Y$6:$Y$105),0)</f>
        <v>0</v>
      </c>
      <c r="AG128" s="229">
        <f>IFERROR(CORREL($BM$6:$BM$105,$Y$6:$Y$105),0)</f>
        <v>0</v>
      </c>
      <c r="AH128" s="229">
        <f>IFERROR(CORREL($BO$6:$BO$105,$Y$6:$Y$105),0)</f>
        <v>0</v>
      </c>
      <c r="AI128"/>
      <c r="AJ128" s="182"/>
      <c r="AK128"/>
      <c r="AL128" s="182"/>
      <c r="AM128"/>
      <c r="AO128"/>
      <c r="AQ128"/>
      <c r="AS128"/>
      <c r="AU128"/>
      <c r="AW128"/>
      <c r="AY128"/>
      <c r="BA128"/>
      <c r="BC128"/>
      <c r="BE128"/>
    </row>
    <row r="129" spans="2:57" ht="17.25" thickBot="1" x14ac:dyDescent="0.35">
      <c r="B129" s="170" t="s">
        <v>955</v>
      </c>
      <c r="C129" s="56">
        <f>IFERROR(CORREL(E6:E105,AA6:AA105),0)</f>
        <v>0</v>
      </c>
      <c r="D129" s="56">
        <f>IFERROR(CORREL(G6:G105,AA6:AA105),0)</f>
        <v>0</v>
      </c>
      <c r="E129" s="56">
        <f>IFERROR(CORREL(I6:I105,AA6:AA105),0)</f>
        <v>0</v>
      </c>
      <c r="F129" s="56">
        <f>IFERROR(CORREL(K6:K105,AA6:AA105),0)</f>
        <v>0</v>
      </c>
      <c r="G129" s="56">
        <f>IFERROR(CORREL(M6:M105,AA6:AA105),0)</f>
        <v>0</v>
      </c>
      <c r="H129" s="56">
        <f>IFERROR(CORREL(O6:O105,AA5:AA106),0)</f>
        <v>0</v>
      </c>
      <c r="I129" s="56">
        <f>IFERROR(CORREL(Q6:Q105,AA6:AA105),0)</f>
        <v>0</v>
      </c>
      <c r="J129" s="56">
        <f>IFERROR(CORREL(S6:S105,AA6:AA105),0)</f>
        <v>0</v>
      </c>
      <c r="K129" s="56">
        <f>IFERROR(CORREL(U6:U105,AA6:AA105),0)</f>
        <v>0</v>
      </c>
      <c r="L129" s="56">
        <f>IFERROR(CORREL(W6:W105,AA6:AA105),0)</f>
        <v>0</v>
      </c>
      <c r="M129" s="56">
        <f>IFERROR(CORREL($Y6:Y$105,AA6:AA105),0)</f>
        <v>0</v>
      </c>
      <c r="N129" s="185">
        <f>IFERROR(CORREL($AA$6:$AA$105,AA6:AA105),0)</f>
        <v>0</v>
      </c>
      <c r="O129" s="56">
        <f>IFERROR(CORREL($AC$6:$AC$105,AA6:AA105),0)</f>
        <v>0</v>
      </c>
      <c r="P129" s="56">
        <f>IFERROR(CORREL($AE$6:$AE$105,AA6:AA105),0)</f>
        <v>0</v>
      </c>
      <c r="Q129" s="56">
        <f>IFERROR(CORREL($AG$6:$AG$105,AA6:AA105),0)</f>
        <v>0</v>
      </c>
      <c r="R129" s="56">
        <f>IFERROR(CORREL($AI$6:$AI$105,AA6:AA105),0)</f>
        <v>0</v>
      </c>
      <c r="S129" s="56">
        <f>IFERROR(CORREL($AK$6:$AK$105,AA6:AA105),0)</f>
        <v>0</v>
      </c>
      <c r="T129" s="56">
        <f>IFERROR(CORREL($AM$6:$AM$105,AA6:AA105),0)</f>
        <v>0</v>
      </c>
      <c r="U129" s="56">
        <f>IFERROR(CORREL($AO$6:$AO$105,AA6:AA105),0)</f>
        <v>0</v>
      </c>
      <c r="V129" s="56">
        <f>IFERROR(CORREL($AQ$6:$AQ$105,AA6:AA105),0)</f>
        <v>0</v>
      </c>
      <c r="W129" s="56">
        <f>IFERROR(CORREL(AS6:AS105,AA6:AA105),0)</f>
        <v>0</v>
      </c>
      <c r="X129" s="56">
        <f>IFERROR(CORREL(AU6:AU105,AA6:AA105),0)</f>
        <v>0</v>
      </c>
      <c r="Y129" s="56">
        <f>IFERROR(CORREL(AW6:AW105,AA6:AA105),0)</f>
        <v>0</v>
      </c>
      <c r="Z129" s="56">
        <f>IFERROR(CORREL(AY6:AY105,AA6:AA105),0)</f>
        <v>0</v>
      </c>
      <c r="AA129" s="56">
        <f>IFERROR(CORREL(BA6:BA105,AA6:AA105),0)</f>
        <v>0</v>
      </c>
      <c r="AB129" s="56">
        <f>IFERROR(CORREL(BC6:BC105,AA6:AA105),0)</f>
        <v>0</v>
      </c>
      <c r="AC129" s="56">
        <f>IFERROR(CORREL(BE6:BE105,AA6:AA105),0)</f>
        <v>0</v>
      </c>
      <c r="AD129" s="56">
        <f>IFERROR(CORREL(BG6:BG105,AA6:AA105),0)</f>
        <v>0</v>
      </c>
      <c r="AE129" s="56">
        <f>IFERROR(CORREL(BI6:BI105,AA6:AA105),0)</f>
        <v>0</v>
      </c>
      <c r="AF129" s="229">
        <f>IFERROR(CORREL($BK$6:$BK$105,$AA$6:$AA$105),0)</f>
        <v>0</v>
      </c>
      <c r="AG129" s="229">
        <f>IFERROR(CORREL($BM$6:$BM$105,$AA$6:$AA$105),0)</f>
        <v>0</v>
      </c>
      <c r="AH129" s="229">
        <f>IFERROR(CORREL($BO$6:$BO$105,$AA$6:$AA$105),0)</f>
        <v>0</v>
      </c>
      <c r="AI129"/>
      <c r="AJ129" s="182"/>
      <c r="AK129"/>
      <c r="AL129" s="182"/>
      <c r="AM129"/>
      <c r="AO129"/>
      <c r="AQ129"/>
      <c r="AS129"/>
      <c r="AU129"/>
      <c r="AW129"/>
      <c r="AY129"/>
      <c r="BA129"/>
      <c r="BC129"/>
      <c r="BE129"/>
    </row>
    <row r="130" spans="2:57" ht="17.25" thickBot="1" x14ac:dyDescent="0.35">
      <c r="B130" s="170" t="s">
        <v>956</v>
      </c>
      <c r="C130" s="56">
        <f>IFERROR(CORREL(E6:E105,AC6:AC106),0)</f>
        <v>0</v>
      </c>
      <c r="D130" s="56">
        <f>IFERROR(CORREL(G6:G105,AC6:AC105),0)</f>
        <v>0</v>
      </c>
      <c r="E130" s="56">
        <f>IFERROR(CORREL(I6:I105,AC6:AC105),0)</f>
        <v>0</v>
      </c>
      <c r="F130" s="56">
        <f>IFERROR(CORREL(K6:K105,AC6:AC105),0)</f>
        <v>0</v>
      </c>
      <c r="G130" s="56">
        <f>IFERROR(CORREL(M6:M105,AC6:AC105),0)</f>
        <v>0</v>
      </c>
      <c r="H130" s="56">
        <f>IFERROR(CORREL(O6:O105,AC6:AC105),0)</f>
        <v>0</v>
      </c>
      <c r="I130" s="56">
        <f>IFERROR(CORREL(Q6:Q105,AC5:AC106),0)</f>
        <v>0</v>
      </c>
      <c r="J130" s="56">
        <f>IFERROR(CORREL(S6:S105,AC6:AC105),0)</f>
        <v>0</v>
      </c>
      <c r="K130" s="56">
        <f>IFERROR(CORREL(U6:U105,AC6:AC105),0)</f>
        <v>0</v>
      </c>
      <c r="L130" s="56">
        <f>IFERROR(CORREL(W6:W105,AC6:AC105),0)</f>
        <v>0</v>
      </c>
      <c r="M130" s="56">
        <f>IFERROR(CORREL(Y6:Y105,AC6:AC105),0)</f>
        <v>0</v>
      </c>
      <c r="N130" s="56">
        <f>IFERROR(CORREL($AA6:AA$105,AC6:AC105),0)</f>
        <v>0</v>
      </c>
      <c r="O130" s="185">
        <f>IFERROR(CORREL($AC$6:$AC$105,AC6:AC105),0)</f>
        <v>0</v>
      </c>
      <c r="P130" s="56">
        <f>IFERROR(CORREL($AE$6:$AE$105,AC6:AC105),0)</f>
        <v>0</v>
      </c>
      <c r="Q130" s="56">
        <f>IFERROR(CORREL($AG$6:$AG$105,AC6:AC105),0)</f>
        <v>0</v>
      </c>
      <c r="R130" s="56">
        <f>IFERROR(CORREL($AI$6:$AI$105,AC6:AC105),0)</f>
        <v>0</v>
      </c>
      <c r="S130" s="56">
        <f>IFERROR(CORREL($AK$6:$AK$105,AC6:AC105),0)</f>
        <v>0</v>
      </c>
      <c r="T130" s="56">
        <f>IFERROR(CORREL($AM$6:$AM$105,AC6:AC105),0)</f>
        <v>0</v>
      </c>
      <c r="U130" s="56">
        <f>IFERROR(CORREL($AO$6:$AO$105,AC6:AC105),0)</f>
        <v>0</v>
      </c>
      <c r="V130" s="56">
        <f>IFERROR(CORREL($AQ$6:$AQ$105,AC6:AC105),0)</f>
        <v>0</v>
      </c>
      <c r="W130" s="56">
        <f>IFERROR(CORREL(AS6:AS105,AC6:AC105),0)</f>
        <v>0</v>
      </c>
      <c r="X130" s="56">
        <f>IFERROR(CORREL(AU6:AU105,AC6:AC105),0)</f>
        <v>0</v>
      </c>
      <c r="Y130" s="56">
        <f>IFERROR(CORREL(AW6:AW105,AC6:AC105),0)</f>
        <v>0</v>
      </c>
      <c r="Z130" s="56">
        <f>IFERROR(CORREL(AY6:AY105,AC6:AC105),0)</f>
        <v>0</v>
      </c>
      <c r="AA130" s="56">
        <f>IFERROR(CORREL(BA6:BA105,AC6:AC105),0)</f>
        <v>0</v>
      </c>
      <c r="AB130" s="56">
        <f>IFERROR(CORREL(BC6:BC105,AC6:AC105),0)</f>
        <v>0</v>
      </c>
      <c r="AC130" s="56">
        <f>IFERROR(CORREL(BE6:BE105,AC6:AC105),0)</f>
        <v>0</v>
      </c>
      <c r="AD130" s="56">
        <f>IFERROR(CORREL(BG6:BG105,AC6:AC105),0)</f>
        <v>0</v>
      </c>
      <c r="AE130" s="56">
        <f>IFERROR(CORREL(BI6:BI105,AC6:AC105),0)</f>
        <v>0</v>
      </c>
      <c r="AF130" s="229">
        <f>IFERROR(CORREL($BK$6:$BK$105,$AC$6:$AC$105),0)</f>
        <v>0</v>
      </c>
      <c r="AG130" s="229">
        <f>IFERROR(CORREL($BM$6:$BM$105,$AC$6:$AC$105),0)</f>
        <v>0</v>
      </c>
      <c r="AH130" s="229">
        <f>IFERROR(CORREL($BO$6:$BO$105,$AC$6:$AC$105),0)</f>
        <v>0</v>
      </c>
      <c r="AI130"/>
      <c r="AJ130" s="182"/>
      <c r="AK130"/>
      <c r="AL130" s="182"/>
      <c r="AM130"/>
      <c r="AO130"/>
      <c r="AQ130"/>
      <c r="AS130"/>
      <c r="AU130"/>
      <c r="AW130"/>
      <c r="AY130"/>
      <c r="BA130"/>
      <c r="BC130"/>
      <c r="BE130"/>
    </row>
    <row r="131" spans="2:57" ht="17.25" thickBot="1" x14ac:dyDescent="0.35">
      <c r="B131" s="170" t="s">
        <v>957</v>
      </c>
      <c r="C131" s="56">
        <f>IFERROR(CORREL(E6:E105,AE6:AE105),0)</f>
        <v>0</v>
      </c>
      <c r="D131" s="56">
        <f>IFERROR(CORREL(G6:G105,AE6:AE106),0)</f>
        <v>0</v>
      </c>
      <c r="E131" s="56">
        <f>IFERROR(CORREL(I6:I105,AE6:AE105),0)</f>
        <v>0</v>
      </c>
      <c r="F131" s="56">
        <f>IFERROR(CORREL(K6:K105,AE6:AE105),0)</f>
        <v>0</v>
      </c>
      <c r="G131" s="56">
        <f>IFERROR(CORREL(M6:M105,AE6:AE105),0)</f>
        <v>0</v>
      </c>
      <c r="H131" s="56">
        <f>IFERROR(CORREL(O6:O105,AE6:AE105),0)</f>
        <v>0</v>
      </c>
      <c r="I131" s="56">
        <f>IFERROR(CORREL(Q6:Q105,AE6:AE105),0)</f>
        <v>0</v>
      </c>
      <c r="J131" s="56">
        <f>IFERROR(CORREL(S6:S105,AE5:AE106),0)</f>
        <v>0</v>
      </c>
      <c r="K131" s="56">
        <f>IFERROR(CORREL(U6:U105,AE6:AE105),0)</f>
        <v>0</v>
      </c>
      <c r="L131" s="56">
        <f>IFERROR(CORREL(W6:W105,AE6:AE105),0)</f>
        <v>0</v>
      </c>
      <c r="M131" s="56">
        <f>IFERROR(CORREL(Y6:Y105,AE6:AE105),0)</f>
        <v>0</v>
      </c>
      <c r="N131" s="56">
        <f>IFERROR(CORREL(AA6:AA105,AE6:AE105),0)</f>
        <v>0</v>
      </c>
      <c r="O131" s="56">
        <f>IFERROR(CORREL($AC6:AC$105,AE6:AE105),0)</f>
        <v>0</v>
      </c>
      <c r="P131" s="185">
        <f>IFERROR(CORREL($AE$6:$AE$105,AE6:AE105),0)</f>
        <v>0</v>
      </c>
      <c r="Q131" s="56">
        <f>IFERROR(CORREL($AG$6:$AG$105,AE6:AE105),0)</f>
        <v>0</v>
      </c>
      <c r="R131" s="56">
        <f>IFERROR(CORREL($AI$6:$AI$105,AE6:AE105),0)</f>
        <v>0</v>
      </c>
      <c r="S131" s="56">
        <f>IFERROR(CORREL($AK$6:$AK$105,AE6:AE105),0)</f>
        <v>0</v>
      </c>
      <c r="T131" s="56">
        <f>IFERROR(CORREL($AM$6:$AM$105,AE6:AE105),0)</f>
        <v>0</v>
      </c>
      <c r="U131" s="56">
        <f>IFERROR(CORREL($AO$6:$AO$105,AE6:AE105),0)</f>
        <v>0</v>
      </c>
      <c r="V131" s="56">
        <f>IFERROR(CORREL($AQ$6:$AQ$105,AE6:AE105),0)</f>
        <v>0</v>
      </c>
      <c r="W131" s="56">
        <f>IFERROR(CORREL(AS6:AS105,AE6:AE105),0)</f>
        <v>0</v>
      </c>
      <c r="X131" s="56">
        <f>IFERROR(CORREL(AU6:AU105,AE6:AE105),0)</f>
        <v>0</v>
      </c>
      <c r="Y131" s="56">
        <f>IFERROR(CORREL(AW6:AW105,AE6:AE105),0)</f>
        <v>0</v>
      </c>
      <c r="Z131" s="56">
        <f>IFERROR(CORREL(AY6:AY105,AE6:AE105),0)</f>
        <v>0</v>
      </c>
      <c r="AA131" s="56">
        <f>IFERROR(CORREL(BA6:BA105,AE6:AE105),0)</f>
        <v>0</v>
      </c>
      <c r="AB131" s="56">
        <f>IFERROR(CORREL(BC6:BC105,AE6:AE105),0)</f>
        <v>0</v>
      </c>
      <c r="AC131" s="56">
        <f>IFERROR(CORREL(BE6:BE105,AE6:AE105),0)</f>
        <v>0</v>
      </c>
      <c r="AD131" s="56">
        <f>IFERROR(CORREL(BG6:BG105,AE6:AE105),0)</f>
        <v>0</v>
      </c>
      <c r="AE131" s="56">
        <f>IFERROR(CORREL(BI6:BI105,AE6:AE105),0)</f>
        <v>0</v>
      </c>
      <c r="AF131" s="229">
        <f>IFERROR(CORREL($BK$6:$BK$105,$AE$6:$AE$105),0)</f>
        <v>0</v>
      </c>
      <c r="AG131" s="229">
        <f>IFERROR(CORREL($BM$6:$BM$105,$AE$6:$AE$105),0)</f>
        <v>0</v>
      </c>
      <c r="AH131" s="229">
        <f>IFERROR(CORREL($BO$6:$BO$105,$AE$6:$AE$105),0)</f>
        <v>0</v>
      </c>
      <c r="AI131"/>
      <c r="AJ131" s="182"/>
      <c r="AK131"/>
      <c r="AL131" s="182"/>
      <c r="AM131"/>
      <c r="AO131"/>
      <c r="AQ131"/>
      <c r="AS131"/>
      <c r="AU131"/>
      <c r="AW131"/>
      <c r="AY131"/>
      <c r="BA131"/>
      <c r="BC131"/>
      <c r="BE131"/>
    </row>
    <row r="132" spans="2:57" ht="17.25" thickBot="1" x14ac:dyDescent="0.35">
      <c r="B132" s="170" t="s">
        <v>958</v>
      </c>
      <c r="C132" s="56">
        <f>IFERROR(CORREL(E6:E105,AG6:AG105),0)</f>
        <v>0</v>
      </c>
      <c r="D132" s="56">
        <f>IFERROR(CORREL(G6:G105,AG6:AG105),0)</f>
        <v>0</v>
      </c>
      <c r="E132" s="56">
        <f>IFERROR(CORREL(I6:I105,AG6:AG106),0)</f>
        <v>0</v>
      </c>
      <c r="F132" s="56">
        <f>IFERROR(CORREL(K6:K105,AG6:AG105),0)</f>
        <v>0</v>
      </c>
      <c r="G132" s="56">
        <f>IFERROR(CORREL(M6:M105,AG6:AG105),0)</f>
        <v>0</v>
      </c>
      <c r="H132" s="56">
        <f>IFERROR(CORREL(O6:O105,AG6:AG105),0)</f>
        <v>0</v>
      </c>
      <c r="I132" s="56">
        <f>IFERROR(CORREL(Q6:Q105,AG6:AG105),0)</f>
        <v>0</v>
      </c>
      <c r="J132" s="56">
        <f>IFERROR(CORREL(S6:S105,AG6:AG105),0)</f>
        <v>0</v>
      </c>
      <c r="K132" s="56">
        <f>IFERROR(CORREL(U6:U105,AG5:AG106),0)</f>
        <v>0</v>
      </c>
      <c r="L132" s="56">
        <f>IFERROR(CORREL(W6:W105,AG6:AG105),0)</f>
        <v>0</v>
      </c>
      <c r="M132" s="56">
        <f>IFERROR(CORREL(Y6:Y105,AG6:AG105),0)</f>
        <v>0</v>
      </c>
      <c r="N132" s="56">
        <f>IFERROR(CORREL(AA6:AA105,AG6:AG105),0)</f>
        <v>0</v>
      </c>
      <c r="O132" s="56">
        <f>IFERROR(CORREL(AC6:AC105,AG6:AG105),0)</f>
        <v>0</v>
      </c>
      <c r="P132" s="56">
        <f>IFERROR(CORREL($AE6:AE$105,AG6:AG105),0)</f>
        <v>0</v>
      </c>
      <c r="Q132" s="185">
        <f>IFERROR(CORREL($AG$6:$AG$105,AG6:AG105),0)</f>
        <v>0</v>
      </c>
      <c r="R132" s="56">
        <f>IFERROR(CORREL($AI$6:$AI$105,AG6:AG105),0)</f>
        <v>0</v>
      </c>
      <c r="S132" s="56">
        <f>IFERROR(CORREL($AK$6:$AK$105,AG6:AG105),0)</f>
        <v>0</v>
      </c>
      <c r="T132" s="56">
        <f>IFERROR(CORREL($AM$6:$AM$105,AG6:AG105),0)</f>
        <v>0</v>
      </c>
      <c r="U132" s="56">
        <f>IFERROR(CORREL($AO$6:$AO$105,AG6:AG105),0)</f>
        <v>0</v>
      </c>
      <c r="V132" s="56">
        <f>IFERROR(CORREL($AQ$6:$AQ$105,AG6:AG105),0)</f>
        <v>0</v>
      </c>
      <c r="W132" s="56">
        <f>IFERROR(CORREL(AS6:AS105,AG6:AG105),0)</f>
        <v>0</v>
      </c>
      <c r="X132" s="56">
        <f>IFERROR(CORREL(AU6:AU105,AG6:AG105),0)</f>
        <v>0</v>
      </c>
      <c r="Y132" s="56">
        <f>IFERROR(CORREL(AW6:AW105,AG6:AG105),0)</f>
        <v>0</v>
      </c>
      <c r="Z132" s="56">
        <f>IFERROR(CORREL(AY6:AY105,AG6:AG105),0)</f>
        <v>0</v>
      </c>
      <c r="AA132" s="56">
        <f>IFERROR(CORREL(BA6:BA105,AG6:AG105),0)</f>
        <v>0</v>
      </c>
      <c r="AB132" s="56">
        <f>IFERROR(CORREL(BC6:BC105,AG6:AG105),0)</f>
        <v>0</v>
      </c>
      <c r="AC132" s="56">
        <f>IFERROR(CORREL(BE6:BE105,AG6:AG105),0)</f>
        <v>0</v>
      </c>
      <c r="AD132" s="56">
        <f>IFERROR(CORREL(BG6:BG105,AG6:AG105),0)</f>
        <v>0</v>
      </c>
      <c r="AE132" s="56">
        <f>IFERROR(CORREL(BI6:BI105,AG6:AG105),0)</f>
        <v>0</v>
      </c>
      <c r="AF132" s="229">
        <f>IFERROR(CORREL($BK$6:$BK$105,$AG$6:$AG$105),0)</f>
        <v>0</v>
      </c>
      <c r="AG132" s="229">
        <f>IFERROR(CORREL($BM$6:$BM$105,$AG$6:$AG$105),0)</f>
        <v>0</v>
      </c>
      <c r="AH132" s="229">
        <f>IFERROR(CORREL($BO$6:$BO$105,$AG$6:$AG$105),0)</f>
        <v>0</v>
      </c>
      <c r="AI132"/>
      <c r="AJ132" s="182"/>
      <c r="AK132"/>
      <c r="AL132" s="182"/>
      <c r="AM132"/>
      <c r="AO132"/>
      <c r="AQ132"/>
      <c r="AS132"/>
      <c r="AU132"/>
      <c r="AW132"/>
      <c r="AY132"/>
      <c r="BA132"/>
      <c r="BC132"/>
      <c r="BE132"/>
    </row>
    <row r="133" spans="2:57" ht="17.25" thickBot="1" x14ac:dyDescent="0.35">
      <c r="B133" s="170" t="s">
        <v>959</v>
      </c>
      <c r="C133" s="56">
        <f>IFERROR(CORREL(E6:E105,AI6:AI105),0)</f>
        <v>0</v>
      </c>
      <c r="D133" s="56">
        <f>IFERROR(CORREL(G6:G105,AI6:AI105),0)</f>
        <v>0</v>
      </c>
      <c r="E133" s="56">
        <f>IFERROR(CORREL(I6:I105,AI6:AI105),0)</f>
        <v>0</v>
      </c>
      <c r="F133" s="56">
        <f>IFERROR(CORREL(K6:K105,AI6:AI106),0)</f>
        <v>0</v>
      </c>
      <c r="G133" s="56">
        <f>IFERROR(CORREL(M6:M105,AI6:AI105),0)</f>
        <v>0</v>
      </c>
      <c r="H133" s="56">
        <f>IFERROR(CORREL(O6:O105,AI6:AI105),0)</f>
        <v>0</v>
      </c>
      <c r="I133" s="56">
        <f>IFERROR(CORREL(Q6:Q105,AI6:AI105),0)</f>
        <v>0</v>
      </c>
      <c r="J133" s="56">
        <f>IFERROR(CORREL(S6:S105,AI6:AI105),0)</f>
        <v>0</v>
      </c>
      <c r="K133" s="56">
        <f>IFERROR(CORREL(U6:U105,AI6:AI105),0)</f>
        <v>0</v>
      </c>
      <c r="L133" s="56">
        <f>IFERROR(CORREL(W6:W105,AI5:AI106),0)</f>
        <v>0</v>
      </c>
      <c r="M133" s="56">
        <f>IFERROR(CORREL(Y6:Y105,AI6:AI105),0)</f>
        <v>0</v>
      </c>
      <c r="N133" s="56">
        <f>IFERROR(CORREL(AA6:AA105,AI6:AI105),0)</f>
        <v>0</v>
      </c>
      <c r="O133" s="56">
        <f>IFERROR(CORREL(AC6:AC105,AI6:AI105),0)</f>
        <v>0</v>
      </c>
      <c r="P133" s="56">
        <f>IFERROR(CORREL(AE6:AE105,AI6:AI105),0)</f>
        <v>0</v>
      </c>
      <c r="Q133" s="56">
        <f>IFERROR(CORREL($AG6:AG$105,AI6:AI105),0)</f>
        <v>0</v>
      </c>
      <c r="R133" s="185">
        <f>IFERROR(CORREL($AI$6:$AI$105,AI6:AI105),0)</f>
        <v>0</v>
      </c>
      <c r="S133" s="56">
        <f>IFERROR(CORREL($AK$6:$AK$105,AI6:AI105),0)</f>
        <v>0</v>
      </c>
      <c r="T133" s="56">
        <f>IFERROR(CORREL($AM$6:$AM$105,AI6:AI105),0)</f>
        <v>0</v>
      </c>
      <c r="U133" s="56">
        <f>IFERROR(CORREL($AO$6:$AO$105,AI6:AI105),0)</f>
        <v>0</v>
      </c>
      <c r="V133" s="56">
        <f>IFERROR(CORREL($AQ$6:$AQ$105,AI6:AI105),0)</f>
        <v>0</v>
      </c>
      <c r="W133" s="56">
        <f>IFERROR(CORREL(AS6:AS105,AI6:AI105),0)</f>
        <v>0</v>
      </c>
      <c r="X133" s="56">
        <f>IFERROR(CORREL(AU6:AU105,AI6:AI105),0)</f>
        <v>0</v>
      </c>
      <c r="Y133" s="56">
        <f>IFERROR(CORREL(AW6:AW105,AI6:AI105),0)</f>
        <v>0</v>
      </c>
      <c r="Z133" s="56">
        <f>IFERROR(CORREL(AY6:AY105,AI6:AI105),0)</f>
        <v>0</v>
      </c>
      <c r="AA133" s="56">
        <f>IFERROR(CORREL(BA6:BA105,AI6:AI105),0)</f>
        <v>0</v>
      </c>
      <c r="AB133" s="56">
        <f>IFERROR(CORREL(BC6:BC105,AI6:AI105),0)</f>
        <v>0</v>
      </c>
      <c r="AC133" s="56">
        <f>IFERROR(CORREL(BE6:BE105,AI6:AI105),0)</f>
        <v>0</v>
      </c>
      <c r="AD133" s="56">
        <f>IFERROR(CORREL(BG6:BG105,AI6:AI105),0)</f>
        <v>0</v>
      </c>
      <c r="AE133" s="56">
        <f>IFERROR(CORREL(BI6:BI105,AI6:AI105),0)</f>
        <v>0</v>
      </c>
      <c r="AF133" s="229">
        <f>IFERROR(CORREL($BK$6:$BK$105,$AI$6:$AI$105),0)</f>
        <v>0</v>
      </c>
      <c r="AG133" s="229">
        <f>IFERROR(CORREL($BM$6:$BM$105,$AI$6:$AI$105),0)</f>
        <v>0</v>
      </c>
      <c r="AH133" s="229">
        <f>IFERROR(CORREL($BO$6:$BO$105,$AI$6:$AI$105),0)</f>
        <v>0</v>
      </c>
      <c r="AI133"/>
      <c r="AJ133" s="182"/>
      <c r="AK133"/>
      <c r="AL133" s="182"/>
      <c r="AM133"/>
      <c r="AO133"/>
      <c r="AQ133"/>
      <c r="AS133"/>
      <c r="AU133"/>
      <c r="AW133"/>
      <c r="AY133"/>
      <c r="BA133"/>
      <c r="BC133"/>
      <c r="BE133"/>
    </row>
    <row r="134" spans="2:57" ht="17.25" thickBot="1" x14ac:dyDescent="0.35">
      <c r="B134" s="170" t="s">
        <v>960</v>
      </c>
      <c r="C134" s="56">
        <f>IFERROR(CORREL(E6:E105,AK6:AK105),0)</f>
        <v>0</v>
      </c>
      <c r="D134" s="56">
        <f>IFERROR(CORREL(G6:G105,AK6:AK105),0)</f>
        <v>0</v>
      </c>
      <c r="E134" s="56">
        <f>IFERROR(CORREL(I6:I105,AK6:AK105),0)</f>
        <v>0</v>
      </c>
      <c r="F134" s="56">
        <f>IFERROR(CORREL(K6:K105,AK6:AK105),0)</f>
        <v>0</v>
      </c>
      <c r="G134" s="56">
        <f>IFERROR(CORREL(M6:M105,AK6:AK106),0)</f>
        <v>0</v>
      </c>
      <c r="H134" s="56">
        <f>IFERROR(CORREL(O6:O105,AK6:AK105),0)</f>
        <v>0</v>
      </c>
      <c r="I134" s="56">
        <f>IFERROR(CORREL(Q6:Q105,AK6:AK105),0)</f>
        <v>0</v>
      </c>
      <c r="J134" s="56">
        <f>IFERROR(CORREL(S6:S105,AK6:AK105),0)</f>
        <v>0</v>
      </c>
      <c r="K134" s="56">
        <f>IFERROR(CORREL(U6:U105,AK6:AK105),0)</f>
        <v>0</v>
      </c>
      <c r="L134" s="56">
        <f>IFERROR(CORREL(W6:W105,AK6:AK105),0)</f>
        <v>0</v>
      </c>
      <c r="M134" s="56">
        <f>IFERROR(CORREL(Y6:Y105,AK5:AK106),0)</f>
        <v>0</v>
      </c>
      <c r="N134" s="56">
        <f>IFERROR(CORREL(AA6:AA105,AK6:AK105),0)</f>
        <v>0</v>
      </c>
      <c r="O134" s="56">
        <f>IFERROR(CORREL(AC6:AC105,AK6:AK105),0)</f>
        <v>0</v>
      </c>
      <c r="P134" s="56">
        <f>IFERROR(CORREL(AE6:AE105,AK6:AK105),0)</f>
        <v>0</v>
      </c>
      <c r="Q134" s="56">
        <f>IFERROR(CORREL(AG6:AG105,AK6:AK105),0)</f>
        <v>0</v>
      </c>
      <c r="R134" s="56">
        <f>IFERROR(CORREL($AI6:AI$105,AK6:AK105),0)</f>
        <v>0</v>
      </c>
      <c r="S134" s="185">
        <f>IFERROR(CORREL($AK$6:$AK$105,AK6:AK105),0)</f>
        <v>0</v>
      </c>
      <c r="T134" s="56">
        <f>IFERROR(CORREL($AM$6:$AM$105,AK6:AK105),0)</f>
        <v>0</v>
      </c>
      <c r="U134" s="56">
        <f>IFERROR(CORREL($AO$6:$AO$105,AK6:AK105),0)</f>
        <v>0</v>
      </c>
      <c r="V134" s="56">
        <f>IFERROR(CORREL($AQ$6:$AQ$105,AK6:AK105),0)</f>
        <v>0</v>
      </c>
      <c r="W134" s="56">
        <f>IFERROR(CORREL(AS6:AS105,AK6:AK105),0)</f>
        <v>0</v>
      </c>
      <c r="X134" s="56">
        <f>IFERROR(CORREL(AU6:AU105,AK6:AK105),0)</f>
        <v>0</v>
      </c>
      <c r="Y134" s="56">
        <f>IFERROR(CORREL(AW6:AW105,AK6:AK105),0)</f>
        <v>0</v>
      </c>
      <c r="Z134" s="56">
        <f>IFERROR(CORREL(AY6:AY105,AK6:AK105),0)</f>
        <v>0</v>
      </c>
      <c r="AA134" s="56">
        <f>IFERROR(CORREL(BA6:BA105,AK6:AK105),0)</f>
        <v>0</v>
      </c>
      <c r="AB134" s="56">
        <f>IFERROR(CORREL(BC6:BC105,AK6:AK105),0)</f>
        <v>0</v>
      </c>
      <c r="AC134" s="56">
        <f>IFERROR(CORREL(BE6:BE105,AK6:AK105),0)</f>
        <v>0</v>
      </c>
      <c r="AD134" s="56">
        <f>IFERROR(CORREL(BG6:BG105,AK6:AK105),0)</f>
        <v>0</v>
      </c>
      <c r="AE134" s="56">
        <f>IFERROR(CORREL(BI6:BI105,AK6:AK105),0)</f>
        <v>0</v>
      </c>
      <c r="AF134" s="229">
        <f>IFERROR(CORREL($BK$6:$BK$105,$AK$6:$AK$105),0)</f>
        <v>0</v>
      </c>
      <c r="AG134" s="229">
        <f>IFERROR(CORREL($BM$6:$BM$105,$AK$6:$AK$105),0)</f>
        <v>0</v>
      </c>
      <c r="AH134" s="229">
        <f>IFERROR(CORREL($BO$6:$BO$105,$AK$6:$AK$105),0)</f>
        <v>0</v>
      </c>
      <c r="AI134"/>
      <c r="AJ134" s="182"/>
      <c r="AK134"/>
      <c r="AL134" s="182"/>
      <c r="AM134"/>
      <c r="AO134"/>
      <c r="AQ134"/>
      <c r="AS134"/>
      <c r="AU134"/>
      <c r="AW134"/>
      <c r="AY134"/>
      <c r="BA134"/>
      <c r="BC134"/>
      <c r="BE134"/>
    </row>
    <row r="135" spans="2:57" ht="17.25" thickBot="1" x14ac:dyDescent="0.35">
      <c r="B135" s="170" t="s">
        <v>961</v>
      </c>
      <c r="C135" s="56">
        <f>IFERROR(CORREL(E6:E105,AM6:AM105),0)</f>
        <v>0</v>
      </c>
      <c r="D135" s="56">
        <f>IFERROR(CORREL(G6:G105,AM6:AM105),0)</f>
        <v>0</v>
      </c>
      <c r="E135" s="56">
        <f>IFERROR(CORREL(I6:I105,AM6:AM105),0)</f>
        <v>0</v>
      </c>
      <c r="F135" s="56">
        <f>IFERROR(CORREL(K6:K105,AM6:AM105),0)</f>
        <v>0</v>
      </c>
      <c r="G135" s="56">
        <f>IFERROR(CORREL(M6:M105,AM6:AM105),0)</f>
        <v>0</v>
      </c>
      <c r="H135" s="56">
        <f>IFERROR(CORREL(O6:O105,AM6:AM106),0)</f>
        <v>0</v>
      </c>
      <c r="I135" s="56">
        <f>IFERROR(CORREL(Q6:Q105,AM6:AM105),0)</f>
        <v>0</v>
      </c>
      <c r="J135" s="56">
        <f>IFERROR(CORREL(S6:S105,AM6:AM105),0)</f>
        <v>0</v>
      </c>
      <c r="K135" s="56">
        <f>IFERROR(CORREL(U6:U105,AM6:AM105),0)</f>
        <v>0</v>
      </c>
      <c r="L135" s="56">
        <f>IFERROR(CORREL(W6:W105,AM6:AM105),0)</f>
        <v>0</v>
      </c>
      <c r="M135" s="56">
        <f>IFERROR(CORREL(Y6:Y105,AM6:AM105),0)</f>
        <v>0</v>
      </c>
      <c r="N135" s="56">
        <f>IFERROR(CORREL(AA6:AA105,AM5:AM106),0)</f>
        <v>0</v>
      </c>
      <c r="O135" s="56">
        <f>IFERROR(CORREL(AC6:AC105,AM6:AM105),0)</f>
        <v>0</v>
      </c>
      <c r="P135" s="56">
        <f>IFERROR(CORREL(AE6:AE105,AM6:AM105),0)</f>
        <v>0</v>
      </c>
      <c r="Q135" s="56">
        <f>IFERROR(CORREL(AG6:AG105,AM6:AM105),0)</f>
        <v>0</v>
      </c>
      <c r="R135" s="56">
        <f>IFERROR(CORREL(AI6:AI105,AM6:AM105),0)</f>
        <v>0</v>
      </c>
      <c r="S135" s="56">
        <f>IFERROR(CORREL($AK6:AK$105,AM6:AM105),0)</f>
        <v>0</v>
      </c>
      <c r="T135" s="185">
        <f>IFERROR(CORREL($AM$6:$AM$105,AM6:AM105),0)</f>
        <v>0</v>
      </c>
      <c r="U135" s="56">
        <f>IFERROR(CORREL($AO$6:$AO$105,AM6:AM105),0)</f>
        <v>0</v>
      </c>
      <c r="V135" s="56">
        <f>IFERROR(CORREL($AQ$6:$AQ$105,AM6:AM105),0)</f>
        <v>0</v>
      </c>
      <c r="W135" s="56">
        <f>IFERROR(CORREL(AS6:AS105,AM6:AM105),0)</f>
        <v>0</v>
      </c>
      <c r="X135" s="56">
        <f>IFERROR(CORREL(AU6:AU105,AM6:AM105),0)</f>
        <v>0</v>
      </c>
      <c r="Y135" s="56">
        <f>IFERROR(CORREL(AW6:AW105,AM6:AM105),0)</f>
        <v>0</v>
      </c>
      <c r="Z135" s="56">
        <f>IFERROR(CORREL(AY6:AY105,AM6:AM105),0)</f>
        <v>0</v>
      </c>
      <c r="AA135" s="56">
        <f>IFERROR(CORREL(BA6:BA105,AM6:AM105),0)</f>
        <v>0</v>
      </c>
      <c r="AB135" s="56">
        <f>IFERROR(CORREL(BC6:BC105,AM6:AM105),0)</f>
        <v>0</v>
      </c>
      <c r="AC135" s="56">
        <f>IFERROR(CORREL(BE6:BE105,AM6:AM105),0)</f>
        <v>0</v>
      </c>
      <c r="AD135" s="56">
        <f>IFERROR(CORREL(BG6:BG105,AM6:AM105),0)</f>
        <v>0</v>
      </c>
      <c r="AE135" s="56">
        <f>IFERROR(CORREL(BI6:BI105,AM6:AM105),0)</f>
        <v>0</v>
      </c>
      <c r="AF135" s="229">
        <f>IFERROR(CORREL($BK$6:$BK$105,$AM$6:$AM$105),0)</f>
        <v>0</v>
      </c>
      <c r="AG135" s="229">
        <f>IFERROR(CORREL($BM$6:$BM$105,$AM$6:$AM$105),0)</f>
        <v>0</v>
      </c>
      <c r="AH135" s="229">
        <f>IFERROR(CORREL($BO$6:$BO$105,$AM$6:$AM$105),0)</f>
        <v>0</v>
      </c>
      <c r="AI135"/>
      <c r="AJ135" s="182"/>
      <c r="AK135"/>
      <c r="AL135" s="182"/>
      <c r="AM135"/>
      <c r="AO135"/>
      <c r="AQ135"/>
      <c r="AS135"/>
      <c r="AU135"/>
      <c r="AW135"/>
      <c r="AY135"/>
      <c r="BA135"/>
      <c r="BC135"/>
      <c r="BE135"/>
    </row>
    <row r="136" spans="2:57" ht="17.25" thickBot="1" x14ac:dyDescent="0.35">
      <c r="B136" s="170" t="s">
        <v>962</v>
      </c>
      <c r="C136" s="56">
        <f>IFERROR(CORREL(E6:E105,AO6:AO105),0)</f>
        <v>0</v>
      </c>
      <c r="D136" s="56">
        <f>IFERROR(CORREL(G6:G105,AO6:AO105),0)</f>
        <v>0</v>
      </c>
      <c r="E136" s="56">
        <f>IFERROR(CORREL(I6:I105,AO6:AO105),0)</f>
        <v>0</v>
      </c>
      <c r="F136" s="56">
        <f>IFERROR(CORREL(K6:K105,AO6:AO105),0)</f>
        <v>0</v>
      </c>
      <c r="G136" s="56">
        <f>IFERROR(CORREL(M6:M105,AO6:AO105),0)</f>
        <v>0</v>
      </c>
      <c r="H136" s="56">
        <f>IFERROR(CORREL(O6:O105,AO6:AO105),0)</f>
        <v>0</v>
      </c>
      <c r="I136" s="56">
        <f>IFERROR(CORREL(Q6:Q105,AO6:AO106),0)</f>
        <v>0</v>
      </c>
      <c r="J136" s="56">
        <f>IFERROR(CORREL(S6:S105,AO6:AO105),0)</f>
        <v>0</v>
      </c>
      <c r="K136" s="56">
        <f>IFERROR(CORREL(U6:U105,AO6:AO105),0)</f>
        <v>0</v>
      </c>
      <c r="L136" s="56">
        <f>IFERROR(CORREL(W6:W105,AO6:AO105),0)</f>
        <v>0</v>
      </c>
      <c r="M136" s="56">
        <f>IFERROR(CORREL(Y6:Y105,AO6:AO105),0)</f>
        <v>0</v>
      </c>
      <c r="N136" s="56">
        <f>IFERROR(CORREL(AA6:AA105,AO6:AO105),0)</f>
        <v>0</v>
      </c>
      <c r="O136" s="56">
        <f>IFERROR(CORREL(AC6:AC105,AO5:AO106),0)</f>
        <v>0</v>
      </c>
      <c r="P136" s="56">
        <f>IFERROR(CORREL(AE6:AE105,AO6:AO105),0)</f>
        <v>0</v>
      </c>
      <c r="Q136" s="56">
        <f>IFERROR(CORREL(AG6:AG105,AO6:AO105),0)</f>
        <v>0</v>
      </c>
      <c r="R136" s="56">
        <f>IFERROR(CORREL(AI6:AI105,AO6:AO105),0)</f>
        <v>0</v>
      </c>
      <c r="S136" s="56">
        <f>IFERROR(CORREL(AK6:AK105,AO6:AO105),0)</f>
        <v>0</v>
      </c>
      <c r="T136" s="56">
        <f>IFERROR(CORREL($AM6:AM$105,AO6:AO105),0)</f>
        <v>0</v>
      </c>
      <c r="U136" s="185">
        <f>IFERROR(CORREL($AO$6:$AO$105,AO6:AO105),0)</f>
        <v>0</v>
      </c>
      <c r="V136" s="56">
        <f>IFERROR(CORREL($AQ$6:$AQ$105,AO6:AO105),0)</f>
        <v>0</v>
      </c>
      <c r="W136" s="56">
        <f>IFERROR(CORREL(AS6:AS105,AO6:AO105),0)</f>
        <v>0</v>
      </c>
      <c r="X136" s="56">
        <f>IFERROR(CORREL(AU6:AU105,AO6:AO105),0)</f>
        <v>0</v>
      </c>
      <c r="Y136" s="56">
        <f>IFERROR(CORREL(AW6:AW105,AO6:AO105),0)</f>
        <v>0</v>
      </c>
      <c r="Z136" s="56">
        <f>IFERROR(CORREL(AY6:AY105,AO6:AO105),0)</f>
        <v>0</v>
      </c>
      <c r="AA136" s="56">
        <f>IFERROR(CORREL(BA6:BA105,AO6:AO105),0)</f>
        <v>0</v>
      </c>
      <c r="AB136" s="56">
        <f>IFERROR(CORREL(BC6:BC105,AO6:AO105),0)</f>
        <v>0</v>
      </c>
      <c r="AC136" s="56">
        <f>IFERROR(CORREL(BE6:BE105,AO6:AO105),0)</f>
        <v>0</v>
      </c>
      <c r="AD136" s="56">
        <f>IFERROR(CORREL(BG6:BG105,AO6:AO105),0)</f>
        <v>0</v>
      </c>
      <c r="AE136" s="56">
        <f>IFERROR(CORREL(BI6:BI105,AO6:AO105),0)</f>
        <v>0</v>
      </c>
      <c r="AF136" s="229">
        <f>IFERROR(CORREL($BK$6:$BK$105,$AO$6:$AO$105),0)</f>
        <v>0</v>
      </c>
      <c r="AG136" s="229">
        <f>IFERROR(CORREL($BM$6:$BM$105,$AO$6:$AO$105),0)</f>
        <v>0</v>
      </c>
      <c r="AH136" s="229">
        <f>IFERROR(CORREL($BO$6:$BO$105,$AO$6:$AO$105),0)</f>
        <v>0</v>
      </c>
      <c r="AI136"/>
      <c r="AJ136" s="182"/>
      <c r="AK136"/>
      <c r="AL136" s="182"/>
      <c r="AM136"/>
      <c r="AO136"/>
      <c r="AQ136"/>
      <c r="AS136"/>
      <c r="AU136"/>
      <c r="AW136"/>
      <c r="AY136"/>
      <c r="BA136"/>
      <c r="BC136"/>
      <c r="BE136"/>
    </row>
    <row r="137" spans="2:57" ht="17.25" thickBot="1" x14ac:dyDescent="0.35">
      <c r="B137" s="170" t="s">
        <v>963</v>
      </c>
      <c r="C137" s="56">
        <f>IFERROR(CORREL(E6:E105,AQ6:AQ105),0)</f>
        <v>0</v>
      </c>
      <c r="D137" s="56">
        <f>IFERROR(CORREL(G6:G105,AQ6:AQ105),0)</f>
        <v>0</v>
      </c>
      <c r="E137" s="56">
        <f>IFERROR(CORREL(I6:I105,AQ6:AQ105),0)</f>
        <v>0</v>
      </c>
      <c r="F137" s="56">
        <f>IFERROR(CORREL(K6:K105,AQ6:AQ105),0)</f>
        <v>0</v>
      </c>
      <c r="G137" s="56">
        <f>IFERROR(CORREL(M6:M105,AQ6:AQ105),0)</f>
        <v>0</v>
      </c>
      <c r="H137" s="56">
        <f>IFERROR(CORREL(O6:O105,AQ6:AQ105),0)</f>
        <v>0</v>
      </c>
      <c r="I137" s="56">
        <f>IFERROR(CORREL(Q6:Q105,AQ6:AQ105),0)</f>
        <v>0</v>
      </c>
      <c r="J137" s="56">
        <f>IFERROR(CORREL(S6:S105,AQ6:AQ106),0)</f>
        <v>0</v>
      </c>
      <c r="K137" s="56">
        <f>IFERROR(CORREL(U6:U105,AQ6:AQ105),0)</f>
        <v>0</v>
      </c>
      <c r="L137" s="56">
        <f>IFERROR(CORREL(W6:W105,AQ6:AQ105),0)</f>
        <v>0</v>
      </c>
      <c r="M137" s="56">
        <f>IFERROR(CORREL(Y6:Y105,AQ6:AQ105),0)</f>
        <v>0</v>
      </c>
      <c r="N137" s="56">
        <f>IFERROR(CORREL(AA6:AA105,AQ6:AQ105),0)</f>
        <v>0</v>
      </c>
      <c r="O137" s="56">
        <f>IFERROR(CORREL(AC6:AC105,AQ6:AQ105),0)</f>
        <v>0</v>
      </c>
      <c r="P137" s="56">
        <f>IFERROR(CORREL(AE6:AE105,AQ5:AQ106),0)</f>
        <v>0</v>
      </c>
      <c r="Q137" s="56">
        <f>IFERROR(CORREL(AG6:AG105,AQ6:AQ105),0)</f>
        <v>0</v>
      </c>
      <c r="R137" s="56">
        <f>IFERROR(CORREL(AI6:AI105,AQ6:AQ105),0)</f>
        <v>0</v>
      </c>
      <c r="S137" s="56">
        <f>IFERROR(CORREL(AK6:AK105,AQ6:AQ105),0)</f>
        <v>0</v>
      </c>
      <c r="T137" s="56">
        <f>IFERROR(CORREL(AM6:AM105,AQ6:AQ105),0)</f>
        <v>0</v>
      </c>
      <c r="U137" s="56">
        <f>IFERROR(CORREL($AO6:AO$105,AQ6:AQ105),0)</f>
        <v>0</v>
      </c>
      <c r="V137" s="185">
        <f>IFERROR(CORREL($AQ$6:$AQ$105,AQ6:AQ105),0)</f>
        <v>0</v>
      </c>
      <c r="W137" s="56">
        <f>IFERROR(CORREL(AS6:AS105,AQ6:AQ105),0)</f>
        <v>0</v>
      </c>
      <c r="X137" s="56">
        <f>IFERROR(CORREL(AU6:AU105,AQ6:AQ105),0)</f>
        <v>0</v>
      </c>
      <c r="Y137" s="56">
        <f>IFERROR(CORREL(AW6:AW105,AQ6:AQ105),0)</f>
        <v>0</v>
      </c>
      <c r="Z137" s="56">
        <f>IFERROR(CORREL(AY6:AY105,AQ6:AQ105),0)</f>
        <v>0</v>
      </c>
      <c r="AA137" s="56">
        <f>IFERROR(CORREL(BA6:BA105,AQ6:AQ105),0)</f>
        <v>0</v>
      </c>
      <c r="AB137" s="56">
        <f>IFERROR(CORREL(BC6:BC105,AQ6:AQ105),0)</f>
        <v>0</v>
      </c>
      <c r="AC137" s="56">
        <f>IFERROR(CORREL(BE6:BE105,AQ6:AQ105),0)</f>
        <v>0</v>
      </c>
      <c r="AD137" s="56">
        <f>IFERROR(CORREL(BG6:BG105,AQ6:AQ105),0)</f>
        <v>0</v>
      </c>
      <c r="AE137" s="56">
        <f>IFERROR(CORREL(BI6:BI105,AQ6:AQ105),0)</f>
        <v>0</v>
      </c>
      <c r="AF137" s="229">
        <f>IFERROR(CORREL($BK$6:$BK$105,$AQ$6:$AQ$105),0)</f>
        <v>0</v>
      </c>
      <c r="AG137" s="229">
        <f>IFERROR(CORREL($BM$6:$BM$105,$AQ$6:$AQ$105),0)</f>
        <v>0</v>
      </c>
      <c r="AH137" s="229">
        <f>IFERROR(CORREL($BO$6:$BO$105,$AQ$6:$AQ$105),0)</f>
        <v>0</v>
      </c>
      <c r="AI137"/>
      <c r="AJ137" s="182"/>
      <c r="AK137"/>
      <c r="AL137" s="182"/>
      <c r="AM137"/>
      <c r="AO137"/>
      <c r="AQ137"/>
      <c r="AS137"/>
      <c r="AU137"/>
      <c r="AW137"/>
      <c r="AY137"/>
      <c r="BA137"/>
      <c r="BC137"/>
      <c r="BE137"/>
    </row>
    <row r="138" spans="2:57" ht="17.25" thickBot="1" x14ac:dyDescent="0.35">
      <c r="B138" s="170" t="s">
        <v>964</v>
      </c>
      <c r="C138" s="56">
        <f>IFERROR(CORREL(E6:E105,AS6:AS105),0)</f>
        <v>0</v>
      </c>
      <c r="D138" s="56">
        <f>IFERROR(CORREL(G6:G105,AS6:AS105),0)</f>
        <v>0</v>
      </c>
      <c r="E138" s="56">
        <f>IFERROR(CORREL(I6:I105,AS6:AS105),0)</f>
        <v>0</v>
      </c>
      <c r="F138" s="56">
        <f>IFERROR(CORREL(K6:K105,AS6:AS105),0)</f>
        <v>0</v>
      </c>
      <c r="G138" s="56">
        <f>IFERROR(CORREL(M6:M105,AS6:AS105),0)</f>
        <v>0</v>
      </c>
      <c r="H138" s="56">
        <f>IFERROR(CORREL(O6:O105,AS6:AS105),0)</f>
        <v>0</v>
      </c>
      <c r="I138" s="56">
        <f>IFERROR(CORREL(Q6:Q105,AS6:AS105),0)</f>
        <v>0</v>
      </c>
      <c r="J138" s="56">
        <f>IFERROR(CORREL(S6:S105,AS6:AS105),0)</f>
        <v>0</v>
      </c>
      <c r="K138" s="56">
        <f>IFERROR(CORREL(U6:U105,AS6:AS106),0)</f>
        <v>0</v>
      </c>
      <c r="L138" s="56">
        <f>IFERROR(CORREL(W6:W105,AS6:AS105),0)</f>
        <v>0</v>
      </c>
      <c r="M138" s="56">
        <f>IFERROR(CORREL(Y6:Y105,AS6:AS105),0)</f>
        <v>0</v>
      </c>
      <c r="N138" s="56">
        <f>IFERROR(CORREL(AA6:AA105,AS6:AS105),0)</f>
        <v>0</v>
      </c>
      <c r="O138" s="56">
        <f>IFERROR(CORREL(AC6:AC105,AS6:AS105),0)</f>
        <v>0</v>
      </c>
      <c r="P138" s="56">
        <f>IFERROR(CORREL(AE6:AE105,AS6:AS105),0)</f>
        <v>0</v>
      </c>
      <c r="Q138" s="56">
        <f>IFERROR(CORREL(AG6:AG105,AS5:AS106),0)</f>
        <v>0</v>
      </c>
      <c r="R138" s="56">
        <f>IFERROR(CORREL(AI6:AI105,AS6:AS105),0)</f>
        <v>0</v>
      </c>
      <c r="S138" s="56">
        <f>IFERROR(CORREL(AK6:AK105,AS6:AS105),0)</f>
        <v>0</v>
      </c>
      <c r="T138" s="56">
        <f>IFERROR(CORREL(AM6:AM105,AS6:AS105),0)</f>
        <v>0</v>
      </c>
      <c r="U138" s="56">
        <f>IFERROR(CORREL(AO6:AO105,AS6:AS105),0)</f>
        <v>0</v>
      </c>
      <c r="V138" s="56">
        <f>IFERROR(CORREL($AQ6:AQ$105,AS6:AS105),0)</f>
        <v>0</v>
      </c>
      <c r="W138" s="185">
        <f>IFERROR(CORREL(AS6:AS105,AS6:AS105),0)</f>
        <v>0</v>
      </c>
      <c r="X138" s="56">
        <f>IFERROR(CORREL(AU6:AU105,AS6:AS105),0)</f>
        <v>0</v>
      </c>
      <c r="Y138" s="56">
        <f>IFERROR(CORREL(AW6:AW105,AS6:AS105),0)</f>
        <v>0</v>
      </c>
      <c r="Z138" s="56">
        <f>IFERROR(CORREL(AY6:AY105,AS6:AS105),0)</f>
        <v>0</v>
      </c>
      <c r="AA138" s="56">
        <f>IFERROR(CORREL(BA6:BA105,AS6:AS105),0)</f>
        <v>0</v>
      </c>
      <c r="AB138" s="56">
        <f>IFERROR(CORREL(BC6:BC105,AS6:AS105),0)</f>
        <v>0</v>
      </c>
      <c r="AC138" s="56">
        <f>IFERROR(CORREL(BE6:BE105,AS6:AS105),0)</f>
        <v>0</v>
      </c>
      <c r="AD138" s="56">
        <f>IFERROR(CORREL(BG6:BG105,AS6:AS105),0)</f>
        <v>0</v>
      </c>
      <c r="AE138" s="56">
        <f>IFERROR(CORREL(BI6:BI105,AS6:AS105),0)</f>
        <v>0</v>
      </c>
      <c r="AF138" s="229">
        <f>IFERROR(CORREL($BK$6:$BK$105,$AS$6:$AS$105),0)</f>
        <v>0</v>
      </c>
      <c r="AG138" s="229">
        <f>IFERROR(CORREL($BM$6:$BM$105,$AS$6:$AS$105),0)</f>
        <v>0</v>
      </c>
      <c r="AH138" s="229">
        <f>IFERROR(CORREL($BO$6:$BO$105,$AS$6:$AS$105),0)</f>
        <v>0</v>
      </c>
      <c r="AI138"/>
      <c r="AJ138" s="182"/>
      <c r="AK138"/>
      <c r="AL138" s="182"/>
      <c r="AM138"/>
      <c r="AO138"/>
      <c r="AQ138"/>
      <c r="AS138"/>
      <c r="AU138"/>
      <c r="AW138"/>
      <c r="AY138"/>
      <c r="BA138"/>
      <c r="BC138"/>
      <c r="BE138"/>
    </row>
    <row r="139" spans="2:57" ht="17.25" thickBot="1" x14ac:dyDescent="0.35">
      <c r="B139" s="170" t="s">
        <v>965</v>
      </c>
      <c r="C139" s="56">
        <f>IFERROR(CORREL(E6:E105,AU6:AU105),0)</f>
        <v>0</v>
      </c>
      <c r="D139" s="56">
        <f>IFERROR(CORREL(G6:G105,AU6:AU105),0)</f>
        <v>0</v>
      </c>
      <c r="E139" s="56">
        <f>IFERROR(CORREL(I6:I105,AU6:AU105),0)</f>
        <v>0</v>
      </c>
      <c r="F139" s="56">
        <f>IFERROR(CORREL(K6:K105,AU6:AU105),0)</f>
        <v>0</v>
      </c>
      <c r="G139" s="56">
        <f>IFERROR(CORREL(M6:M105,AU6:AU105),0)</f>
        <v>0</v>
      </c>
      <c r="H139" s="56">
        <f>IFERROR(CORREL(O6:O105,AU6:AU105),0)</f>
        <v>0</v>
      </c>
      <c r="I139" s="56">
        <f>IFERROR(CORREL(Q6:Q105,AU6:AU105),0)</f>
        <v>0</v>
      </c>
      <c r="J139" s="56">
        <f>IFERROR(CORREL(S6:S105,AU6:AU105),0)</f>
        <v>0</v>
      </c>
      <c r="K139" s="56">
        <f>IFERROR(CORREL(U6:U105,AU6:AU105),0)</f>
        <v>0</v>
      </c>
      <c r="L139" s="56">
        <f>IFERROR(CORREL(W6:W105,AU6:AU106),0)</f>
        <v>0</v>
      </c>
      <c r="M139" s="56">
        <f>IFERROR(CORREL(Y6:Y105,AU6:AU105),0)</f>
        <v>0</v>
      </c>
      <c r="N139" s="56">
        <f>IFERROR(CORREL(AA6:AA105,AU6:AU105),0)</f>
        <v>0</v>
      </c>
      <c r="O139" s="56">
        <f>IFERROR(CORREL(AC6:AC105,AU6:AU105),0)</f>
        <v>0</v>
      </c>
      <c r="P139" s="56">
        <f>IFERROR(CORREL(AE6:AE105,AU6:AU105),0)</f>
        <v>0</v>
      </c>
      <c r="Q139" s="56">
        <f>IFERROR(CORREL(AG6:AG105,AU6:AU105),0)</f>
        <v>0</v>
      </c>
      <c r="R139" s="56">
        <f>IFERROR(CORREL(AI6:AI105,AU5:AU106),0)</f>
        <v>0</v>
      </c>
      <c r="S139" s="56">
        <f>IFERROR(CORREL(AK6:AK105,AU6:AU105),0)</f>
        <v>0</v>
      </c>
      <c r="T139" s="56">
        <f>IFERROR(CORREL(AM6:AM105,AU6:AU105),0)</f>
        <v>0</v>
      </c>
      <c r="U139" s="56">
        <f>IFERROR(CORREL(AO6:AO105,AU6:AU105),0)</f>
        <v>0</v>
      </c>
      <c r="V139" s="56">
        <f>IFERROR(CORREL(AQ6:AQ105,AU6:AU105),0)</f>
        <v>0</v>
      </c>
      <c r="W139" s="56">
        <f>IFERROR(CORREL(AS6:AS105,AU6:AU105),0)</f>
        <v>0</v>
      </c>
      <c r="X139" s="185">
        <f>IFERROR(CORREL(AU6:AU105,AU6:AU105),0)</f>
        <v>0</v>
      </c>
      <c r="Y139" s="56">
        <f>IFERROR(CORREL(AW6:AW105,AU6:AU105),0)</f>
        <v>0</v>
      </c>
      <c r="Z139" s="56">
        <f>IFERROR(CORREL(AY6:AY105,AU6:AU105),0)</f>
        <v>0</v>
      </c>
      <c r="AA139" s="56">
        <f>IFERROR(CORREL(BA6:BA105,AU6:AU105),0)</f>
        <v>0</v>
      </c>
      <c r="AB139" s="56">
        <f>IFERROR(CORREL(BC6:BC105,AU6:AU105),0)</f>
        <v>0</v>
      </c>
      <c r="AC139" s="56">
        <f>IFERROR(CORREL(BE6:BE105,AU6:AU105),0)</f>
        <v>0</v>
      </c>
      <c r="AD139" s="56">
        <f>IFERROR(CORREL(BG6:BG105,AU6:AU105),0)</f>
        <v>0</v>
      </c>
      <c r="AE139" s="56">
        <f>IFERROR(CORREL(BI6:BI105,AU6:AU105),0)</f>
        <v>0</v>
      </c>
      <c r="AF139" s="229">
        <f>IFERROR(CORREL($BK$6:$BK$105,$AU$6:$AU$105),0)</f>
        <v>0</v>
      </c>
      <c r="AG139" s="229">
        <f>IFERROR(CORREL($BM$6:$BM$105,$AU$6:$AU$105),0)</f>
        <v>0</v>
      </c>
      <c r="AH139" s="229">
        <f>IFERROR(CORREL($BO$6:$BO$105,$AU$6:$AU$105),0)</f>
        <v>0</v>
      </c>
      <c r="AI139"/>
      <c r="AJ139" s="182"/>
      <c r="AK139"/>
      <c r="AL139" s="182"/>
      <c r="AM139"/>
      <c r="AO139"/>
      <c r="AQ139"/>
      <c r="AS139"/>
      <c r="AU139"/>
      <c r="AW139"/>
      <c r="AY139"/>
      <c r="BA139"/>
      <c r="BC139"/>
      <c r="BE139"/>
    </row>
    <row r="140" spans="2:57" ht="17.25" thickBot="1" x14ac:dyDescent="0.35">
      <c r="B140" s="170" t="s">
        <v>966</v>
      </c>
      <c r="C140" s="56">
        <f>IFERROR(CORREL(E6:E105,AW6:AW105),0)</f>
        <v>0</v>
      </c>
      <c r="D140" s="56">
        <f>IFERROR(CORREL(G6:G105,AW6:AW105),0)</f>
        <v>0</v>
      </c>
      <c r="E140" s="56">
        <f>IFERROR(CORREL(I6:I105,AW6:AW105),0)</f>
        <v>0</v>
      </c>
      <c r="F140" s="56">
        <f>IFERROR(CORREL(K6:K105,AW6:AW105),0)</f>
        <v>0</v>
      </c>
      <c r="G140" s="56">
        <f>IFERROR(CORREL(M6:M105,AW6:AW105),0)</f>
        <v>0</v>
      </c>
      <c r="H140" s="56">
        <f>IFERROR(CORREL(O6:O105,AW6:AW105),0)</f>
        <v>0</v>
      </c>
      <c r="I140" s="56">
        <f>IFERROR(CORREL(Q6:Q105,AW6:AW105),0)</f>
        <v>0</v>
      </c>
      <c r="J140" s="56">
        <f>IFERROR(CORREL(S6:S105,AW6:AW105),0)</f>
        <v>0</v>
      </c>
      <c r="K140" s="56">
        <f>IFERROR(CORREL(U6:U105,AW6:AW105),0)</f>
        <v>0</v>
      </c>
      <c r="L140" s="56">
        <f>IFERROR(CORREL(W6:W105,AW6:AW105),0)</f>
        <v>0</v>
      </c>
      <c r="M140" s="56">
        <f>IFERROR(CORREL(Y6:Y105,AW6:AW106),0)</f>
        <v>0</v>
      </c>
      <c r="N140" s="56">
        <f>IFERROR(CORREL(AA6:AA105,AW6:AW105),0)</f>
        <v>0</v>
      </c>
      <c r="O140" s="56">
        <f>IFERROR(CORREL(AC6:AC105,AW6:AW105),0)</f>
        <v>0</v>
      </c>
      <c r="P140" s="56">
        <f>IFERROR(CORREL(AE6:AE105,AW6:AW105),0)</f>
        <v>0</v>
      </c>
      <c r="Q140" s="56">
        <f>IFERROR(CORREL(AG6:AG105,AW6:AW105),0)</f>
        <v>0</v>
      </c>
      <c r="R140" s="56">
        <f>IFERROR(CORREL(AI6:AI105,AW6:AW105),0)</f>
        <v>0</v>
      </c>
      <c r="S140" s="56">
        <f>IFERROR(CORREL(AK6:AK105,AW5:AW106),0)</f>
        <v>0</v>
      </c>
      <c r="T140" s="56">
        <f>IFERROR(CORREL(AM6:AM105,AW6:AW105),0)</f>
        <v>0</v>
      </c>
      <c r="U140" s="56">
        <f>IFERROR(CORREL(AO6:AO105,AW6:AW105),0)</f>
        <v>0</v>
      </c>
      <c r="V140" s="56">
        <f>IFERROR(CORREL(AQ6:AQ105,AW6:AW105),0)</f>
        <v>0</v>
      </c>
      <c r="W140" s="56">
        <f>IFERROR(CORREL(AS6:AS105,AW6:AW105),0)</f>
        <v>0</v>
      </c>
      <c r="X140" s="56">
        <f>IFERROR(CORREL(AU6:AU105,AW6:AW105),0)</f>
        <v>0</v>
      </c>
      <c r="Y140" s="185">
        <f>IFERROR(CORREL(AW6:AW105,AW6:AW105),0)</f>
        <v>0</v>
      </c>
      <c r="Z140" s="56">
        <f>IFERROR(CORREL(AY6:AY105,AW6:AW105),0)</f>
        <v>0</v>
      </c>
      <c r="AA140" s="56">
        <f>IFERROR(CORREL(BA6:BA105,AW6:AW105),0)</f>
        <v>0</v>
      </c>
      <c r="AB140" s="56">
        <f>IFERROR(CORREL(BC6:BC105,AW6:AW105),0)</f>
        <v>0</v>
      </c>
      <c r="AC140" s="56">
        <f>IFERROR(CORREL(BE6:BE105,AW6:AW105),0)</f>
        <v>0</v>
      </c>
      <c r="AD140" s="56">
        <f>IFERROR(CORREL(BG6:BG105,AW6:AW105),0)</f>
        <v>0</v>
      </c>
      <c r="AE140" s="56">
        <f>IFERROR(CORREL(BI6:BI105,AW6:AW105),0)</f>
        <v>0</v>
      </c>
      <c r="AF140" s="229">
        <f>IFERROR(CORREL($BK$6:$BK$105,$AW$6:$AW$105),0)</f>
        <v>0</v>
      </c>
      <c r="AG140" s="229">
        <f>IFERROR(CORREL($BM$6:$BM$105,$AW$6:$AW$105),0)</f>
        <v>0</v>
      </c>
      <c r="AH140" s="229">
        <f>IFERROR(CORREL($BO$6:$BO$105,$AW$6:$AW$105),0)</f>
        <v>0</v>
      </c>
      <c r="AI140"/>
      <c r="AJ140" s="182"/>
      <c r="AK140"/>
      <c r="AL140" s="182"/>
      <c r="AM140"/>
      <c r="AO140"/>
      <c r="AQ140"/>
      <c r="AS140"/>
      <c r="AU140"/>
      <c r="AW140"/>
      <c r="AY140"/>
      <c r="BA140"/>
      <c r="BC140"/>
      <c r="BE140"/>
    </row>
    <row r="141" spans="2:57" ht="17.25" thickBot="1" x14ac:dyDescent="0.35">
      <c r="B141" s="170" t="s">
        <v>967</v>
      </c>
      <c r="C141" s="56">
        <f>IFERROR(CORREL(E6:E105,AY6:AY105),0)</f>
        <v>0</v>
      </c>
      <c r="D141" s="56">
        <f>IFERROR(CORREL(G6:G105,AY6:AY105),0)</f>
        <v>0</v>
      </c>
      <c r="E141" s="56">
        <f>IFERROR(CORREL(I6:I105,AY6:AY105),0)</f>
        <v>0</v>
      </c>
      <c r="F141" s="56">
        <f>IFERROR(CORREL(K6:K105,AY6:AY105),0)</f>
        <v>0</v>
      </c>
      <c r="G141" s="56">
        <f>IFERROR(CORREL(M6:M105,AY6:AY105),0)</f>
        <v>0</v>
      </c>
      <c r="H141" s="56">
        <f>IFERROR(CORREL(O6:O105,AY6:AY105),0)</f>
        <v>0</v>
      </c>
      <c r="I141" s="56">
        <f>IFERROR(CORREL(Q6:Q105,AY6:AY105),0)</f>
        <v>0</v>
      </c>
      <c r="J141" s="56">
        <f>IFERROR(CORREL(S6:S105,AY6:AY105),0)</f>
        <v>0</v>
      </c>
      <c r="K141" s="56">
        <f>IFERROR(CORREL(U6:U105,AY6:AY105),0)</f>
        <v>0</v>
      </c>
      <c r="L141" s="56">
        <f>IFERROR(CORREL(W6:W105,AY6:AY105),0)</f>
        <v>0</v>
      </c>
      <c r="M141" s="56">
        <f>IFERROR(CORREL(Y6:Y105,AY6:AY105),0)</f>
        <v>0</v>
      </c>
      <c r="N141" s="56">
        <f>IFERROR(CORREL(AA6:AA105,AY6:AY106),0)</f>
        <v>0</v>
      </c>
      <c r="O141" s="56">
        <f>IFERROR(CORREL(AC6:AC105,AY6:AY105),0)</f>
        <v>0</v>
      </c>
      <c r="P141" s="56">
        <f>IFERROR(CORREL(AE6:AE105,AY6:AY105),0)</f>
        <v>0</v>
      </c>
      <c r="Q141" s="56">
        <f>IFERROR(CORREL(AG6:AG105,AY6:AY105),0)</f>
        <v>0</v>
      </c>
      <c r="R141" s="56">
        <f>IFERROR(CORREL(AI6:AI105,AY6:AY105),0)</f>
        <v>0</v>
      </c>
      <c r="S141" s="56">
        <f>IFERROR(CORREL(AK6:AK105,AY6:AY105),0)</f>
        <v>0</v>
      </c>
      <c r="T141" s="56">
        <f>IFERROR(CORREL(AM6:AM105,AY5:AY106),0)</f>
        <v>0</v>
      </c>
      <c r="U141" s="56">
        <f>IFERROR(CORREL(AO6:AO105,AY6:AY105),0)</f>
        <v>0</v>
      </c>
      <c r="V141" s="56">
        <f>IFERROR(CORREL(AQ6:AQ105,AY6:AY105),0)</f>
        <v>0</v>
      </c>
      <c r="W141" s="56">
        <f>IFERROR(CORREL(AS6:AS105,AY6:AY105),0)</f>
        <v>0</v>
      </c>
      <c r="X141" s="56">
        <f>IFERROR(CORREL(AU6:AU105,AY6:AY105),0)</f>
        <v>0</v>
      </c>
      <c r="Y141" s="56">
        <f>IFERROR(CORREL(AW6:AW105,AY6:AY105),0)</f>
        <v>0</v>
      </c>
      <c r="Z141" s="185">
        <f>IFERROR(CORREL(AY6:AY105,AY6:AY105),0)</f>
        <v>0</v>
      </c>
      <c r="AA141" s="56">
        <f>IFERROR(CORREL(BA6:BA105,AY6:AY105),0)</f>
        <v>0</v>
      </c>
      <c r="AB141" s="56">
        <f>IFERROR(CORREL(BC6:BC105,AY6:AY105),0)</f>
        <v>0</v>
      </c>
      <c r="AC141" s="56">
        <f>IFERROR(CORREL(BE6:BE105,AY6:AY105),0)</f>
        <v>0</v>
      </c>
      <c r="AD141" s="56">
        <f>IFERROR(CORREL(BG6:BG105,AY6:AY105),0)</f>
        <v>0</v>
      </c>
      <c r="AE141" s="56">
        <f>IFERROR(CORREL(BI6:BI105,AY6:AY105),0)</f>
        <v>0</v>
      </c>
      <c r="AF141" s="229">
        <f>IFERROR(CORREL($BK$6:$BK$105,$AY$6:$AY$105),0)</f>
        <v>0</v>
      </c>
      <c r="AG141" s="229">
        <f>IFERROR(CORREL($BM$6:$BM$105,$AY$6:$AY$105),0)</f>
        <v>0</v>
      </c>
      <c r="AH141" s="229">
        <f>IFERROR(CORREL($BO$6:$BO$105,$AY$6:$AY$105),0)</f>
        <v>0</v>
      </c>
      <c r="AI141"/>
      <c r="AJ141" s="182"/>
      <c r="AK141"/>
      <c r="AL141" s="182"/>
      <c r="AM141"/>
      <c r="AO141"/>
      <c r="AQ141"/>
      <c r="AS141"/>
      <c r="AU141"/>
      <c r="AW141"/>
      <c r="AY141"/>
      <c r="BA141"/>
      <c r="BC141"/>
      <c r="BE141"/>
    </row>
    <row r="142" spans="2:57" ht="17.25" thickBot="1" x14ac:dyDescent="0.35">
      <c r="B142" s="170" t="s">
        <v>968</v>
      </c>
      <c r="C142" s="56">
        <f>IFERROR(CORREL(E6:E105,BA6:BA105),0)</f>
        <v>0</v>
      </c>
      <c r="D142" s="56">
        <f>IFERROR(CORREL(G6:G105,BA6:BA105),0)</f>
        <v>0</v>
      </c>
      <c r="E142" s="56">
        <f>IFERROR(CORREL(I6:I105,BA6:BA105),0)</f>
        <v>0</v>
      </c>
      <c r="F142" s="56">
        <f>IFERROR(CORREL(K6:K105,BA6:BA105),0)</f>
        <v>0</v>
      </c>
      <c r="G142" s="56">
        <f>IFERROR(CORREL(M6:M105,BA6:BA105),0)</f>
        <v>0</v>
      </c>
      <c r="H142" s="56">
        <f>IFERROR(CORREL(O6:O105,BA6:BA105),0)</f>
        <v>0</v>
      </c>
      <c r="I142" s="56">
        <f>IFERROR(CORREL(Q6:Q105,BA6:BA105),0)</f>
        <v>0</v>
      </c>
      <c r="J142" s="56">
        <f>IFERROR(CORREL(S6:S105,BA6:BA105),0)</f>
        <v>0</v>
      </c>
      <c r="K142" s="56">
        <f>IFERROR(CORREL(U6:U105,BA6:BA105),0)</f>
        <v>0</v>
      </c>
      <c r="L142" s="56">
        <f>IFERROR(CORREL(W6:W105,BA6:BA105),0)</f>
        <v>0</v>
      </c>
      <c r="M142" s="56">
        <f>IFERROR(CORREL(Y6:Y105,BA6:BA105),0)</f>
        <v>0</v>
      </c>
      <c r="N142" s="56">
        <f>IFERROR(CORREL(AA6:AA105,BA6:BA105),0)</f>
        <v>0</v>
      </c>
      <c r="O142" s="56">
        <f>IFERROR(CORREL(AC6:AC105,BA6:BA106),0)</f>
        <v>0</v>
      </c>
      <c r="P142" s="56">
        <f>IFERROR(CORREL(AE6:AE105,BA6:BA105),0)</f>
        <v>0</v>
      </c>
      <c r="Q142" s="56">
        <f>IFERROR(CORREL(AG6:AG105,BA6:BA105),0)</f>
        <v>0</v>
      </c>
      <c r="R142" s="56">
        <f>IFERROR(CORREL(AI6:AI105,BA6:BA105),0)</f>
        <v>0</v>
      </c>
      <c r="S142" s="56">
        <f>IFERROR(CORREL(AK6:AK105,BA6:BA105),0)</f>
        <v>0</v>
      </c>
      <c r="T142" s="56">
        <f>IFERROR(CORREL(AM6:AM105,BA6:BA105),0)</f>
        <v>0</v>
      </c>
      <c r="U142" s="56">
        <f>IFERROR(CORREL(AO6:AO105,BA5:BA106),0)</f>
        <v>0</v>
      </c>
      <c r="V142" s="56">
        <f>IFERROR(CORREL(AQ6:AQ105,BA6:BA105),0)</f>
        <v>0</v>
      </c>
      <c r="W142" s="56">
        <f>IFERROR(CORREL(AS6:AS105,BA6:BA105),0)</f>
        <v>0</v>
      </c>
      <c r="X142" s="56">
        <f>IFERROR(CORREL(AU6:AU105,BA6:BA105),0)</f>
        <v>0</v>
      </c>
      <c r="Y142" s="56">
        <f>IFERROR(CORREL(AW6:AW105,BA6:BA105),0)</f>
        <v>0</v>
      </c>
      <c r="Z142" s="56">
        <f>IFERROR(CORREL(AY6:AY105,BA6:BA105),0)</f>
        <v>0</v>
      </c>
      <c r="AA142" s="185">
        <f>IFERROR(CORREL(BA6:BA105,BA6:BA105),0)</f>
        <v>0</v>
      </c>
      <c r="AB142" s="56">
        <f>IFERROR(CORREL(BC6:BC105,BA6:BA105),0)</f>
        <v>0</v>
      </c>
      <c r="AC142" s="56">
        <f>IFERROR(CORREL(BE6:BE105,BA6:BA105),0)</f>
        <v>0</v>
      </c>
      <c r="AD142" s="56">
        <f>IFERROR(CORREL(BG6:BG105,BA6:BA105),0)</f>
        <v>0</v>
      </c>
      <c r="AE142" s="56">
        <f>IFERROR(CORREL(BI6:BI105,BA6:BA105),0)</f>
        <v>0</v>
      </c>
      <c r="AF142" s="229">
        <f>IFERROR(CORREL($BK$6:$BK$105,$BA$6:$BA$105),0)</f>
        <v>0</v>
      </c>
      <c r="AG142" s="229">
        <f>IFERROR(CORREL($BM$6:$BM$105,$BA$6:$BA$105),0)</f>
        <v>0</v>
      </c>
      <c r="AH142" s="229">
        <f>IFERROR(CORREL($BO$6:$BO$105,$BA$6:$BA$105),0)</f>
        <v>0</v>
      </c>
      <c r="AI142"/>
      <c r="AJ142" s="182"/>
      <c r="AK142"/>
      <c r="AL142" s="182"/>
      <c r="AM142"/>
      <c r="AO142"/>
      <c r="AQ142"/>
      <c r="AS142"/>
      <c r="AU142"/>
      <c r="AW142"/>
      <c r="AY142"/>
      <c r="BA142"/>
      <c r="BC142"/>
      <c r="BE142"/>
    </row>
    <row r="143" spans="2:57" ht="17.25" thickBot="1" x14ac:dyDescent="0.35">
      <c r="B143" s="170" t="s">
        <v>969</v>
      </c>
      <c r="C143" s="56">
        <f>IFERROR(CORREL(E6:E105,BC6:BC105),0)</f>
        <v>0</v>
      </c>
      <c r="D143" s="56">
        <f>IFERROR(CORREL(G6:G105,BC6:BC105),0)</f>
        <v>0</v>
      </c>
      <c r="E143" s="56">
        <f>IFERROR(CORREL(I6:I105,BC6:BC105),0)</f>
        <v>0</v>
      </c>
      <c r="F143" s="56">
        <f>IFERROR(CORREL(K6:K105,BC6:BC105),0)</f>
        <v>0</v>
      </c>
      <c r="G143" s="56">
        <f>IFERROR(CORREL(M6:M105,BC6:BC105),0)</f>
        <v>0</v>
      </c>
      <c r="H143" s="56">
        <f>IFERROR(CORREL(O6:O105,BC6:BC105),0)</f>
        <v>0</v>
      </c>
      <c r="I143" s="56">
        <f>IFERROR(CORREL(Q6:Q105,BC6:BC105),0)</f>
        <v>0</v>
      </c>
      <c r="J143" s="56">
        <f>IFERROR(CORREL(S6:S105,BC6:BC105),0)</f>
        <v>0</v>
      </c>
      <c r="K143" s="56">
        <f>IFERROR(CORREL(U6:U105,BC6:BC105),0)</f>
        <v>0</v>
      </c>
      <c r="L143" s="56">
        <f>IFERROR(CORREL(W6:W105,BC6:BC105),0)</f>
        <v>0</v>
      </c>
      <c r="M143" s="56">
        <f>IFERROR(CORREL(Y6:Y105,BC6:BC105),0)</f>
        <v>0</v>
      </c>
      <c r="N143" s="56">
        <f>IFERROR(CORREL(AA6:AA105,BC6:BC105),0)</f>
        <v>0</v>
      </c>
      <c r="O143" s="56">
        <f>IFERROR(CORREL(AC6:AC105,BC6:BC105),0)</f>
        <v>0</v>
      </c>
      <c r="P143" s="56">
        <f>IFERROR(CORREL(AE6:AE105,BC6:BC106),0)</f>
        <v>0</v>
      </c>
      <c r="Q143" s="56">
        <f>IFERROR(CORREL(AG6:AG105,BC6:BC105),0)</f>
        <v>0</v>
      </c>
      <c r="R143" s="56">
        <f>IFERROR(CORREL(AI6:AI105,BC6:BC105),0)</f>
        <v>0</v>
      </c>
      <c r="S143" s="56">
        <f>IFERROR(CORREL(AK6:AK105,BC6:BC105),0)</f>
        <v>0</v>
      </c>
      <c r="T143" s="56">
        <f>IFERROR(CORREL(AM6:AM105,BC6:BC105),0)</f>
        <v>0</v>
      </c>
      <c r="U143" s="56">
        <f>IFERROR(CORREL(AO6:AO105,BC6:BC105),0)</f>
        <v>0</v>
      </c>
      <c r="V143" s="56">
        <f>IFERROR(CORREL(AQ6:AQ105,BC5:BC106),0)</f>
        <v>0</v>
      </c>
      <c r="W143" s="56">
        <f>IFERROR(CORREL(AS6:AS105,BC6:BC105),0)</f>
        <v>0</v>
      </c>
      <c r="X143" s="56">
        <f>IFERROR(CORREL(AU6:AU105,BC6:BC105),0)</f>
        <v>0</v>
      </c>
      <c r="Y143" s="56">
        <f>IFERROR(CORREL(AW6:AW105,BC6:BC105),0)</f>
        <v>0</v>
      </c>
      <c r="Z143" s="56">
        <f>IFERROR(CORREL(AY6:AY105,BC6:BC105),0)</f>
        <v>0</v>
      </c>
      <c r="AA143" s="56">
        <f>IFERROR(CORREL(BA6:BA105,BC6:BC105),0)</f>
        <v>0</v>
      </c>
      <c r="AB143" s="185">
        <f>IFERROR(CORREL(BC6:BC105,BC6:BC105),0)</f>
        <v>0</v>
      </c>
      <c r="AC143" s="56">
        <f>IFERROR(CORREL(BE6:BE105,BC6:BC105),0)</f>
        <v>0</v>
      </c>
      <c r="AD143" s="56">
        <f>IFERROR(CORREL(BG6:BG105,BC6:BC105),0)</f>
        <v>0</v>
      </c>
      <c r="AE143" s="56">
        <f>IFERROR(CORREL(BI6:BI105,BC6:BC105),0)</f>
        <v>0</v>
      </c>
      <c r="AF143" s="229">
        <f>IFERROR(CORREL($BK$6:$BK$105,$BC$6:$BC$105),0)</f>
        <v>0</v>
      </c>
      <c r="AG143" s="229">
        <f>IFERROR(CORREL($BM$6:$BM$105,$BC$6:$BC$105),0)</f>
        <v>0</v>
      </c>
      <c r="AH143" s="229">
        <f>IFERROR(CORREL($BO$6:$BO$105,$BC$6:$BC$105),0)</f>
        <v>0</v>
      </c>
      <c r="AI143"/>
      <c r="AJ143" s="182"/>
      <c r="AK143"/>
      <c r="AL143" s="182"/>
      <c r="AM143"/>
      <c r="AO143"/>
      <c r="AQ143"/>
      <c r="AS143"/>
      <c r="AU143"/>
      <c r="AW143"/>
      <c r="AY143"/>
      <c r="BA143"/>
      <c r="BC143"/>
      <c r="BE143"/>
    </row>
    <row r="144" spans="2:57" ht="17.25" thickBot="1" x14ac:dyDescent="0.35">
      <c r="B144" s="170" t="s">
        <v>970</v>
      </c>
      <c r="C144" s="56">
        <f>IFERROR(CORREL(E6:E105,BD6:BD105),0)</f>
        <v>0</v>
      </c>
      <c r="D144" s="56">
        <f>IFERROR(CORREL(G6:G105,BE6:BE105),0)</f>
        <v>0</v>
      </c>
      <c r="E144" s="56">
        <f>IFERROR(CORREL(I6:I105,BE6:BE105),0)</f>
        <v>0</v>
      </c>
      <c r="F144" s="56">
        <f>IFERROR(CORREL(K6:K105,BE6:BE105),0)</f>
        <v>0</v>
      </c>
      <c r="G144" s="56">
        <f>IFERROR(CORREL(M6:M105,BE6:BE105),0)</f>
        <v>0</v>
      </c>
      <c r="H144" s="56">
        <f>IFERROR(CORREL(O6:O105,BE6:BE105),0)</f>
        <v>0</v>
      </c>
      <c r="I144" s="56">
        <f>IFERROR(CORREL(Q6:Q105,BE6:BE105),0)</f>
        <v>0</v>
      </c>
      <c r="J144" s="56">
        <f>IFERROR(CORREL(S6:S105,BE6:BE105),0)</f>
        <v>0</v>
      </c>
      <c r="K144" s="56">
        <f>IFERROR(CORREL(U6:U105,BE6:BE105),0)</f>
        <v>0</v>
      </c>
      <c r="L144" s="56">
        <f>IFERROR(CORREL(W6:W105,BE6:BE105),0)</f>
        <v>0</v>
      </c>
      <c r="M144" s="56">
        <f>IFERROR(CORREL(Y6:Y105,BE6:BE105),0)</f>
        <v>0</v>
      </c>
      <c r="N144" s="56">
        <f>IFERROR(CORREL(AA6:AA105,BE6:BE105),0)</f>
        <v>0</v>
      </c>
      <c r="O144" s="56">
        <f>IFERROR(CORREL(AC6:AC105,BE6:BE105),0)</f>
        <v>0</v>
      </c>
      <c r="P144" s="56">
        <f>IFERROR(CORREL(AE6:AE105,BE6:BE105),0)</f>
        <v>0</v>
      </c>
      <c r="Q144" s="56">
        <f>IFERROR(CORREL(AG6:AG105,BE6:BE106),0)</f>
        <v>0</v>
      </c>
      <c r="R144" s="56">
        <f>IFERROR(CORREL(AI6:AI105,BE6:BE105),0)</f>
        <v>0</v>
      </c>
      <c r="S144" s="56">
        <f>IFERROR(CORREL(AK6:AK105,BE6:BE105),0)</f>
        <v>0</v>
      </c>
      <c r="T144" s="56">
        <f>IFERROR(CORREL(AM6:AM105,BE6:BE105),0)</f>
        <v>0</v>
      </c>
      <c r="U144" s="56">
        <f>IFERROR(CORREL(AO6:AO105,BE6:BE105),0)</f>
        <v>0</v>
      </c>
      <c r="V144" s="56">
        <f>IFERROR(CORREL(AQ6:AQ105,BE6:BE105),0)</f>
        <v>0</v>
      </c>
      <c r="W144" s="56">
        <f>IFERROR(CORREL(AS6:AS105,BE5:BE106),0)</f>
        <v>0</v>
      </c>
      <c r="X144" s="56">
        <f>IFERROR(CORREL(AU6:AU105,BE6:BE105),0)</f>
        <v>0</v>
      </c>
      <c r="Y144" s="56">
        <f>IFERROR(CORREL(AW6:AW105,BE6:BE105),0)</f>
        <v>0</v>
      </c>
      <c r="Z144" s="56">
        <f>IFERROR(CORREL(AY6:AY105,BE6:BE105),0)</f>
        <v>0</v>
      </c>
      <c r="AA144" s="56">
        <f>IFERROR(CORREL(BA6:BA105,BE6:BE105),0)</f>
        <v>0</v>
      </c>
      <c r="AB144" s="56">
        <f>IFERROR(CORREL(BC6:BC105,BE6:BE105),0)</f>
        <v>0</v>
      </c>
      <c r="AC144" s="185">
        <f>IFERROR(CORREL(BE6:BE105,BE6:BE105),0)</f>
        <v>0</v>
      </c>
      <c r="AD144" s="56">
        <f>IFERROR(CORREL(BG6:BG105,BE6:BE105),0)</f>
        <v>0</v>
      </c>
      <c r="AE144" s="56">
        <f>IFERROR(CORREL(BI6:BI105,BE6:BE105),0)</f>
        <v>0</v>
      </c>
      <c r="AF144" s="229">
        <f>IFERROR(CORREL($BK$6:$BK$105,$BE$6:$BE$105),0)</f>
        <v>0</v>
      </c>
      <c r="AG144" s="229">
        <f>IFERROR(CORREL($BM$6:$BM$105,$BE$6:$BE$105),0)</f>
        <v>0</v>
      </c>
      <c r="AH144" s="229">
        <f>IFERROR(CORREL($BO$6:$BO$105,$BE$6:$BE$105),0)</f>
        <v>0</v>
      </c>
      <c r="AI144"/>
      <c r="AJ144" s="182"/>
      <c r="AK144"/>
      <c r="AL144" s="182"/>
      <c r="AM144"/>
      <c r="AO144"/>
      <c r="AQ144"/>
      <c r="AS144"/>
      <c r="AU144"/>
      <c r="AW144"/>
      <c r="AY144"/>
      <c r="BA144"/>
      <c r="BC144"/>
      <c r="BE144"/>
    </row>
    <row r="145" spans="1:57" ht="17.25" thickBot="1" x14ac:dyDescent="0.35">
      <c r="B145" s="198" t="s">
        <v>971</v>
      </c>
      <c r="C145" s="56">
        <f>IFERROR(CORREL(E6:E105,BG6:BG105),0)</f>
        <v>0</v>
      </c>
      <c r="D145" s="56">
        <f>IFERROR(CORREL(G6:G105,BG6:BG105),0)</f>
        <v>0</v>
      </c>
      <c r="E145" s="56">
        <f>IFERROR(CORREL(I6:I105,BG6:BG105),0)</f>
        <v>0</v>
      </c>
      <c r="F145" s="56">
        <f>IFERROR(CORREL(K6:K105,BG6:BG105),0)</f>
        <v>0</v>
      </c>
      <c r="G145" s="56">
        <f>IFERROR(CORREL(M6:M105,BG6:BG105),0)</f>
        <v>0</v>
      </c>
      <c r="H145" s="56">
        <f>IFERROR(CORREL(O6:O105,BG6:BG105),0)</f>
        <v>0</v>
      </c>
      <c r="I145" s="56">
        <f>IFERROR(CORREL(Q6:Q105,BG6:BG105),0)</f>
        <v>0</v>
      </c>
      <c r="J145" s="56">
        <f>IFERROR(CORREL(S6:S105,BG6:BG105),0)</f>
        <v>0</v>
      </c>
      <c r="K145" s="56">
        <f>IFERROR(CORREL(U6:U105,BG6:BG105),0)</f>
        <v>0</v>
      </c>
      <c r="L145" s="56">
        <f>IFERROR(CORREL(W6:W105,BG6:BG105),0)</f>
        <v>0</v>
      </c>
      <c r="M145" s="56">
        <f>IFERROR(CORREL(Y6:Y105,BG6:BG105),0)</f>
        <v>0</v>
      </c>
      <c r="N145" s="56">
        <f>IFERROR(CORREL(AA6:AA105,BG6:BG105),0)</f>
        <v>0</v>
      </c>
      <c r="O145" s="56">
        <f>IFERROR(CORREL(AC6:AC105,BG6:BG105),0)</f>
        <v>0</v>
      </c>
      <c r="P145" s="56">
        <f>IFERROR(CORREL(AE6:AE105,BG6:BG105),0)</f>
        <v>0</v>
      </c>
      <c r="Q145" s="56">
        <f>IFERROR(CORREL(AG6:AG105,BG6:BG105),0)</f>
        <v>0</v>
      </c>
      <c r="R145" s="56">
        <f>IFERROR(CORREL(AI6:AI105,BG6:BG106),0)</f>
        <v>0</v>
      </c>
      <c r="S145" s="56">
        <f>IFERROR(CORREL(AK6:AK105,BG6:BG105),0)</f>
        <v>0</v>
      </c>
      <c r="T145" s="56">
        <f>IFERROR(CORREL(AM6:AM105,BG6:BG105),0)</f>
        <v>0</v>
      </c>
      <c r="U145" s="56">
        <f>IFERROR(CORREL(AO6:AO105,BG6:BG105),0)</f>
        <v>0</v>
      </c>
      <c r="V145" s="56">
        <f>IFERROR(CORREL(AQ6:AQ105,BG6:BG105),0)</f>
        <v>0</v>
      </c>
      <c r="W145" s="56">
        <f>IFERROR(CORREL(AS6:AS105,BG6:BG105),0)</f>
        <v>0</v>
      </c>
      <c r="X145" s="56">
        <f>IFERROR(CORREL(AU6:AU105,BG5:BG106),0)</f>
        <v>0</v>
      </c>
      <c r="Y145" s="56">
        <f>IFERROR(CORREL(AW6:AW105,BG6:BG105),0)</f>
        <v>0</v>
      </c>
      <c r="Z145" s="56">
        <f>IFERROR(CORREL(AY6:AY105,BG6:BG105),0)</f>
        <v>0</v>
      </c>
      <c r="AA145" s="56">
        <f>IFERROR(CORREL(BA6:BA105,BG6:BG105),0)</f>
        <v>0</v>
      </c>
      <c r="AB145" s="56">
        <f>IFERROR(CORREL(BC6:BC105,BG6:BG105),0)</f>
        <v>0</v>
      </c>
      <c r="AC145" s="56">
        <f>IFERROR(CORREL(BE6:BE105,BG6:BG105),0)</f>
        <v>0</v>
      </c>
      <c r="AD145" s="185">
        <f>IFERROR(CORREL(BG6:BG105,BG6:BG105),0)</f>
        <v>0</v>
      </c>
      <c r="AE145" s="56">
        <f>IFERROR(CORREL(BI6:BI105,BG6:BG105),0)</f>
        <v>0</v>
      </c>
      <c r="AF145" s="229">
        <f>IFERROR(CORREL($BK$6:$BK$105,$BG$6:$BG$105),0)</f>
        <v>0</v>
      </c>
      <c r="AG145" s="229">
        <f>IFERROR(CORREL($BM$6:$BM$105,$BG$6:$BG$105),0)</f>
        <v>0</v>
      </c>
      <c r="AH145" s="229">
        <f>IFERROR(CORREL($BO$6:$BO$105,$BG$6:$BG$105),0)</f>
        <v>0</v>
      </c>
      <c r="AI145"/>
      <c r="AJ145" s="182"/>
      <c r="AK145"/>
      <c r="AM145"/>
      <c r="AO145"/>
      <c r="AQ145"/>
      <c r="AS145"/>
      <c r="AU145"/>
      <c r="AW145"/>
      <c r="AY145"/>
      <c r="BA145"/>
      <c r="BC145"/>
      <c r="BE145"/>
    </row>
    <row r="146" spans="1:57" s="223" customFormat="1" ht="17.25" thickBot="1" x14ac:dyDescent="0.35">
      <c r="B146" s="228" t="s">
        <v>1059</v>
      </c>
      <c r="C146" s="229">
        <f>IFERROR(CORREL(E6:E105,BI6:BI105),0)</f>
        <v>0</v>
      </c>
      <c r="D146" s="229">
        <f>IFERROR(CORREL(G6:G105,BI6:BI105),0)</f>
        <v>0</v>
      </c>
      <c r="E146" s="229">
        <f>IFERROR(CORREL(I6:I105,BI6:BI105),0)</f>
        <v>0</v>
      </c>
      <c r="F146" s="229">
        <f>IFERROR(CORREL(K6:K105,BI6:BI105),0)</f>
        <v>0</v>
      </c>
      <c r="G146" s="229">
        <f>IFERROR(CORREL(M6:M105,BI6:BI105),0)</f>
        <v>0</v>
      </c>
      <c r="H146" s="229">
        <f>IFERROR(CORREL(O6:O105,BI6:BI105),0)</f>
        <v>0</v>
      </c>
      <c r="I146" s="229">
        <f>IFERROR(CORREL(Q6:Q105,BI6:BI105),0)</f>
        <v>0</v>
      </c>
      <c r="J146" s="229">
        <f>IFERROR(CORREL(S6:S105,BI6:BI105),0)</f>
        <v>0</v>
      </c>
      <c r="K146" s="229">
        <f>IFERROR(CORREL(U6:U105,BI6:BI105),0)</f>
        <v>0</v>
      </c>
      <c r="L146" s="229">
        <f>IFERROR(CORREL(W6:W105,BI6:BI105),0)</f>
        <v>0</v>
      </c>
      <c r="M146" s="229">
        <f>IFERROR(CORREL(Y6:Y105,BI6:BI105),0)</f>
        <v>0</v>
      </c>
      <c r="N146" s="229">
        <f>IFERROR(CORREL(AA6:AA105,BI6:BI105),0)</f>
        <v>0</v>
      </c>
      <c r="O146" s="229">
        <f>IFERROR(CORREL(AC6:AC105,BI6:BI105),0)</f>
        <v>0</v>
      </c>
      <c r="P146" s="229">
        <f>IFERROR(CORREL(AE6:AE105,BI6:BI105),0)</f>
        <v>0</v>
      </c>
      <c r="Q146" s="229">
        <f>IFERROR(CORREL(AG6:AG105,BI6:BI105),0)</f>
        <v>0</v>
      </c>
      <c r="R146" s="229">
        <f>IFERROR(CORREL(AI6:AI105,BI6:BI105),0)</f>
        <v>0</v>
      </c>
      <c r="S146" s="229">
        <f>IFERROR(CORREL(AK6:AK105,BI6:BI105),0)</f>
        <v>0</v>
      </c>
      <c r="T146" s="229">
        <f>IFERROR(CORREL(AM6:AM105,BI6:BI105),0)</f>
        <v>0</v>
      </c>
      <c r="U146" s="229">
        <f>IFERROR(CORREL(AO6:AO105,BI6:BI105),0)</f>
        <v>0</v>
      </c>
      <c r="V146" s="229">
        <f>IFERROR(CORREL(AQ6:AQ105,BI6:BI105),0)</f>
        <v>0</v>
      </c>
      <c r="W146" s="229">
        <f>IFERROR(CORREL(AS6:AS105,BI6:BI105),0)</f>
        <v>0</v>
      </c>
      <c r="X146" s="229">
        <f>IFERROR(CORREL(AU6:AU105,BI6:BI105),0)</f>
        <v>0</v>
      </c>
      <c r="Y146" s="229">
        <f>IFERROR(CORREL(AW6:AW105,BI6:BI105),0)</f>
        <v>0</v>
      </c>
      <c r="Z146" s="229">
        <f>IFERROR(CORREL(AY6:AY105,BI6:BI105),0)</f>
        <v>0</v>
      </c>
      <c r="AA146" s="229">
        <f>IFERROR(CORREL(BA6:BA105,BI6:BI105),0)</f>
        <v>0</v>
      </c>
      <c r="AB146" s="229">
        <f>IFERROR(CORREL(BC6:BC105,BI6:BI105),0)</f>
        <v>0</v>
      </c>
      <c r="AC146" s="229">
        <f>IFERROR(CORREL(BE6:BE105,BI6:BI105),0)</f>
        <v>0</v>
      </c>
      <c r="AD146" s="229">
        <f>IFERROR(CORREL(BG6:BG105,BI6:BI105),0)</f>
        <v>0</v>
      </c>
      <c r="AE146" s="230">
        <f>IFERROR(CORREL(BI6:BI105,BI6:BI105),0)</f>
        <v>0</v>
      </c>
      <c r="AF146" s="229">
        <f>IFERROR(CORREL($BK$6:$BK$105,$BI$6:$BI$105),0)</f>
        <v>0</v>
      </c>
      <c r="AG146" s="229">
        <f>IFERROR(CORREL($BM$6:$BM$105,$BI$6:$BI$105),0)</f>
        <v>0</v>
      </c>
      <c r="AH146" s="229">
        <f>IFERROR(CORREL($BO$6:$BO$105,$BI$6:$BI$105),0)</f>
        <v>0</v>
      </c>
    </row>
    <row r="147" spans="1:57" s="223" customFormat="1" ht="17.25" thickBot="1" x14ac:dyDescent="0.35">
      <c r="B147" s="228" t="s">
        <v>1060</v>
      </c>
      <c r="C147" s="229">
        <f>IFERROR(CORREL(E$6:E$105,$BK$6:$BK$105),0)</f>
        <v>0</v>
      </c>
      <c r="D147" s="229">
        <f>IFERROR(CORREL(G$6:G$105,$BK$6:$BK$105),0)</f>
        <v>0</v>
      </c>
      <c r="E147" s="229">
        <f>IFERROR(CORREL(I$6:I$105,$BK$6:$BK$105),0)</f>
        <v>0</v>
      </c>
      <c r="F147" s="229">
        <f>IFERROR(CORREL(K$6:K$105,$BK$6:$BK$105),0)</f>
        <v>0</v>
      </c>
      <c r="G147" s="229">
        <f>IFERROR(CORREL(M$6:M$105,$BK$6:$BK$105),0)</f>
        <v>0</v>
      </c>
      <c r="H147" s="229">
        <f>IFERROR(CORREL(O$6:O$105,$BK$6:$BK$105),0)</f>
        <v>0</v>
      </c>
      <c r="I147" s="229">
        <f>IFERROR(CORREL(Q$6:Q$105,$BK$6:$BK$105),0)</f>
        <v>0</v>
      </c>
      <c r="J147" s="229">
        <f>IFERROR(CORREL(S$6:S$105,$BK$6:$BK$105),0)</f>
        <v>0</v>
      </c>
      <c r="K147" s="229">
        <f>IFERROR(CORREL(U$6:U$105,$BK$6:$BK$105),0)</f>
        <v>0</v>
      </c>
      <c r="L147" s="229">
        <f>IFERROR(CORREL(W$6:W$105,$BK$6:$BK$105),0)</f>
        <v>0</v>
      </c>
      <c r="M147" s="229">
        <f>IFERROR(CORREL($Y$6:$Y$105,$BK$6:$BK$105),0)</f>
        <v>0</v>
      </c>
      <c r="N147" s="229">
        <f>IFERROR(CORREL($AA$6:$AA$105,$BK$6:$BK$105),0)</f>
        <v>0</v>
      </c>
      <c r="O147" s="229">
        <f>IFERROR(CORREL($AC$6:$AC$105,$BK$6:$BK$105),0)</f>
        <v>0</v>
      </c>
      <c r="P147" s="229">
        <f>IFERROR(CORREL($AE$6:$AE$105,$BK$6:$BK$105),0)</f>
        <v>0</v>
      </c>
      <c r="Q147" s="229">
        <f>IFERROR(CORREL($AG$6:$AG$105,$BK$6:$BK$105),0)</f>
        <v>0</v>
      </c>
      <c r="R147" s="229">
        <f>IFERROR(CORREL($AI$6:$AI$105,$BK$6:$BK$105),0)</f>
        <v>0</v>
      </c>
      <c r="S147" s="229">
        <f>IFERROR(CORREL($AK$6:$AK$105,$BK$6:$BK$105),0)</f>
        <v>0</v>
      </c>
      <c r="T147" s="229">
        <f>IFERROR(CORREL($AM$6:$AM$105,$BK$6:$BK$105),0)</f>
        <v>0</v>
      </c>
      <c r="U147" s="229">
        <f>IFERROR(CORREL($AO$6:$AO$105,$BK$6:$BK$105),0)</f>
        <v>0</v>
      </c>
      <c r="V147" s="229">
        <f>IFERROR(CORREL($AQ$6:$AQ$105,$BK$6:$BK$105),0)</f>
        <v>0</v>
      </c>
      <c r="W147" s="229">
        <f>IFERROR(CORREL($AS$6:$AS$105,$BK$6:$BK$105),0)</f>
        <v>0</v>
      </c>
      <c r="X147" s="229">
        <f>IFERROR(CORREL($AU$6:$AU$105,$BK$6:$BK$105),0)</f>
        <v>0</v>
      </c>
      <c r="Y147" s="229">
        <f>IFERROR(CORREL($AW$6:$AW$105,$BK$6:$BK$105),0)</f>
        <v>0</v>
      </c>
      <c r="Z147" s="229">
        <f>IFERROR(CORREL($AY$6:$AY$105,$BK$6:$BK$105),0)</f>
        <v>0</v>
      </c>
      <c r="AA147" s="229">
        <f>IFERROR(CORREL($BA$6:$BA$105,$BK$6:$BK$105),0)</f>
        <v>0</v>
      </c>
      <c r="AB147" s="229">
        <f>IFERROR(CORREL($BC$6:$BC$105,$BK$6:$BK$105),0)</f>
        <v>0</v>
      </c>
      <c r="AC147" s="229">
        <f>IFERROR(CORREL($BE$6:$BE$105,$BK$6:$BK$105),0)</f>
        <v>0</v>
      </c>
      <c r="AD147" s="229">
        <f>IFERROR(CORREL($BG$6:$BG$105,$BK$6:$BK$105),0)</f>
        <v>0</v>
      </c>
      <c r="AE147" s="229">
        <f>IFERROR(CORREL($BI$6:$BI$105,$BK$6:$BK$105),0)</f>
        <v>0</v>
      </c>
      <c r="AF147" s="230">
        <f>IFERROR(CORREL($BK$6:$BK$105,$BK$6:$BK$105),0)</f>
        <v>0</v>
      </c>
      <c r="AG147" s="229">
        <f>IFERROR(CORREL($BM$6:$BM$105,$BK$6:$BK$105),0)</f>
        <v>0</v>
      </c>
      <c r="AH147" s="229">
        <f>IFERROR(CORREL($BO$6:$BO$105,$BK$6:$BK$105),0)</f>
        <v>0</v>
      </c>
    </row>
    <row r="148" spans="1:57" s="223" customFormat="1" ht="17.25" thickBot="1" x14ac:dyDescent="0.35">
      <c r="B148" s="228" t="s">
        <v>1061</v>
      </c>
      <c r="C148" s="229">
        <f>IFERROR(CORREL(E$6:E$105,$BM$6:$BM$105),0)</f>
        <v>0</v>
      </c>
      <c r="D148" s="229">
        <f>IFERROR(CORREL(G$6:G$105,$BM$6:$BM$105),0)</f>
        <v>0</v>
      </c>
      <c r="E148" s="229">
        <f>IFERROR(CORREL(I$6:I$105,$BM$6:$BM$105),0)</f>
        <v>0</v>
      </c>
      <c r="F148" s="229">
        <f>IFERROR(CORREL(K$6:K$105,$BM$6:$BM$105),0)</f>
        <v>0</v>
      </c>
      <c r="G148" s="229">
        <f>IFERROR(CORREL(M$6:M$105,$BM$6:$BM$105),0)</f>
        <v>0</v>
      </c>
      <c r="H148" s="229">
        <f>IFERROR(CORREL(O$6:O$105,$BM$6:$BM$105),0)</f>
        <v>0</v>
      </c>
      <c r="I148" s="229">
        <f>IFERROR(CORREL(Q$6:Q$105,$BM$6:$BM$105),0)</f>
        <v>0</v>
      </c>
      <c r="J148" s="229">
        <f>IFERROR(CORREL(S$6:S$105,$BM$6:$BM$105),0)</f>
        <v>0</v>
      </c>
      <c r="K148" s="229">
        <f>IFERROR(CORREL(U$6:U$105,$BM$6:$BM$105),0)</f>
        <v>0</v>
      </c>
      <c r="L148" s="229">
        <f>IFERROR(CORREL(W$6:W$105,$BM$6:$BM$105),0)</f>
        <v>0</v>
      </c>
      <c r="M148" s="229">
        <f>IFERROR(CORREL($Y$6:$Y$105,$BM$6:$BM$105),0)</f>
        <v>0</v>
      </c>
      <c r="N148" s="229">
        <f>IFERROR(CORREL($AA$6:$AA$105,$BM$6:$BM$105),0)</f>
        <v>0</v>
      </c>
      <c r="O148" s="229">
        <f>IFERROR(CORREL($AC$6:$AC$105,$BM$6:$BM$105),0)</f>
        <v>0</v>
      </c>
      <c r="P148" s="229">
        <f>IFERROR(CORREL($AE$6:$AE$105,$BM$6:$BM$105),0)</f>
        <v>0</v>
      </c>
      <c r="Q148" s="229">
        <f>IFERROR(CORREL($AG$6:$AG$105,$BM$6:$BM$105),0)</f>
        <v>0</v>
      </c>
      <c r="R148" s="229">
        <f>IFERROR(CORREL($AI$6:$AI$105,$BM$6:$BM$105),0)</f>
        <v>0</v>
      </c>
      <c r="S148" s="229">
        <f>IFERROR(CORREL($AK$6:$AK$105,$BM$6:$BM$105),0)</f>
        <v>0</v>
      </c>
      <c r="T148" s="229">
        <f>IFERROR(CORREL($AM$6:$AM$105,$BM$6:$BM$105),0)</f>
        <v>0</v>
      </c>
      <c r="U148" s="229">
        <f>IFERROR(CORREL($AO$6:$AO$105,$BM$6:$BM$105),0)</f>
        <v>0</v>
      </c>
      <c r="V148" s="229">
        <f>IFERROR(CORREL($AQ$6:$AQ$105,$BM$6:$BM$105),0)</f>
        <v>0</v>
      </c>
      <c r="W148" s="229">
        <f>IFERROR(CORREL($AS$6:$AS$105,$BM$6:$BM$105),0)</f>
        <v>0</v>
      </c>
      <c r="X148" s="229">
        <f>IFERROR(CORREL($AU$6:$AU$105,$BM$6:$BM$105),0)</f>
        <v>0</v>
      </c>
      <c r="Y148" s="229">
        <f>IFERROR(CORREL($AW$6:$AW$105,$BM$6:$BM$105),0)</f>
        <v>0</v>
      </c>
      <c r="Z148" s="229">
        <f>IFERROR(CORREL($AY$6:$AY$105,$BM$6:$BM$105),0)</f>
        <v>0</v>
      </c>
      <c r="AA148" s="229">
        <f>IFERROR(CORREL($BA$6:$BA$105,$BM$6:$BM$105),0)</f>
        <v>0</v>
      </c>
      <c r="AB148" s="229">
        <f>IFERROR(CORREL($BC$6:$BC$105,$BM$6:$BM$105),0)</f>
        <v>0</v>
      </c>
      <c r="AC148" s="229">
        <f>IFERROR(CORREL($BE$6:$BE$105,$BM$6:$BM$105),0)</f>
        <v>0</v>
      </c>
      <c r="AD148" s="229">
        <f>IFERROR(CORREL($BG$6:$BG$105,$BM$6:$BM$105),0)</f>
        <v>0</v>
      </c>
      <c r="AE148" s="229">
        <f>IFERROR(CORREL($BI$6:$BI$105,$BM$6:$BM$105),0)</f>
        <v>0</v>
      </c>
      <c r="AF148" s="229">
        <f>IFERROR(CORREL($BK$6:$BK$105,$BM$6:$BM$105),0)</f>
        <v>0</v>
      </c>
      <c r="AG148" s="230">
        <f>IFERROR(CORREL($BM$6:$BM$105,$BM$6:$BM$105),0)</f>
        <v>0</v>
      </c>
      <c r="AH148" s="229">
        <f>IFERROR(CORREL($BO$6:$BO$105,$BM$6:$BM$105),0)</f>
        <v>0</v>
      </c>
    </row>
    <row r="149" spans="1:57" s="223" customFormat="1" ht="17.25" thickBot="1" x14ac:dyDescent="0.35">
      <c r="B149" s="231" t="s">
        <v>1062</v>
      </c>
      <c r="C149" s="229">
        <f>IFERROR(CORREL(E$6:E$105,$BO$6:$BO$105),0)</f>
        <v>0</v>
      </c>
      <c r="D149" s="229">
        <f>IFERROR(CORREL(G$6:G$105,$BO$6:$BO$105),0)</f>
        <v>0</v>
      </c>
      <c r="E149" s="229">
        <f>IFERROR(CORREL(I$6:I$105,$BO$6:$BO$105),0)</f>
        <v>0</v>
      </c>
      <c r="F149" s="229">
        <f>IFERROR(CORREL(K$6:K$105,$BO$6:$BO$105),0)</f>
        <v>0</v>
      </c>
      <c r="G149" s="229">
        <f>IFERROR(CORREL(M$6:M$105,$BO$6:$BO$105),0)</f>
        <v>0</v>
      </c>
      <c r="H149" s="229">
        <f>IFERROR(CORREL(O$6:O$105,$BO$6:$BO$105),0)</f>
        <v>0</v>
      </c>
      <c r="I149" s="229">
        <f>IFERROR(CORREL(Q$6:Q$105,$BO$6:$BO$105),0)</f>
        <v>0</v>
      </c>
      <c r="J149" s="229">
        <f>IFERROR(CORREL(S$6:S$105,$BO$6:$BO$105),0)</f>
        <v>0</v>
      </c>
      <c r="K149" s="229">
        <f>IFERROR(CORREL(U$6:U$105,$BO$6:$BO$105),0)</f>
        <v>0</v>
      </c>
      <c r="L149" s="229">
        <f>IFERROR(CORREL(W$6:W$105,$BO$6:$BO$105),0)</f>
        <v>0</v>
      </c>
      <c r="M149" s="229">
        <f>IFERROR(CORREL($Y$6:$Y$105,$BO$6:$BO$105),0)</f>
        <v>0</v>
      </c>
      <c r="N149" s="229">
        <f>IFERROR(CORREL($AA$6:$AA$105,$BO$6:$BO$105),0)</f>
        <v>0</v>
      </c>
      <c r="O149" s="229">
        <f>IFERROR(CORREL($AC$6:$AC$105,$BO$6:$BO$105),0)</f>
        <v>0</v>
      </c>
      <c r="P149" s="229">
        <f>IFERROR(CORREL($AE$6:$AE$105,$BO$6:$BO$105),0)</f>
        <v>0</v>
      </c>
      <c r="Q149" s="229">
        <f>IFERROR(CORREL($AG$6:$AG$105,$BO$6:$BO$105),0)</f>
        <v>0</v>
      </c>
      <c r="R149" s="229">
        <f>IFERROR(CORREL($AI$6:$AI$105,$BO$6:$BO$105),0)</f>
        <v>0</v>
      </c>
      <c r="S149" s="229">
        <f>IFERROR(CORREL($AK$6:$AK$105,$BO$6:$BO$105),0)</f>
        <v>0</v>
      </c>
      <c r="T149" s="229">
        <f>IFERROR(CORREL($AM$6:$AM$105,$BO$6:$BO$105),0)</f>
        <v>0</v>
      </c>
      <c r="U149" s="229">
        <f>IFERROR(CORREL($AO$6:$AO$105,$BO$6:$BO$105),0)</f>
        <v>0</v>
      </c>
      <c r="V149" s="229">
        <f>IFERROR(CORREL($AQ$6:$AQ$105,$BO$6:$BO$105),0)</f>
        <v>0</v>
      </c>
      <c r="W149" s="229">
        <f>IFERROR(CORREL($AS$6:$AS$105,$BO$6:$BO$105),0)</f>
        <v>0</v>
      </c>
      <c r="X149" s="229">
        <f>IFERROR(CORREL($AU$6:$AU$105,$BO$6:$BO$105),0)</f>
        <v>0</v>
      </c>
      <c r="Y149" s="229">
        <f>IFERROR(CORREL($AW$6:$AW$105,$BO$6:$BO$105),0)</f>
        <v>0</v>
      </c>
      <c r="Z149" s="229">
        <f>IFERROR(CORREL($AY$6:$AY$105,$BO$6:$BO$105),0)</f>
        <v>0</v>
      </c>
      <c r="AA149" s="229">
        <f>IFERROR(CORREL($BA$6:$BA$105,$BO$6:$BO$105),0)</f>
        <v>0</v>
      </c>
      <c r="AB149" s="229">
        <f>IFERROR(CORREL($BC$6:$BC$105,$BO$6:$BO$105),0)</f>
        <v>0</v>
      </c>
      <c r="AC149" s="229">
        <f>IFERROR(CORREL($BE$6:$BE$105,$BO$6:$BO$105),0)</f>
        <v>0</v>
      </c>
      <c r="AD149" s="229">
        <f>IFERROR(CORREL($BG$6:$BG$105,$BO$6:$BO$105),0)</f>
        <v>0</v>
      </c>
      <c r="AE149" s="229">
        <f>IFERROR(CORREL($BI$6:$BI$105,$BO$6:$BO$105),0)</f>
        <v>0</v>
      </c>
      <c r="AF149" s="229">
        <f>IFERROR(CORREL($BK$6:$BK$105,$BO$6:$BO$105),0)</f>
        <v>0</v>
      </c>
      <c r="AG149" s="229">
        <f>IFERROR(CORREL($BM$6:$BM$105,$BO$6:$BO$105),0)</f>
        <v>0</v>
      </c>
      <c r="AH149" s="230">
        <f>IFERROR(CORREL($BO$6:$BO$105,$BO$6:$BO$105),0)</f>
        <v>0</v>
      </c>
    </row>
    <row r="150" spans="1:57" s="223" customFormat="1" ht="16.5" x14ac:dyDescent="0.3">
      <c r="B150" s="169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</row>
    <row r="151" spans="1:57" x14ac:dyDescent="0.3">
      <c r="B151" s="166"/>
      <c r="C151"/>
      <c r="D151" s="182"/>
      <c r="E151"/>
      <c r="F151" s="182"/>
      <c r="G151"/>
      <c r="H151" s="182"/>
      <c r="I151"/>
      <c r="J151" s="182"/>
      <c r="K151"/>
      <c r="L151" s="182"/>
      <c r="M151"/>
      <c r="N151" s="56"/>
      <c r="O151"/>
      <c r="Q151"/>
      <c r="S151"/>
      <c r="U151"/>
      <c r="W151"/>
      <c r="X151" s="56"/>
      <c r="Y151"/>
      <c r="AA151"/>
      <c r="AC151"/>
      <c r="AD151" s="182"/>
      <c r="AQ151"/>
      <c r="AS151"/>
      <c r="AU151"/>
      <c r="AW151"/>
      <c r="AY151"/>
      <c r="BA151"/>
      <c r="BC151"/>
      <c r="BE151"/>
    </row>
    <row r="152" spans="1:57" x14ac:dyDescent="0.3">
      <c r="B152" s="188"/>
      <c r="C152" s="189" t="s">
        <v>583</v>
      </c>
      <c r="D152" s="189" t="s">
        <v>615</v>
      </c>
      <c r="E152" s="189" t="s">
        <v>614</v>
      </c>
      <c r="F152" s="189" t="s">
        <v>617</v>
      </c>
      <c r="G152" s="189" t="s">
        <v>616</v>
      </c>
      <c r="H152" s="189" t="s">
        <v>1110</v>
      </c>
      <c r="I152" s="189" t="s">
        <v>1111</v>
      </c>
      <c r="J152" s="182"/>
      <c r="K152"/>
      <c r="L152" s="182"/>
      <c r="M152"/>
      <c r="N152" s="182"/>
      <c r="P152" s="182"/>
      <c r="R152" s="182"/>
      <c r="T152" s="182"/>
      <c r="V152" s="182"/>
      <c r="X152" s="56"/>
      <c r="Y152" s="56"/>
      <c r="Z152" s="182"/>
      <c r="AB152" s="182"/>
      <c r="AE152"/>
      <c r="AF152" s="182"/>
      <c r="AG152"/>
      <c r="AH152" s="182"/>
      <c r="AI152"/>
      <c r="AJ152" s="182"/>
      <c r="AK152"/>
      <c r="AL152" s="182"/>
      <c r="AM152"/>
      <c r="AN152" s="182"/>
      <c r="AO152"/>
      <c r="AP152" s="182"/>
      <c r="AQ152"/>
      <c r="AR152" s="182"/>
      <c r="AS152"/>
      <c r="AT152" s="182"/>
      <c r="AU152"/>
      <c r="AV152" s="182"/>
      <c r="AW152"/>
      <c r="AX152" s="182"/>
      <c r="AY152"/>
      <c r="AZ152" s="182"/>
      <c r="BA152"/>
      <c r="BB152" s="182"/>
      <c r="BC152"/>
      <c r="BD152" s="182"/>
      <c r="BE152"/>
    </row>
    <row r="153" spans="1:57" x14ac:dyDescent="0.3">
      <c r="B153" s="184" t="s">
        <v>723</v>
      </c>
      <c r="C153" s="106">
        <f>$B$109</f>
        <v>8167736.2599999998</v>
      </c>
      <c r="D153" s="23">
        <f>$E$153/$B$109</f>
        <v>7.5993838946030237E-4</v>
      </c>
      <c r="E153" s="34">
        <f>MMULT(MMULT(C190:AH190,C118:AH149),E156:E187)^(1/2)</f>
        <v>6206.9763389609134</v>
      </c>
      <c r="F153" s="23">
        <f>$G$153/$B$109</f>
        <v>3.4824751932046663E-3</v>
      </c>
      <c r="G153" s="34">
        <f>MMULT(MMULT(C192:AH192,C118:AH149),G156:G187)^(1/2)</f>
        <v>28443.938910088258</v>
      </c>
      <c r="H153" s="301">
        <f>$I$153/$B$109</f>
        <v>1.206364794145745E-2</v>
      </c>
      <c r="I153" s="201">
        <f>(E153*(252^(1/2)))</f>
        <v>98532.69471931638</v>
      </c>
      <c r="J153" s="182"/>
      <c r="K153"/>
      <c r="L153" s="182"/>
      <c r="M153"/>
      <c r="N153" s="182"/>
      <c r="O153"/>
      <c r="P153" s="182"/>
      <c r="Q153"/>
      <c r="R153" s="182"/>
      <c r="S153"/>
      <c r="T153" s="182"/>
      <c r="U153"/>
      <c r="V153" s="182"/>
      <c r="W153"/>
      <c r="X153" s="182"/>
      <c r="Y153"/>
      <c r="Z153" s="182"/>
      <c r="AA153"/>
      <c r="AB153" s="182"/>
      <c r="AC153"/>
      <c r="AD153" s="182"/>
      <c r="AE153"/>
      <c r="AF153" s="182"/>
      <c r="AG153"/>
      <c r="AH153" s="182"/>
      <c r="AI153"/>
      <c r="AJ153" s="182"/>
      <c r="AK153"/>
      <c r="AL153" s="182"/>
      <c r="AM153"/>
      <c r="AN153" s="182"/>
      <c r="AO153"/>
      <c r="AP153" s="182"/>
      <c r="AQ153"/>
      <c r="AR153" s="182"/>
      <c r="AS153"/>
      <c r="AT153" s="182"/>
      <c r="AU153"/>
      <c r="AV153" s="182"/>
      <c r="AW153"/>
      <c r="AX153" s="182"/>
      <c r="AY153"/>
      <c r="AZ153" s="182"/>
      <c r="BA153"/>
      <c r="BB153" s="182"/>
      <c r="BC153"/>
      <c r="BD153" s="182"/>
      <c r="BE153"/>
    </row>
    <row r="154" spans="1:57" x14ac:dyDescent="0.3">
      <c r="N154" s="182"/>
      <c r="O154"/>
      <c r="P154" s="182"/>
      <c r="Q154"/>
      <c r="R154" s="182"/>
      <c r="S154"/>
      <c r="T154" s="182"/>
      <c r="U154"/>
      <c r="V154" s="182"/>
      <c r="W154"/>
      <c r="X154" s="182"/>
      <c r="Y154"/>
      <c r="Z154" s="182"/>
      <c r="AA154"/>
      <c r="AB154" s="182"/>
      <c r="AC154"/>
      <c r="AD154" s="182"/>
    </row>
    <row r="155" spans="1:57" x14ac:dyDescent="0.3">
      <c r="B155" s="243" t="s">
        <v>73</v>
      </c>
      <c r="C155" s="243" t="s">
        <v>583</v>
      </c>
      <c r="D155" s="145" t="s">
        <v>615</v>
      </c>
      <c r="E155" s="145" t="s">
        <v>614</v>
      </c>
      <c r="F155" s="145" t="s">
        <v>617</v>
      </c>
      <c r="G155" s="145" t="s">
        <v>616</v>
      </c>
      <c r="H155" s="145" t="s">
        <v>1110</v>
      </c>
      <c r="I155" s="145" t="s">
        <v>616</v>
      </c>
      <c r="J155" s="182"/>
      <c r="K155"/>
      <c r="L155" s="182"/>
      <c r="M155"/>
      <c r="O155"/>
      <c r="AE155"/>
      <c r="AF155" s="182"/>
      <c r="AG155"/>
      <c r="AH155" s="182"/>
      <c r="AI155"/>
      <c r="AJ155" s="182"/>
      <c r="AK155"/>
      <c r="AL155" s="182"/>
      <c r="AM155"/>
      <c r="AN155" s="182"/>
      <c r="AO155"/>
      <c r="AP155" s="182"/>
      <c r="AQ155"/>
      <c r="AR155" s="182"/>
      <c r="AS155"/>
      <c r="AT155" s="182"/>
      <c r="AU155"/>
      <c r="AV155" s="182"/>
      <c r="AW155"/>
      <c r="AX155" s="182"/>
      <c r="AY155"/>
      <c r="AZ155" s="182"/>
      <c r="BA155"/>
      <c r="BB155" s="182"/>
      <c r="BC155"/>
      <c r="BD155" s="182"/>
      <c r="BE155"/>
    </row>
    <row r="156" spans="1:57" x14ac:dyDescent="0.3">
      <c r="A156" s="182">
        <v>1</v>
      </c>
      <c r="B156" s="244" t="str">
        <f>IF(Carteira!C3=0,"",Carteira!C3)</f>
        <v>BB IRF-M</v>
      </c>
      <c r="C156" s="245" t="str">
        <f>IF(Entrada!J10=0,"",Entrada!J10)</f>
        <v/>
      </c>
      <c r="D156" s="23">
        <f>IFERROR(D111,0)</f>
        <v>0</v>
      </c>
      <c r="E156" s="190">
        <f>IFERROR(D110,0)</f>
        <v>0</v>
      </c>
      <c r="F156" s="23">
        <f>IFERROR(D113,)</f>
        <v>0</v>
      </c>
      <c r="G156" s="190">
        <f>IFERROR(D112,0)</f>
        <v>0</v>
      </c>
      <c r="H156" s="23">
        <f>IFERROR(D115,0)</f>
        <v>0</v>
      </c>
      <c r="I156" s="286">
        <f>IFERROR(D114,0)</f>
        <v>0</v>
      </c>
      <c r="J156" s="182"/>
      <c r="K156"/>
      <c r="L156" s="182"/>
      <c r="M156"/>
      <c r="N156" s="182"/>
      <c r="P156" s="182"/>
      <c r="Q156"/>
      <c r="R156" s="182"/>
      <c r="S156"/>
      <c r="T156" s="182"/>
      <c r="U156"/>
      <c r="V156" s="182"/>
      <c r="W156"/>
      <c r="X156" s="182"/>
      <c r="Y156"/>
      <c r="Z156" s="182"/>
      <c r="AA156"/>
      <c r="AB156" s="182"/>
      <c r="AC156"/>
      <c r="AD156" s="182"/>
      <c r="AE156"/>
      <c r="AF156" s="182"/>
      <c r="AG156"/>
      <c r="AH156" s="182"/>
      <c r="AI156"/>
      <c r="AJ156" s="182"/>
      <c r="AK156"/>
      <c r="AL156" s="182"/>
      <c r="AM156"/>
      <c r="AN156" s="182"/>
      <c r="AO156"/>
      <c r="AP156" s="182"/>
      <c r="AQ156"/>
      <c r="AR156" s="182"/>
      <c r="AS156"/>
      <c r="AT156" s="182"/>
      <c r="AU156"/>
      <c r="AV156" s="182"/>
      <c r="AW156"/>
      <c r="AX156" s="182"/>
      <c r="AY156"/>
      <c r="AZ156" s="182"/>
      <c r="BA156"/>
      <c r="BB156" s="182"/>
      <c r="BC156"/>
      <c r="BD156" s="182"/>
      <c r="BE156"/>
    </row>
    <row r="157" spans="1:57" x14ac:dyDescent="0.3">
      <c r="A157" s="182">
        <v>2</v>
      </c>
      <c r="B157" s="244" t="str">
        <f>IF(Carteira!C4=0,"",Carteira!C4)</f>
        <v>BB Perfil</v>
      </c>
      <c r="C157" s="245">
        <f>IF(Entrada!J11=0,"",Entrada!J11)</f>
        <v>368033.64</v>
      </c>
      <c r="D157" s="23">
        <f>IFERROR(F111,0)</f>
        <v>2.295148364817493E-6</v>
      </c>
      <c r="E157" s="190">
        <f>IFERROR(F110,0)</f>
        <v>18.746166521399545</v>
      </c>
      <c r="F157" s="23">
        <f>IFERROR(F113,0)</f>
        <v>1.0517691112930283E-5</v>
      </c>
      <c r="G157" s="190">
        <f>IFERROR(F112,0)</f>
        <v>85.905727074560417</v>
      </c>
      <c r="H157" s="23">
        <f>IFERROR(F115,0)</f>
        <v>3.6434350771821803E-5</v>
      </c>
      <c r="I157" s="286">
        <f>IFERROR(F114,0)</f>
        <v>297.58616790856792</v>
      </c>
      <c r="J157" s="182"/>
      <c r="K157"/>
      <c r="L157" s="182"/>
      <c r="M157"/>
      <c r="N157" s="182"/>
      <c r="O157"/>
      <c r="P157" s="182"/>
      <c r="Q157"/>
      <c r="R157" s="182"/>
      <c r="S157"/>
      <c r="T157" s="182"/>
      <c r="U157"/>
      <c r="V157" s="182"/>
      <c r="W157"/>
      <c r="X157" s="182"/>
      <c r="Y157"/>
      <c r="Z157" s="182"/>
      <c r="AA157"/>
      <c r="AB157" s="182"/>
      <c r="AC157"/>
      <c r="AD157" s="182"/>
      <c r="AE157"/>
      <c r="AF157" s="182"/>
      <c r="AG157"/>
      <c r="AH157" s="182"/>
      <c r="AI157"/>
      <c r="AJ157" s="182"/>
      <c r="AK157"/>
      <c r="AL157" s="182"/>
      <c r="AM157"/>
      <c r="AN157" s="182"/>
      <c r="AO157"/>
      <c r="AP157" s="182"/>
      <c r="AQ157"/>
      <c r="AR157" s="182"/>
      <c r="AS157"/>
      <c r="AT157" s="182"/>
      <c r="AU157"/>
      <c r="AV157" s="182"/>
      <c r="AW157"/>
      <c r="AX157" s="182"/>
      <c r="AY157"/>
      <c r="AZ157" s="182"/>
      <c r="BA157"/>
      <c r="BB157" s="182"/>
      <c r="BC157"/>
      <c r="BD157" s="182"/>
      <c r="BE157"/>
    </row>
    <row r="158" spans="1:57" x14ac:dyDescent="0.3">
      <c r="A158" s="182">
        <v>3</v>
      </c>
      <c r="B158" s="244" t="str">
        <f>IF(Carteira!C5=0,"",Carteira!C5)</f>
        <v>BB IX TP</v>
      </c>
      <c r="C158" s="245">
        <f>IF(Entrada!J12=0,"",Entrada!J12)</f>
        <v>535928.17000000004</v>
      </c>
      <c r="D158" s="23">
        <f>IFERROR(H111,0)</f>
        <v>8.3814416341363926E-5</v>
      </c>
      <c r="E158" s="190">
        <f>IFERROR(H110,0)</f>
        <v>684.57404746209465</v>
      </c>
      <c r="F158" s="23">
        <f>IFERROR(H113,0)</f>
        <v>3.8408590721284385E-4</v>
      </c>
      <c r="G158" s="190">
        <f>IFERROR(H112,0)</f>
        <v>3137.1123912973403</v>
      </c>
      <c r="H158" s="23">
        <f>IFERROR(H115,0)</f>
        <v>1.3305126115276623E-3</v>
      </c>
      <c r="I158" s="286">
        <f>IFERROR(H114,0)</f>
        <v>10867.276101561782</v>
      </c>
      <c r="J158" s="182"/>
      <c r="K158"/>
      <c r="L158" s="182"/>
      <c r="M158"/>
      <c r="N158" s="182"/>
      <c r="O158"/>
      <c r="P158" s="182"/>
      <c r="Q158"/>
      <c r="R158" s="182"/>
      <c r="S158"/>
      <c r="T158" s="182"/>
      <c r="U158"/>
      <c r="V158" s="182"/>
      <c r="W158"/>
      <c r="X158" s="182"/>
      <c r="Y158"/>
      <c r="Z158" s="182"/>
      <c r="AA158"/>
      <c r="AB158" s="182"/>
      <c r="AC158"/>
      <c r="AD158" s="182"/>
      <c r="AE158"/>
      <c r="AF158" s="182"/>
      <c r="AG158"/>
      <c r="AH158" s="182"/>
      <c r="AI158"/>
      <c r="AJ158" s="182"/>
      <c r="AK158"/>
      <c r="AL158" s="182"/>
      <c r="AM158"/>
      <c r="AN158" s="182"/>
      <c r="AO158"/>
      <c r="AP158" s="182"/>
      <c r="AQ158"/>
      <c r="AR158" s="182"/>
      <c r="AS158"/>
      <c r="AT158" s="182"/>
      <c r="AU158"/>
      <c r="AV158" s="182"/>
      <c r="AW158"/>
      <c r="AX158" s="182"/>
      <c r="AY158"/>
      <c r="AZ158" s="182"/>
      <c r="BA158"/>
      <c r="BB158" s="182"/>
      <c r="BC158"/>
      <c r="BD158" s="182"/>
      <c r="BE158"/>
    </row>
    <row r="159" spans="1:57" x14ac:dyDescent="0.3">
      <c r="A159" s="223">
        <v>4</v>
      </c>
      <c r="B159" s="244" t="str">
        <f>IF(Carteira!C6=0,"",Carteira!C6)</f>
        <v>BB IRF-M1</v>
      </c>
      <c r="C159" s="245">
        <f>IF(Entrada!J13=0,"",Entrada!J13)</f>
        <v>3391984.3</v>
      </c>
      <c r="D159" s="23">
        <f>IFERROR(J111,0)</f>
        <v>1.9435894850779165E-4</v>
      </c>
      <c r="E159" s="190">
        <f>IFERROR(J110,0)</f>
        <v>1587.4726311825627</v>
      </c>
      <c r="F159" s="23">
        <f>IFERROR(J113,0)</f>
        <v>8.9066459352897965E-4</v>
      </c>
      <c r="G159" s="190">
        <f>IFERROR(J112,0)</f>
        <v>7274.7134960648082</v>
      </c>
      <c r="H159" s="23">
        <f>IFERROR(J115,0)</f>
        <v>3.0853526569897503E-3</v>
      </c>
      <c r="I159" s="286">
        <f>IFERROR(J114,0)</f>
        <v>25200.346771382527</v>
      </c>
      <c r="J159" s="182"/>
      <c r="K159"/>
      <c r="L159" s="182"/>
      <c r="M159"/>
      <c r="N159" s="182"/>
      <c r="O159"/>
      <c r="P159" s="182"/>
      <c r="Q159"/>
      <c r="R159" s="182"/>
      <c r="S159"/>
      <c r="T159" s="182"/>
      <c r="U159"/>
      <c r="V159" s="182"/>
      <c r="W159"/>
      <c r="X159" s="182"/>
      <c r="Y159"/>
      <c r="Z159" s="182"/>
      <c r="AA159"/>
      <c r="AB159" s="182"/>
      <c r="AC159"/>
      <c r="AD159" s="182"/>
      <c r="AE159"/>
      <c r="AF159" s="182"/>
      <c r="AG159"/>
      <c r="AH159" s="182"/>
      <c r="AI159"/>
      <c r="AJ159" s="182"/>
      <c r="AK159"/>
      <c r="AL159" s="182"/>
      <c r="AM159"/>
      <c r="AN159" s="182"/>
      <c r="AO159"/>
      <c r="AP159" s="182"/>
      <c r="AQ159"/>
      <c r="AR159" s="182"/>
      <c r="AS159"/>
      <c r="AT159" s="182"/>
      <c r="AU159"/>
      <c r="AV159" s="182"/>
      <c r="AW159"/>
      <c r="AX159" s="182"/>
      <c r="AY159"/>
      <c r="AZ159" s="182"/>
      <c r="BA159"/>
      <c r="BB159" s="182"/>
      <c r="BC159"/>
      <c r="BD159" s="182"/>
      <c r="BE159"/>
    </row>
    <row r="160" spans="1:57" x14ac:dyDescent="0.3">
      <c r="A160" s="223">
        <v>5</v>
      </c>
      <c r="B160" s="244" t="str">
        <f>IF(Carteira!C7=0,"",Carteira!C7)</f>
        <v>Caixa 2016 I TP RF</v>
      </c>
      <c r="C160" s="245">
        <f>IF(Entrada!J14=0,"",Entrada!J14)</f>
        <v>1086173</v>
      </c>
      <c r="D160" s="167">
        <f>IFERROR(L111,0)</f>
        <v>6.3327363691091632E-4</v>
      </c>
      <c r="E160" s="190">
        <f>IFERROR(L110,0)</f>
        <v>5172.4120466993654</v>
      </c>
      <c r="F160" s="23">
        <f>IFERROR(L113,0)</f>
        <v>2.9020243767642548E-3</v>
      </c>
      <c r="G160" s="190">
        <f>IFERROR(L112,0)</f>
        <v>23702.969729501303</v>
      </c>
      <c r="H160" s="23">
        <f>IFERROR(L115,0)</f>
        <v>1.005290733071819E-2</v>
      </c>
      <c r="I160" s="286">
        <f>IFERROR(L114,0)</f>
        <v>82109.495723526779</v>
      </c>
      <c r="J160" s="182"/>
      <c r="K160"/>
      <c r="L160" s="182"/>
      <c r="M160"/>
      <c r="N160" s="182"/>
      <c r="O160"/>
      <c r="P160" s="182"/>
      <c r="Q160"/>
      <c r="R160" s="182"/>
      <c r="S160"/>
      <c r="T160" s="182"/>
      <c r="U160"/>
      <c r="V160" s="182"/>
      <c r="W160"/>
      <c r="X160" s="182"/>
      <c r="Y160"/>
      <c r="Z160" s="182"/>
      <c r="AA160"/>
      <c r="AB160" s="182"/>
      <c r="AC160"/>
      <c r="AD160" s="182"/>
      <c r="AE160"/>
      <c r="AF160" s="182"/>
      <c r="AG160"/>
      <c r="AH160" s="182"/>
      <c r="AI160"/>
      <c r="AJ160" s="182"/>
      <c r="AK160"/>
      <c r="AL160" s="182"/>
      <c r="AM160"/>
      <c r="AN160" s="182"/>
      <c r="AO160"/>
      <c r="AP160" s="182"/>
      <c r="AQ160"/>
      <c r="AR160" s="182"/>
      <c r="AS160"/>
      <c r="AT160" s="182"/>
      <c r="AU160"/>
      <c r="AV160" s="182"/>
      <c r="AW160"/>
      <c r="AX160" s="182"/>
      <c r="AY160"/>
      <c r="AZ160" s="182"/>
      <c r="BA160"/>
      <c r="BB160" s="182"/>
      <c r="BC160"/>
      <c r="BD160" s="182"/>
      <c r="BE160"/>
    </row>
    <row r="161" spans="1:57" x14ac:dyDescent="0.3">
      <c r="A161" s="223">
        <v>6</v>
      </c>
      <c r="B161" s="244" t="str">
        <f>IF(Carteira!C8=0,"",Carteira!C8)</f>
        <v>Caixa Ref. DI LP</v>
      </c>
      <c r="C161" s="245">
        <f>IF(Entrada!J15=0,"",Entrada!J15)</f>
        <v>635599.06999999995</v>
      </c>
      <c r="D161" s="167">
        <f>IFERROR(N111,0)</f>
        <v>4.1906504528015386E-6</v>
      </c>
      <c r="E161" s="190">
        <f>IFERROR(N110,0)</f>
        <v>34.228127656332546</v>
      </c>
      <c r="F161" s="23">
        <f>IFERROR(N113,0)</f>
        <v>1.9203972911064018E-5</v>
      </c>
      <c r="G161" s="190">
        <f>IFERROR(N112,0)</f>
        <v>156.85298588175533</v>
      </c>
      <c r="H161" s="23">
        <f>IFERROR(N115,0)</f>
        <v>6.6524513578278553E-5</v>
      </c>
      <c r="I161" s="286">
        <f>IFERROR(N114,0)</f>
        <v>543.35468173216805</v>
      </c>
      <c r="J161" s="182"/>
      <c r="K161"/>
      <c r="L161" s="182"/>
      <c r="M161"/>
      <c r="N161" s="182"/>
      <c r="O161"/>
      <c r="P161" s="182"/>
      <c r="Q161"/>
      <c r="R161" s="182"/>
      <c r="S161"/>
      <c r="T161" s="182"/>
      <c r="U161"/>
      <c r="V161" s="182"/>
      <c r="W161"/>
      <c r="X161" s="182"/>
      <c r="Y161"/>
      <c r="Z161" s="182"/>
      <c r="AA161"/>
      <c r="AB161" s="182"/>
      <c r="AC161"/>
      <c r="AD161" s="182"/>
      <c r="AE161"/>
      <c r="AF161" s="182"/>
      <c r="AG161"/>
      <c r="AH161" s="182"/>
      <c r="AI161"/>
      <c r="AJ161" s="182"/>
      <c r="AK161"/>
      <c r="AL161" s="182"/>
      <c r="AM161"/>
      <c r="AN161" s="182"/>
      <c r="AO161"/>
      <c r="AP161" s="182"/>
      <c r="AQ161"/>
      <c r="AR161" s="182"/>
      <c r="AS161"/>
      <c r="AT161" s="182"/>
      <c r="AU161"/>
      <c r="AV161" s="182"/>
      <c r="AW161"/>
      <c r="AX161" s="182"/>
      <c r="AY161"/>
      <c r="AZ161" s="182"/>
      <c r="BA161"/>
      <c r="BB161" s="182"/>
      <c r="BC161"/>
      <c r="BD161" s="182"/>
      <c r="BE161"/>
    </row>
    <row r="162" spans="1:57" x14ac:dyDescent="0.3">
      <c r="A162" s="223">
        <v>7</v>
      </c>
      <c r="B162" s="244" t="str">
        <f>IF(Carteira!C9=0,"",Carteira!C9)</f>
        <v>Caixa IRF-M1</v>
      </c>
      <c r="C162" s="245">
        <f>IF(Entrada!J16=0,"",Entrada!J16)</f>
        <v>2150018.08</v>
      </c>
      <c r="D162" s="167">
        <f>IFERROR(P111,0)</f>
        <v>1.2437107238860576E-4</v>
      </c>
      <c r="E162" s="190">
        <f>IFERROR(P110,0)</f>
        <v>1015.8301176435001</v>
      </c>
      <c r="F162" s="23">
        <f>IFERROR(P113,0)</f>
        <v>5.6993985348361819E-4</v>
      </c>
      <c r="G162" s="190">
        <f>IFERROR(P112,0)</f>
        <v>4655.1184073172353</v>
      </c>
      <c r="H162" s="23">
        <f>IFERROR(P115,0)</f>
        <v>1.9743295669839771E-3</v>
      </c>
      <c r="I162" s="286">
        <f>IFERROR(P114,0)</f>
        <v>16125.803193445126</v>
      </c>
      <c r="J162" s="182"/>
      <c r="K162"/>
      <c r="L162" s="182"/>
      <c r="M162"/>
      <c r="N162" s="182"/>
      <c r="O162"/>
      <c r="P162" s="182"/>
      <c r="Q162"/>
      <c r="R162" s="182"/>
      <c r="S162"/>
      <c r="T162" s="182"/>
      <c r="U162"/>
      <c r="V162" s="182"/>
      <c r="W162"/>
      <c r="X162" s="182"/>
      <c r="Y162"/>
      <c r="Z162" s="182"/>
      <c r="AA162"/>
      <c r="AB162" s="182"/>
      <c r="AC162"/>
      <c r="AD162" s="182"/>
      <c r="AE162"/>
      <c r="AF162" s="182"/>
      <c r="AG162"/>
      <c r="AH162" s="182"/>
      <c r="AI162"/>
      <c r="AJ162" s="182"/>
      <c r="AK162"/>
      <c r="AL162" s="182"/>
      <c r="AM162"/>
      <c r="AN162" s="182"/>
      <c r="AO162"/>
      <c r="AP162" s="182"/>
      <c r="AQ162"/>
      <c r="AR162" s="182"/>
      <c r="AS162"/>
      <c r="AT162" s="182"/>
      <c r="AU162"/>
      <c r="AV162" s="182"/>
      <c r="AW162"/>
      <c r="AX162" s="182"/>
      <c r="AY162"/>
      <c r="AZ162" s="182"/>
      <c r="BA162"/>
      <c r="BB162" s="182"/>
      <c r="BC162"/>
      <c r="BD162" s="182"/>
      <c r="BE162"/>
    </row>
    <row r="163" spans="1:57" x14ac:dyDescent="0.3">
      <c r="A163" s="223">
        <v>8</v>
      </c>
      <c r="B163" s="244" t="str">
        <f>IF(Carteira!C10=0,"",Carteira!C10)</f>
        <v>Caixa IRF-M1+</v>
      </c>
      <c r="C163" s="245" t="str">
        <f>IF(Entrada!J17=0,"",Entrada!J17)</f>
        <v/>
      </c>
      <c r="D163" s="167">
        <f>IFERROR(R111,0)</f>
        <v>0</v>
      </c>
      <c r="E163" s="190">
        <f>IFERROR(R110,0)</f>
        <v>0</v>
      </c>
      <c r="F163" s="23">
        <f>IFERROR(R113,0)</f>
        <v>0</v>
      </c>
      <c r="G163" s="190">
        <f>IFERROR(R112,0)</f>
        <v>0</v>
      </c>
      <c r="H163" s="23">
        <f>IFERROR(R115,0)</f>
        <v>0</v>
      </c>
      <c r="I163" s="286">
        <f>IFERROR(R114,0)</f>
        <v>0</v>
      </c>
      <c r="J163" s="182"/>
      <c r="K163"/>
      <c r="L163" s="182"/>
      <c r="M163"/>
      <c r="N163" s="182"/>
      <c r="O163"/>
      <c r="P163" s="182"/>
      <c r="Q163"/>
      <c r="R163" s="182"/>
      <c r="S163"/>
      <c r="T163" s="182"/>
      <c r="U163"/>
      <c r="V163" s="182"/>
      <c r="W163"/>
      <c r="X163" s="182"/>
      <c r="Y163"/>
      <c r="Z163" s="182"/>
      <c r="AA163"/>
      <c r="AB163" s="182"/>
      <c r="AC163"/>
      <c r="AD163" s="182"/>
      <c r="AE163"/>
      <c r="AF163" s="182"/>
      <c r="AG163"/>
      <c r="AH163" s="182"/>
      <c r="AI163"/>
      <c r="AJ163" s="182"/>
      <c r="AK163"/>
      <c r="AL163" s="182"/>
      <c r="AM163"/>
      <c r="AN163" s="182"/>
      <c r="AO163"/>
      <c r="AP163" s="182"/>
      <c r="AQ163"/>
      <c r="AR163" s="182"/>
      <c r="AS163"/>
      <c r="AT163" s="182"/>
      <c r="AU163"/>
      <c r="AV163" s="182"/>
      <c r="AW163"/>
      <c r="AX163" s="182"/>
      <c r="AY163"/>
      <c r="AZ163" s="182"/>
      <c r="BA163"/>
      <c r="BB163" s="182"/>
      <c r="BC163"/>
      <c r="BD163" s="182"/>
      <c r="BE163"/>
    </row>
    <row r="164" spans="1:57" x14ac:dyDescent="0.3">
      <c r="A164" s="223">
        <v>9</v>
      </c>
      <c r="B164" s="244" t="str">
        <f>IF(Carteira!C11=0,"",Carteira!C11)</f>
        <v/>
      </c>
      <c r="C164" s="245" t="str">
        <f>IF(Entrada!J18=0,"",Entrada!J18)</f>
        <v/>
      </c>
      <c r="D164" s="167">
        <f>IFERROR(T111,0)</f>
        <v>0</v>
      </c>
      <c r="E164" s="190">
        <f>IFERROR(T110,0)</f>
        <v>0</v>
      </c>
      <c r="F164" s="23">
        <f>IFERROR(T113,0)</f>
        <v>0</v>
      </c>
      <c r="G164" s="190">
        <f>IFERROR(T112,0)</f>
        <v>0</v>
      </c>
      <c r="H164" s="23">
        <f>IFERROR(T115,0)</f>
        <v>0</v>
      </c>
      <c r="I164" s="286">
        <f>IFERROR(T114,0)</f>
        <v>0</v>
      </c>
      <c r="J164" s="182"/>
      <c r="K164"/>
      <c r="L164" s="182"/>
      <c r="M164"/>
      <c r="N164" s="182"/>
      <c r="O164"/>
      <c r="P164" s="182"/>
      <c r="Q164"/>
      <c r="R164" s="182"/>
      <c r="S164"/>
      <c r="T164" s="182"/>
      <c r="U164"/>
      <c r="V164" s="182"/>
      <c r="W164"/>
      <c r="X164" s="182"/>
      <c r="Y164"/>
      <c r="Z164" s="182"/>
      <c r="AA164"/>
      <c r="AB164" s="182"/>
      <c r="AC164"/>
      <c r="AD164" s="182"/>
      <c r="AE164"/>
      <c r="AF164" s="182"/>
      <c r="AG164"/>
      <c r="AH164" s="182"/>
      <c r="AI164"/>
      <c r="AJ164" s="182"/>
      <c r="AK164"/>
      <c r="AL164" s="182"/>
      <c r="AM164"/>
      <c r="AN164" s="182"/>
      <c r="AO164"/>
      <c r="AP164" s="182"/>
      <c r="AQ164"/>
      <c r="AR164" s="182"/>
      <c r="AS164"/>
      <c r="AT164" s="182"/>
      <c r="AU164"/>
      <c r="AV164" s="182"/>
      <c r="AW164"/>
      <c r="AX164" s="182"/>
      <c r="AY164"/>
      <c r="AZ164" s="182"/>
      <c r="BA164"/>
      <c r="BB164" s="182"/>
      <c r="BC164"/>
      <c r="BD164" s="182"/>
      <c r="BE164"/>
    </row>
    <row r="165" spans="1:57" x14ac:dyDescent="0.3">
      <c r="A165" s="223">
        <v>10</v>
      </c>
      <c r="B165" s="244" t="str">
        <f>IF(Carteira!C12=0,"",Carteira!C12)</f>
        <v/>
      </c>
      <c r="C165" s="245" t="str">
        <f>IF(Entrada!J19=0,"",Entrada!J19)</f>
        <v/>
      </c>
      <c r="D165" s="167">
        <f>IFERROR(V111,0)</f>
        <v>0</v>
      </c>
      <c r="E165" s="190">
        <f>IFERROR(V110,0)</f>
        <v>0</v>
      </c>
      <c r="F165" s="23">
        <f>IFERROR(V113,0)</f>
        <v>0</v>
      </c>
      <c r="G165" s="190">
        <f>IFERROR(V112,0)</f>
        <v>0</v>
      </c>
      <c r="H165" s="23">
        <f>IFERROR(V115,0)</f>
        <v>0</v>
      </c>
      <c r="I165" s="286">
        <f>IFERROR(V114,0)</f>
        <v>0</v>
      </c>
      <c r="J165" s="182"/>
      <c r="K165"/>
      <c r="L165" s="182"/>
      <c r="M165"/>
      <c r="N165" s="182"/>
      <c r="O165"/>
      <c r="P165" s="182"/>
      <c r="Q165"/>
      <c r="R165" s="182"/>
      <c r="S165"/>
      <c r="T165" s="182"/>
      <c r="U165"/>
      <c r="V165" s="182"/>
      <c r="W165"/>
      <c r="X165" s="182"/>
      <c r="Y165"/>
      <c r="Z165" s="182"/>
      <c r="AA165"/>
      <c r="AB165" s="182"/>
      <c r="AC165"/>
      <c r="AD165" s="182"/>
      <c r="AE165"/>
      <c r="AF165" s="182"/>
      <c r="AG165"/>
      <c r="AH165" s="182"/>
      <c r="AI165"/>
      <c r="AJ165" s="182"/>
      <c r="AK165"/>
      <c r="AL165" s="182"/>
      <c r="AM165"/>
      <c r="AN165" s="182"/>
      <c r="AO165"/>
      <c r="AP165" s="182"/>
      <c r="AQ165"/>
      <c r="AR165" s="182"/>
      <c r="AS165"/>
      <c r="AT165" s="182"/>
      <c r="AU165"/>
      <c r="AV165" s="182"/>
      <c r="AW165"/>
      <c r="AX165" s="182"/>
      <c r="AY165"/>
      <c r="AZ165" s="182"/>
      <c r="BA165"/>
      <c r="BB165" s="182"/>
      <c r="BC165"/>
      <c r="BD165" s="182"/>
      <c r="BE165"/>
    </row>
    <row r="166" spans="1:57" x14ac:dyDescent="0.3">
      <c r="A166" s="223">
        <v>11</v>
      </c>
      <c r="B166" s="244" t="str">
        <f>IF(Carteira!C13=0,"",Carteira!C13)</f>
        <v/>
      </c>
      <c r="C166" s="245" t="str">
        <f>IF(Entrada!J20=0,"",Entrada!J20)</f>
        <v/>
      </c>
      <c r="D166" s="167">
        <f>IFERROR(X111,0)</f>
        <v>0</v>
      </c>
      <c r="E166" s="190">
        <f>IFERROR(X110,0)</f>
        <v>0</v>
      </c>
      <c r="F166" s="23">
        <f>IFERROR(X113,0)</f>
        <v>0</v>
      </c>
      <c r="G166" s="190">
        <f>IFERROR(X112,0)</f>
        <v>0</v>
      </c>
      <c r="H166" s="23">
        <f>IFERROR(X115,0)</f>
        <v>0</v>
      </c>
      <c r="I166" s="286">
        <f>IFERROR(X114,0)</f>
        <v>0</v>
      </c>
      <c r="J166" s="182"/>
      <c r="K166"/>
      <c r="L166" s="182"/>
      <c r="M166"/>
      <c r="N166" s="182"/>
      <c r="O166"/>
      <c r="P166" s="182"/>
      <c r="Q166"/>
      <c r="R166" s="182"/>
      <c r="S166"/>
      <c r="T166" s="182"/>
      <c r="U166"/>
      <c r="V166" s="182"/>
      <c r="W166"/>
      <c r="X166" s="182"/>
      <c r="Y166"/>
      <c r="Z166" s="182"/>
      <c r="AA166"/>
      <c r="AB166" s="182"/>
      <c r="AC166"/>
      <c r="AD166" s="182"/>
      <c r="AE166"/>
      <c r="AF166" s="182"/>
      <c r="AG166"/>
      <c r="AH166" s="182"/>
      <c r="AI166"/>
      <c r="AJ166" s="182"/>
      <c r="AK166"/>
      <c r="AL166" s="182"/>
      <c r="AM166"/>
      <c r="AN166" s="182"/>
      <c r="AO166"/>
      <c r="AP166" s="182"/>
      <c r="AQ166"/>
      <c r="AR166" s="182"/>
      <c r="AS166"/>
      <c r="AT166" s="182"/>
      <c r="AU166"/>
      <c r="AV166" s="182"/>
      <c r="AW166"/>
      <c r="AX166" s="182"/>
      <c r="AY166"/>
      <c r="AZ166" s="182"/>
      <c r="BA166"/>
      <c r="BB166" s="182"/>
      <c r="BC166"/>
      <c r="BD166" s="182"/>
      <c r="BE166"/>
    </row>
    <row r="167" spans="1:57" x14ac:dyDescent="0.3">
      <c r="A167" s="223">
        <v>12</v>
      </c>
      <c r="B167" s="244" t="str">
        <f>IF(Carteira!C14=0,"",Carteira!C14)</f>
        <v/>
      </c>
      <c r="C167" s="245" t="str">
        <f>IF(Entrada!J21=0,"",Entrada!J21)</f>
        <v/>
      </c>
      <c r="D167" s="167">
        <f>IFERROR(Z111,0)</f>
        <v>0</v>
      </c>
      <c r="E167" s="190">
        <f>IFERROR(Z110,0)</f>
        <v>0</v>
      </c>
      <c r="F167" s="23">
        <f>IFERROR(Z113,0)</f>
        <v>0</v>
      </c>
      <c r="G167" s="190">
        <f>IFERROR(Z112,0)</f>
        <v>0</v>
      </c>
      <c r="H167" s="23">
        <f>IFERROR(Z115,0)</f>
        <v>0</v>
      </c>
      <c r="I167" s="286">
        <f>IFERROR(Z114,0)</f>
        <v>0</v>
      </c>
      <c r="J167" s="182"/>
      <c r="K167"/>
      <c r="L167" s="182"/>
      <c r="M167"/>
      <c r="N167" s="182"/>
      <c r="O167"/>
      <c r="P167" s="182"/>
      <c r="Q167"/>
      <c r="R167" s="182"/>
      <c r="S167"/>
      <c r="T167" s="182"/>
      <c r="U167"/>
      <c r="V167" s="182"/>
      <c r="W167"/>
      <c r="X167" s="182"/>
      <c r="Y167"/>
      <c r="Z167" s="182"/>
      <c r="AA167"/>
      <c r="AB167" s="182"/>
      <c r="AC167"/>
      <c r="AD167" s="182"/>
      <c r="AE167"/>
      <c r="AF167" s="182"/>
      <c r="AG167"/>
      <c r="AH167" s="182"/>
      <c r="AI167"/>
      <c r="AJ167" s="182"/>
      <c r="AK167"/>
      <c r="AL167" s="182"/>
      <c r="AM167"/>
      <c r="AN167" s="182"/>
      <c r="AO167"/>
      <c r="AP167" s="182"/>
      <c r="AQ167"/>
      <c r="AR167" s="182"/>
      <c r="AS167"/>
      <c r="AT167" s="182"/>
      <c r="AU167"/>
      <c r="AV167" s="182"/>
      <c r="AW167"/>
      <c r="AX167" s="182"/>
      <c r="AY167"/>
      <c r="AZ167" s="182"/>
      <c r="BA167"/>
      <c r="BB167" s="182"/>
      <c r="BC167"/>
      <c r="BD167" s="182"/>
      <c r="BE167"/>
    </row>
    <row r="168" spans="1:57" x14ac:dyDescent="0.3">
      <c r="A168" s="223">
        <v>13</v>
      </c>
      <c r="B168" s="244" t="str">
        <f>IF(Carteira!C15=0,"",Carteira!C15)</f>
        <v/>
      </c>
      <c r="C168" s="245" t="str">
        <f>IF(Entrada!J22=0,"",Entrada!J22)</f>
        <v/>
      </c>
      <c r="D168" s="167">
        <f>IFERROR(AB111,0)</f>
        <v>0</v>
      </c>
      <c r="E168" s="190">
        <f>IFERROR(AB110,0)</f>
        <v>0</v>
      </c>
      <c r="F168" s="23">
        <f>IFERROR(AB113,0)</f>
        <v>0</v>
      </c>
      <c r="G168" s="190">
        <f>IFERROR(AB112,0)</f>
        <v>0</v>
      </c>
      <c r="H168" s="23">
        <f>IFERROR(AB115,0)</f>
        <v>0</v>
      </c>
      <c r="I168" s="286">
        <f>IFERROR(AB114,0)</f>
        <v>0</v>
      </c>
      <c r="J168" s="182"/>
      <c r="K168"/>
      <c r="L168" s="182"/>
      <c r="M168"/>
      <c r="N168" s="182"/>
      <c r="O168"/>
      <c r="P168" s="182"/>
      <c r="Q168"/>
      <c r="R168" s="182"/>
      <c r="S168"/>
      <c r="T168" s="182"/>
      <c r="U168"/>
      <c r="V168" s="182"/>
      <c r="W168"/>
      <c r="X168" s="182"/>
      <c r="Y168"/>
      <c r="Z168" s="182"/>
      <c r="AA168"/>
      <c r="AB168" s="182"/>
      <c r="AC168"/>
      <c r="AD168" s="182"/>
      <c r="AE168"/>
      <c r="AF168" s="182"/>
      <c r="AG168"/>
      <c r="AH168" s="182"/>
      <c r="AI168"/>
      <c r="AJ168" s="182"/>
      <c r="AK168"/>
      <c r="AL168" s="182"/>
      <c r="AM168"/>
      <c r="AN168" s="182"/>
      <c r="AO168"/>
      <c r="AP168" s="182"/>
      <c r="AQ168"/>
      <c r="AR168" s="182"/>
      <c r="AS168"/>
      <c r="AT168" s="182"/>
      <c r="AU168"/>
      <c r="AV168" s="182"/>
      <c r="AW168"/>
      <c r="AX168" s="182"/>
      <c r="AY168"/>
      <c r="AZ168" s="182"/>
      <c r="BA168"/>
      <c r="BB168" s="182"/>
      <c r="BC168"/>
      <c r="BD168" s="182"/>
      <c r="BE168"/>
    </row>
    <row r="169" spans="1:57" x14ac:dyDescent="0.3">
      <c r="A169" s="223">
        <v>14</v>
      </c>
      <c r="B169" s="244" t="str">
        <f>IF(Carteira!C16=0,"",Carteira!C16)</f>
        <v/>
      </c>
      <c r="C169" s="245" t="str">
        <f>IF(Entrada!J23=0,"",Entrada!J23)</f>
        <v/>
      </c>
      <c r="D169" s="167">
        <f>IFERROR(AD111,0)</f>
        <v>0</v>
      </c>
      <c r="E169" s="190">
        <f>IFERROR(AD110,0)</f>
        <v>0</v>
      </c>
      <c r="F169" s="23">
        <f>IFERROR(AD113,0)</f>
        <v>0</v>
      </c>
      <c r="G169" s="190">
        <f>IFERROR(AD112,0)</f>
        <v>0</v>
      </c>
      <c r="H169" s="23">
        <f>IFERROR(AD115,0)</f>
        <v>0</v>
      </c>
      <c r="I169" s="286">
        <f>IFERROR(AD114,0)</f>
        <v>0</v>
      </c>
      <c r="J169" s="182"/>
      <c r="K169"/>
      <c r="L169" s="182"/>
      <c r="M169"/>
      <c r="N169" s="182"/>
      <c r="O169"/>
      <c r="P169" s="182"/>
      <c r="Q169"/>
      <c r="R169" s="182"/>
      <c r="S169"/>
      <c r="T169" s="182"/>
      <c r="U169"/>
      <c r="V169" s="182"/>
      <c r="W169"/>
      <c r="X169" s="182"/>
      <c r="Y169"/>
      <c r="Z169" s="182"/>
      <c r="AA169"/>
      <c r="AB169" s="182"/>
      <c r="AC169"/>
      <c r="AD169" s="182"/>
      <c r="AE169"/>
      <c r="AF169" s="182"/>
      <c r="AG169"/>
      <c r="AH169" s="182"/>
      <c r="AI169"/>
      <c r="AJ169" s="182"/>
      <c r="AK169"/>
      <c r="AL169" s="182"/>
      <c r="AM169"/>
      <c r="AN169" s="182"/>
      <c r="AO169"/>
      <c r="AP169" s="182"/>
      <c r="AQ169"/>
      <c r="AR169" s="182"/>
      <c r="AS169"/>
      <c r="AT169" s="182"/>
      <c r="AU169"/>
      <c r="AV169" s="182"/>
      <c r="AW169"/>
      <c r="AX169" s="182"/>
      <c r="AY169"/>
      <c r="AZ169" s="182"/>
      <c r="BA169"/>
      <c r="BB169" s="182"/>
      <c r="BC169"/>
      <c r="BD169" s="182"/>
      <c r="BE169"/>
    </row>
    <row r="170" spans="1:57" x14ac:dyDescent="0.3">
      <c r="A170" s="223">
        <v>15</v>
      </c>
      <c r="B170" s="244" t="str">
        <f>IF(Carteira!C17=0,"",Carteira!C17)</f>
        <v/>
      </c>
      <c r="C170" s="245" t="str">
        <f>IF(Entrada!J24=0,"",Entrada!J24)</f>
        <v/>
      </c>
      <c r="D170" s="167">
        <f>IFERROR(AF111,0)</f>
        <v>0</v>
      </c>
      <c r="E170" s="190">
        <f>IFERROR(AF110,0)</f>
        <v>0</v>
      </c>
      <c r="F170" s="23">
        <f>IFERROR(AF113,0)</f>
        <v>0</v>
      </c>
      <c r="G170" s="190">
        <f>IFERROR(AF112,0)</f>
        <v>0</v>
      </c>
      <c r="H170" s="23">
        <f>IFERROR(AF115,0)</f>
        <v>0</v>
      </c>
      <c r="I170" s="286">
        <f>IFERROR(AF114,0)</f>
        <v>0</v>
      </c>
      <c r="J170" s="182"/>
      <c r="K170"/>
      <c r="L170" s="182"/>
      <c r="M170"/>
      <c r="N170" s="182"/>
      <c r="O170"/>
      <c r="P170" s="182"/>
      <c r="Q170"/>
      <c r="R170" s="182"/>
      <c r="S170"/>
      <c r="T170" s="182"/>
      <c r="U170"/>
      <c r="V170" s="182"/>
      <c r="W170"/>
      <c r="X170" s="182"/>
      <c r="Y170"/>
      <c r="Z170" s="182"/>
      <c r="AA170"/>
      <c r="AB170" s="182"/>
      <c r="AC170"/>
      <c r="AD170" s="182"/>
      <c r="AE170"/>
      <c r="AF170" s="182"/>
      <c r="AG170"/>
      <c r="AH170" s="182"/>
      <c r="AI170"/>
      <c r="AJ170" s="182"/>
      <c r="AK170"/>
      <c r="AL170" s="182"/>
      <c r="AM170"/>
      <c r="AN170" s="182"/>
      <c r="AO170"/>
      <c r="AP170" s="182"/>
      <c r="AQ170"/>
      <c r="AR170" s="182"/>
      <c r="AS170"/>
      <c r="AT170" s="182"/>
      <c r="AU170"/>
      <c r="AV170" s="182"/>
      <c r="AW170"/>
      <c r="AX170" s="182"/>
      <c r="AY170"/>
      <c r="AZ170" s="182"/>
      <c r="BA170"/>
      <c r="BB170" s="182"/>
      <c r="BC170"/>
      <c r="BD170" s="182"/>
      <c r="BE170"/>
    </row>
    <row r="171" spans="1:57" x14ac:dyDescent="0.3">
      <c r="A171" s="223">
        <v>16</v>
      </c>
      <c r="B171" s="244" t="str">
        <f>IF(Carteira!C18=0,"",Carteira!C18)</f>
        <v/>
      </c>
      <c r="C171" s="245" t="str">
        <f>IF(Entrada!J25=0,"",Entrada!J25)</f>
        <v/>
      </c>
      <c r="D171" s="167">
        <f>IFERROR(AH111,0)</f>
        <v>0</v>
      </c>
      <c r="E171" s="190">
        <f>IFERROR(AH110,0)</f>
        <v>0</v>
      </c>
      <c r="F171" s="23">
        <f>IFERROR(AH113,0)</f>
        <v>0</v>
      </c>
      <c r="G171" s="190">
        <f>IFERROR(AH112,0)</f>
        <v>0</v>
      </c>
      <c r="H171" s="23">
        <f>IFERROR(AH115,0)</f>
        <v>0</v>
      </c>
      <c r="I171" s="286">
        <f>IFERROR(AH114,0)</f>
        <v>0</v>
      </c>
      <c r="J171" s="182"/>
      <c r="K171"/>
      <c r="L171" s="182"/>
      <c r="M171"/>
      <c r="N171" s="182"/>
      <c r="O171"/>
      <c r="P171" s="182"/>
      <c r="Q171"/>
      <c r="R171" s="182"/>
      <c r="S171"/>
      <c r="T171" s="182"/>
      <c r="U171"/>
      <c r="V171" s="182"/>
      <c r="W171"/>
      <c r="X171" s="182"/>
      <c r="Y171"/>
      <c r="Z171" s="182"/>
      <c r="AA171"/>
      <c r="AB171" s="182"/>
      <c r="AC171"/>
      <c r="AD171" s="182"/>
      <c r="AE171"/>
      <c r="AF171" s="182"/>
      <c r="AG171"/>
      <c r="AH171" s="182"/>
      <c r="AI171"/>
      <c r="AJ171" s="182"/>
      <c r="AK171"/>
      <c r="AL171" s="182"/>
      <c r="AM171"/>
      <c r="AN171" s="182"/>
      <c r="AO171"/>
      <c r="AP171" s="182"/>
      <c r="AQ171"/>
      <c r="AR171" s="182"/>
      <c r="AS171"/>
      <c r="AT171" s="182"/>
      <c r="AU171"/>
      <c r="AV171" s="182"/>
      <c r="AW171"/>
      <c r="AX171" s="182"/>
      <c r="AY171"/>
      <c r="AZ171" s="182"/>
      <c r="BA171"/>
      <c r="BB171" s="182"/>
      <c r="BC171"/>
      <c r="BD171" s="182"/>
      <c r="BE171"/>
    </row>
    <row r="172" spans="1:57" x14ac:dyDescent="0.3">
      <c r="A172" s="223">
        <v>17</v>
      </c>
      <c r="B172" s="244" t="str">
        <f>IF(Carteira!C19=0,"",Carteira!C19)</f>
        <v/>
      </c>
      <c r="C172" s="245" t="str">
        <f>IF(Entrada!J26=0,"",Entrada!J26)</f>
        <v/>
      </c>
      <c r="D172" s="167">
        <f>IFERROR(AJ111,0)</f>
        <v>0</v>
      </c>
      <c r="E172" s="190">
        <f>IFERROR(AJ110,0)</f>
        <v>0</v>
      </c>
      <c r="F172" s="23">
        <f>IFERROR(AJ113,0)</f>
        <v>0</v>
      </c>
      <c r="G172" s="190">
        <f>IFERROR(AJ112,0)</f>
        <v>0</v>
      </c>
      <c r="H172" s="23">
        <f>IFERROR(AJ115,0)</f>
        <v>0</v>
      </c>
      <c r="I172" s="286">
        <f>IFERROR(AJ114,0)</f>
        <v>0</v>
      </c>
      <c r="J172" s="182"/>
      <c r="K172"/>
      <c r="L172" s="182"/>
      <c r="M172"/>
      <c r="N172" s="182"/>
      <c r="O172"/>
      <c r="P172" s="182"/>
      <c r="Q172"/>
      <c r="R172" s="182"/>
      <c r="S172"/>
      <c r="T172" s="182"/>
      <c r="U172"/>
      <c r="V172" s="182"/>
      <c r="W172"/>
      <c r="X172" s="182"/>
      <c r="Y172"/>
      <c r="Z172" s="182"/>
      <c r="AA172"/>
      <c r="AB172" s="182"/>
      <c r="AC172"/>
      <c r="AD172" s="182"/>
      <c r="AE172"/>
      <c r="AF172" s="182"/>
      <c r="AG172"/>
      <c r="AH172" s="182"/>
      <c r="AI172"/>
      <c r="AJ172" s="182"/>
      <c r="AK172"/>
      <c r="AL172" s="182"/>
      <c r="AM172"/>
      <c r="AN172" s="182"/>
      <c r="AO172"/>
      <c r="AP172" s="182"/>
      <c r="AQ172"/>
      <c r="AR172" s="182"/>
      <c r="AS172"/>
      <c r="AT172" s="182"/>
      <c r="AU172"/>
      <c r="AV172" s="182"/>
      <c r="AW172"/>
      <c r="AX172" s="182"/>
      <c r="AY172"/>
      <c r="AZ172" s="182"/>
      <c r="BA172"/>
      <c r="BB172" s="182"/>
      <c r="BC172"/>
      <c r="BD172" s="182"/>
      <c r="BE172"/>
    </row>
    <row r="173" spans="1:57" x14ac:dyDescent="0.3">
      <c r="A173" s="223">
        <v>18</v>
      </c>
      <c r="B173" s="244" t="str">
        <f>IF(Carteira!C20=0,"",Carteira!C20)</f>
        <v/>
      </c>
      <c r="C173" s="245" t="str">
        <f>IF(Entrada!J27=0,"",Entrada!J27)</f>
        <v/>
      </c>
      <c r="D173" s="167">
        <f>IFERROR(AL111,0)</f>
        <v>0</v>
      </c>
      <c r="E173" s="190">
        <f>IFERROR(AL110,0)</f>
        <v>0</v>
      </c>
      <c r="F173" s="23">
        <f>IFERROR(AL113,0)</f>
        <v>0</v>
      </c>
      <c r="G173" s="190">
        <f>IFERROR(AL112,0)</f>
        <v>0</v>
      </c>
      <c r="H173" s="23">
        <f>IFERROR(AL115,0)</f>
        <v>0</v>
      </c>
      <c r="I173" s="286">
        <f>IFERROR(AL114,0)</f>
        <v>0</v>
      </c>
      <c r="J173" s="182"/>
      <c r="K173"/>
      <c r="L173" s="182"/>
      <c r="M173"/>
      <c r="N173" s="182"/>
      <c r="O173"/>
      <c r="P173" s="182"/>
      <c r="Q173"/>
      <c r="R173" s="182"/>
      <c r="S173"/>
      <c r="T173" s="182"/>
      <c r="U173"/>
      <c r="V173" s="182"/>
      <c r="W173"/>
      <c r="X173" s="182"/>
      <c r="Y173"/>
      <c r="Z173" s="182"/>
      <c r="AA173"/>
      <c r="AB173" s="182"/>
      <c r="AC173"/>
      <c r="AD173" s="182"/>
      <c r="AE173"/>
      <c r="AF173" s="182"/>
      <c r="AG173"/>
      <c r="AH173" s="182"/>
      <c r="AI173"/>
      <c r="AJ173" s="182"/>
      <c r="AK173"/>
      <c r="AL173" s="182"/>
      <c r="AM173"/>
      <c r="AN173" s="182"/>
      <c r="AO173"/>
      <c r="AP173" s="182"/>
      <c r="AQ173"/>
      <c r="AR173" s="182"/>
      <c r="AS173"/>
      <c r="AT173" s="182"/>
      <c r="AU173"/>
      <c r="AV173" s="182"/>
      <c r="AW173"/>
      <c r="AX173" s="182"/>
      <c r="AY173"/>
      <c r="AZ173" s="182"/>
      <c r="BA173"/>
      <c r="BB173" s="182"/>
      <c r="BC173"/>
      <c r="BD173" s="182"/>
      <c r="BE173"/>
    </row>
    <row r="174" spans="1:57" x14ac:dyDescent="0.3">
      <c r="A174" s="223">
        <v>19</v>
      </c>
      <c r="B174" s="244" t="str">
        <f>IF(Carteira!C21=0,"",Carteira!C21)</f>
        <v/>
      </c>
      <c r="C174" s="245" t="str">
        <f>IF(Entrada!J28=0,"",Entrada!J28)</f>
        <v/>
      </c>
      <c r="D174" s="167">
        <f>IFERROR(AN111,0)</f>
        <v>0</v>
      </c>
      <c r="E174" s="190">
        <f>IFERROR(AN110,0)</f>
        <v>0</v>
      </c>
      <c r="F174" s="23">
        <f>IFERROR(AN113,0)</f>
        <v>0</v>
      </c>
      <c r="G174" s="190">
        <f>IFERROR(AN112,0)</f>
        <v>0</v>
      </c>
      <c r="H174" s="23">
        <f>IFERROR(AN115,0)</f>
        <v>0</v>
      </c>
      <c r="I174" s="286">
        <f>IFERROR(AN114,0)</f>
        <v>0</v>
      </c>
      <c r="J174" s="182"/>
      <c r="K174"/>
      <c r="L174" s="182"/>
      <c r="M174"/>
      <c r="N174" s="182"/>
      <c r="O174"/>
      <c r="P174" s="182"/>
      <c r="Q174"/>
      <c r="R174" s="182"/>
      <c r="S174"/>
      <c r="T174" s="182"/>
      <c r="U174"/>
      <c r="V174" s="182"/>
      <c r="W174"/>
      <c r="X174" s="182"/>
      <c r="Y174"/>
      <c r="Z174" s="182"/>
      <c r="AA174"/>
      <c r="AB174" s="182"/>
      <c r="AC174"/>
      <c r="AD174" s="182"/>
      <c r="AE174"/>
      <c r="AF174" s="182"/>
      <c r="AG174"/>
      <c r="AH174" s="182"/>
      <c r="AI174"/>
      <c r="AJ174" s="182"/>
      <c r="AK174"/>
      <c r="AL174" s="182"/>
      <c r="AM174"/>
      <c r="AN174" s="182"/>
      <c r="AO174"/>
      <c r="AP174" s="182"/>
      <c r="AQ174"/>
      <c r="AR174" s="182"/>
      <c r="AS174"/>
      <c r="AT174" s="182"/>
      <c r="AU174"/>
      <c r="AV174" s="182"/>
      <c r="AW174"/>
      <c r="AX174" s="182"/>
      <c r="AY174"/>
      <c r="AZ174" s="182"/>
      <c r="BA174"/>
      <c r="BB174" s="182"/>
      <c r="BC174"/>
      <c r="BD174" s="182"/>
      <c r="BE174"/>
    </row>
    <row r="175" spans="1:57" x14ac:dyDescent="0.3">
      <c r="A175" s="223">
        <v>20</v>
      </c>
      <c r="B175" s="244" t="str">
        <f>IF(Carteira!C22=0,"",Carteira!C22)</f>
        <v/>
      </c>
      <c r="C175" s="245" t="str">
        <f>IF(Entrada!J29=0,"",Entrada!J29)</f>
        <v/>
      </c>
      <c r="D175" s="167">
        <f>IFERROR(AP111,0)</f>
        <v>0</v>
      </c>
      <c r="E175" s="190">
        <f>IFERROR(AP110,0)</f>
        <v>0</v>
      </c>
      <c r="F175" s="23">
        <f>IFERROR(AP113,0)</f>
        <v>0</v>
      </c>
      <c r="G175" s="190">
        <f>IFERROR(AP112,0)</f>
        <v>0</v>
      </c>
      <c r="H175" s="23">
        <f>IFERROR(AP115,0)</f>
        <v>0</v>
      </c>
      <c r="I175" s="286">
        <f>IFERROR(AP114,0)</f>
        <v>0</v>
      </c>
      <c r="J175" s="182"/>
      <c r="K175"/>
      <c r="L175" s="182"/>
      <c r="M175"/>
      <c r="N175" s="182"/>
      <c r="O175"/>
      <c r="P175" s="182"/>
      <c r="Q175"/>
      <c r="R175" s="182"/>
      <c r="S175"/>
      <c r="T175" s="182"/>
      <c r="U175"/>
      <c r="V175" s="182"/>
      <c r="W175"/>
      <c r="X175" s="182"/>
      <c r="Y175"/>
      <c r="Z175" s="182"/>
      <c r="AA175"/>
      <c r="AB175" s="182"/>
      <c r="AC175"/>
      <c r="AD175" s="182"/>
      <c r="AE175"/>
      <c r="AF175" s="182"/>
      <c r="AG175"/>
      <c r="AH175" s="182"/>
      <c r="AI175"/>
      <c r="AJ175" s="182"/>
      <c r="AK175"/>
      <c r="AL175" s="182"/>
      <c r="AM175"/>
      <c r="AN175" s="182"/>
      <c r="AO175"/>
      <c r="AP175" s="182"/>
      <c r="AQ175"/>
      <c r="AR175" s="182"/>
      <c r="AS175"/>
      <c r="AT175" s="182"/>
      <c r="AU175"/>
      <c r="AV175" s="182"/>
      <c r="AW175"/>
      <c r="AX175" s="182"/>
      <c r="AY175"/>
      <c r="AZ175" s="182"/>
      <c r="BA175"/>
      <c r="BB175" s="182"/>
      <c r="BC175"/>
      <c r="BD175" s="182"/>
      <c r="BE175"/>
    </row>
    <row r="176" spans="1:57" x14ac:dyDescent="0.3">
      <c r="A176" s="223">
        <v>21</v>
      </c>
      <c r="B176" s="244" t="str">
        <f>IF(Carteira!C23=0,"",Carteira!C23)</f>
        <v/>
      </c>
      <c r="C176" s="245" t="str">
        <f>IF(Entrada!J30=0,"",Entrada!J30)</f>
        <v/>
      </c>
      <c r="D176" s="167">
        <f>IFERROR(AR111,0)</f>
        <v>0</v>
      </c>
      <c r="E176" s="190">
        <f>IFERROR(AR110,0)</f>
        <v>0</v>
      </c>
      <c r="F176" s="23">
        <f>IFERROR(AR113,0)</f>
        <v>0</v>
      </c>
      <c r="G176" s="190">
        <f>IFERROR(AR112,0)</f>
        <v>0</v>
      </c>
      <c r="H176" s="23">
        <f>IFERROR(AR115,0)</f>
        <v>0</v>
      </c>
      <c r="I176" s="286">
        <f>IFERROR(AR114,0)</f>
        <v>0</v>
      </c>
      <c r="J176" s="182"/>
      <c r="K176"/>
      <c r="L176" s="182"/>
      <c r="M176"/>
      <c r="N176" s="182"/>
      <c r="O176"/>
      <c r="P176" s="182"/>
      <c r="Q176"/>
      <c r="R176" s="182"/>
      <c r="S176"/>
      <c r="T176" s="182"/>
      <c r="U176"/>
      <c r="V176" s="182"/>
      <c r="W176"/>
      <c r="X176" s="182"/>
      <c r="Y176"/>
      <c r="Z176" s="182"/>
      <c r="AA176"/>
      <c r="AB176" s="182"/>
      <c r="AC176"/>
      <c r="AD176" s="182"/>
      <c r="AE176"/>
      <c r="AF176" s="182"/>
      <c r="AG176"/>
      <c r="AH176" s="182"/>
      <c r="AI176"/>
      <c r="AJ176" s="182"/>
      <c r="AK176"/>
      <c r="AL176" s="182"/>
      <c r="AM176"/>
      <c r="AN176" s="182"/>
      <c r="AO176"/>
      <c r="AP176" s="182"/>
      <c r="AQ176"/>
      <c r="AR176" s="182"/>
      <c r="AS176"/>
      <c r="AT176" s="182"/>
      <c r="AU176"/>
      <c r="AV176" s="182"/>
      <c r="AW176"/>
      <c r="AX176" s="182"/>
      <c r="AY176"/>
      <c r="AZ176" s="182"/>
      <c r="BA176"/>
      <c r="BB176" s="182"/>
      <c r="BC176"/>
      <c r="BD176" s="182"/>
      <c r="BE176"/>
    </row>
    <row r="177" spans="1:57" x14ac:dyDescent="0.3">
      <c r="A177" s="223">
        <v>22</v>
      </c>
      <c r="B177" s="244" t="str">
        <f>IF(Carteira!C24=0,"",Carteira!C24)</f>
        <v/>
      </c>
      <c r="C177" s="245" t="str">
        <f>IF(Entrada!J31=0,"",Entrada!J31)</f>
        <v/>
      </c>
      <c r="D177" s="167">
        <f>IFERROR(AT111,0)</f>
        <v>0</v>
      </c>
      <c r="E177" s="190">
        <f>IFERROR(AT110,0)</f>
        <v>0</v>
      </c>
      <c r="F177" s="23">
        <f>IFERROR(AT113,0)</f>
        <v>0</v>
      </c>
      <c r="G177" s="190">
        <f>IFERROR(AT112,0)</f>
        <v>0</v>
      </c>
      <c r="H177" s="23">
        <f>IFERROR(AT115,0)</f>
        <v>0</v>
      </c>
      <c r="I177" s="286">
        <f>IFERROR(AT114,0)</f>
        <v>0</v>
      </c>
      <c r="J177" s="182"/>
      <c r="K177"/>
      <c r="L177" s="182"/>
      <c r="M177"/>
      <c r="N177" s="182"/>
      <c r="O177"/>
      <c r="P177" s="182"/>
      <c r="Q177"/>
      <c r="R177" s="182"/>
      <c r="S177"/>
      <c r="T177" s="182"/>
      <c r="U177"/>
      <c r="V177" s="182"/>
      <c r="W177"/>
      <c r="X177" s="182"/>
      <c r="Y177"/>
      <c r="Z177" s="182"/>
      <c r="AA177"/>
      <c r="AB177" s="182"/>
      <c r="AC177"/>
      <c r="AD177" s="182"/>
      <c r="AE177"/>
      <c r="AF177" s="182"/>
      <c r="AG177"/>
      <c r="AH177" s="182"/>
      <c r="AI177"/>
      <c r="AJ177" s="182"/>
      <c r="AK177"/>
      <c r="AL177" s="182"/>
      <c r="AM177"/>
      <c r="AN177" s="182"/>
      <c r="AO177"/>
      <c r="AP177" s="182"/>
      <c r="AQ177"/>
      <c r="AR177" s="182"/>
      <c r="AS177"/>
      <c r="AT177" s="182"/>
      <c r="AU177"/>
      <c r="AV177" s="182"/>
      <c r="AW177"/>
      <c r="AX177" s="182"/>
      <c r="AY177"/>
      <c r="AZ177" s="182"/>
      <c r="BA177"/>
      <c r="BB177" s="182"/>
      <c r="BC177"/>
      <c r="BD177" s="182"/>
      <c r="BE177"/>
    </row>
    <row r="178" spans="1:57" x14ac:dyDescent="0.3">
      <c r="A178" s="223">
        <v>23</v>
      </c>
      <c r="B178" s="244" t="str">
        <f>IF(Carteira!C25=0,"",Carteira!C25)</f>
        <v/>
      </c>
      <c r="C178" s="245" t="str">
        <f>IF(Entrada!J32=0,"",Entrada!J32)</f>
        <v/>
      </c>
      <c r="D178" s="167">
        <f>IFERROR(AV111,0)</f>
        <v>0</v>
      </c>
      <c r="E178" s="190">
        <f>IFERROR(AV110,0)</f>
        <v>0</v>
      </c>
      <c r="F178" s="23">
        <f>IFERROR(AV113,0)</f>
        <v>0</v>
      </c>
      <c r="G178" s="190">
        <f>IFERROR(AV112,0)</f>
        <v>0</v>
      </c>
      <c r="H178" s="23">
        <f>IFERROR(AV115,0)</f>
        <v>0</v>
      </c>
      <c r="I178" s="286">
        <f>IFERROR(AV114,0)</f>
        <v>0</v>
      </c>
      <c r="J178" s="182"/>
      <c r="K178"/>
      <c r="L178" s="182"/>
      <c r="M178"/>
      <c r="N178" s="182"/>
      <c r="O178"/>
      <c r="P178" s="182"/>
      <c r="Q178"/>
      <c r="R178" s="182"/>
      <c r="S178"/>
      <c r="T178" s="182"/>
      <c r="U178"/>
      <c r="V178" s="182"/>
      <c r="W178"/>
      <c r="X178" s="182"/>
      <c r="Y178"/>
      <c r="Z178" s="182"/>
      <c r="AA178"/>
      <c r="AB178" s="182"/>
      <c r="AC178"/>
      <c r="AD178" s="182"/>
      <c r="AE178"/>
      <c r="AF178" s="182"/>
      <c r="AG178"/>
      <c r="AH178" s="182"/>
      <c r="AI178"/>
      <c r="AJ178" s="182"/>
      <c r="AK178"/>
      <c r="AL178" s="182"/>
      <c r="AM178"/>
      <c r="AN178" s="182"/>
      <c r="AO178"/>
      <c r="AP178" s="182"/>
      <c r="AQ178"/>
      <c r="AR178" s="182"/>
      <c r="AS178"/>
      <c r="AT178" s="182"/>
      <c r="AU178"/>
      <c r="AV178" s="182"/>
      <c r="AW178"/>
      <c r="AX178" s="182"/>
      <c r="AY178"/>
      <c r="AZ178" s="182"/>
      <c r="BA178"/>
      <c r="BB178" s="182"/>
      <c r="BC178"/>
      <c r="BD178" s="182"/>
      <c r="BE178"/>
    </row>
    <row r="179" spans="1:57" x14ac:dyDescent="0.3">
      <c r="A179" s="223">
        <v>24</v>
      </c>
      <c r="B179" s="244" t="str">
        <f>IF(Carteira!C26=0,"",Carteira!C26)</f>
        <v/>
      </c>
      <c r="C179" s="245" t="str">
        <f>IF(Entrada!J33=0,"",Entrada!J33)</f>
        <v/>
      </c>
      <c r="D179" s="167">
        <f>IFERROR(AX111,0)</f>
        <v>0</v>
      </c>
      <c r="E179" s="190">
        <f>IFERROR(AX110,0)</f>
        <v>0</v>
      </c>
      <c r="F179" s="23">
        <f>IFERROR(AX113,0)</f>
        <v>0</v>
      </c>
      <c r="G179" s="190">
        <f>IFERROR(AX112,0)</f>
        <v>0</v>
      </c>
      <c r="H179" s="23">
        <f>IFERROR(AX115,0)</f>
        <v>0</v>
      </c>
      <c r="I179" s="286">
        <f>IFERROR(AX114,0)</f>
        <v>0</v>
      </c>
      <c r="J179" s="182"/>
      <c r="K179"/>
      <c r="L179" s="182"/>
      <c r="M179"/>
      <c r="N179" s="182"/>
      <c r="O179"/>
      <c r="P179" s="182"/>
      <c r="Q179"/>
      <c r="R179" s="182"/>
      <c r="S179"/>
      <c r="T179" s="182"/>
      <c r="U179"/>
      <c r="V179" s="182"/>
      <c r="W179"/>
      <c r="X179" s="182"/>
      <c r="Y179"/>
      <c r="Z179" s="182"/>
      <c r="AA179"/>
      <c r="AB179" s="182"/>
      <c r="AC179"/>
      <c r="AD179" s="182"/>
      <c r="AE179"/>
      <c r="AF179" s="182"/>
      <c r="AG179"/>
      <c r="AH179" s="182"/>
      <c r="AI179"/>
      <c r="AJ179" s="182"/>
      <c r="AK179"/>
      <c r="AL179" s="182"/>
      <c r="AM179"/>
      <c r="AN179" s="182"/>
      <c r="AO179"/>
      <c r="AP179" s="182"/>
      <c r="AQ179"/>
      <c r="AR179" s="182"/>
      <c r="AS179"/>
      <c r="AT179" s="182"/>
      <c r="AU179"/>
      <c r="AV179" s="182"/>
      <c r="AW179"/>
      <c r="AX179" s="182"/>
      <c r="AY179"/>
      <c r="AZ179" s="182"/>
      <c r="BA179"/>
      <c r="BB179" s="182"/>
      <c r="BC179"/>
      <c r="BD179" s="182"/>
      <c r="BE179"/>
    </row>
    <row r="180" spans="1:57" x14ac:dyDescent="0.3">
      <c r="A180" s="223">
        <v>25</v>
      </c>
      <c r="B180" s="244" t="str">
        <f>IF(Carteira!C27=0,"",Carteira!C27)</f>
        <v/>
      </c>
      <c r="C180" s="245" t="str">
        <f>IF(Entrada!J34=0,"",Entrada!J34)</f>
        <v/>
      </c>
      <c r="D180" s="167">
        <f>IFERROR(AZ111,0)</f>
        <v>0</v>
      </c>
      <c r="E180" s="190">
        <f>IFERROR(AZ110,0)</f>
        <v>0</v>
      </c>
      <c r="F180" s="23">
        <f>IFERROR(AZ113,0)</f>
        <v>0</v>
      </c>
      <c r="G180" s="190">
        <f>IFERROR(AZ112,0)</f>
        <v>0</v>
      </c>
      <c r="H180" s="23">
        <f>IFERROR(AZ115,0)</f>
        <v>0</v>
      </c>
      <c r="I180" s="286">
        <f>IFERROR(AZ114,0)</f>
        <v>0</v>
      </c>
      <c r="J180" s="182"/>
      <c r="K180"/>
      <c r="L180" s="182"/>
      <c r="M180"/>
      <c r="N180" s="182"/>
      <c r="O180"/>
      <c r="P180" s="182"/>
      <c r="Q180"/>
      <c r="R180" s="182"/>
      <c r="S180"/>
      <c r="T180" s="182"/>
      <c r="U180"/>
      <c r="V180" s="182"/>
      <c r="W180"/>
      <c r="X180" s="182"/>
      <c r="Y180"/>
      <c r="Z180" s="182"/>
      <c r="AA180"/>
      <c r="AB180" s="182"/>
      <c r="AC180"/>
      <c r="AD180" s="182"/>
      <c r="AE180"/>
      <c r="AF180" s="182"/>
      <c r="AG180"/>
      <c r="AH180" s="182"/>
      <c r="AI180"/>
      <c r="AJ180" s="182"/>
      <c r="AK180"/>
      <c r="AL180" s="182"/>
      <c r="AM180"/>
      <c r="AN180" s="182"/>
      <c r="AO180"/>
      <c r="AP180" s="182"/>
      <c r="AQ180"/>
      <c r="AR180" s="182"/>
      <c r="AS180"/>
      <c r="AT180" s="182"/>
      <c r="AU180"/>
      <c r="AV180" s="182"/>
      <c r="AW180"/>
      <c r="AX180" s="182"/>
      <c r="AY180"/>
      <c r="AZ180" s="182"/>
      <c r="BA180"/>
      <c r="BB180" s="182"/>
      <c r="BC180"/>
      <c r="BD180" s="182"/>
      <c r="BE180"/>
    </row>
    <row r="181" spans="1:57" x14ac:dyDescent="0.3">
      <c r="A181" s="223">
        <v>26</v>
      </c>
      <c r="B181" s="244" t="str">
        <f>IF(Carteira!C28=0,"",Carteira!C28)</f>
        <v/>
      </c>
      <c r="C181" s="245" t="str">
        <f>IF(Entrada!J35=0,"",Entrada!J35)</f>
        <v/>
      </c>
      <c r="D181" s="167">
        <f>IFERROR(BB111,0)</f>
        <v>0</v>
      </c>
      <c r="E181" s="190">
        <f>IFERROR(BB110,0)</f>
        <v>0</v>
      </c>
      <c r="F181" s="23">
        <f>IFERROR(BB113,0)</f>
        <v>0</v>
      </c>
      <c r="G181" s="190">
        <f>IFERROR(BB112,0)</f>
        <v>0</v>
      </c>
      <c r="H181" s="23">
        <f>IFERROR(BB115,0)</f>
        <v>0</v>
      </c>
      <c r="I181" s="286">
        <f>IFERROR(BB114,0)</f>
        <v>0</v>
      </c>
      <c r="J181" s="182"/>
      <c r="K181"/>
      <c r="L181" s="182"/>
      <c r="M181"/>
      <c r="N181" s="182"/>
      <c r="O181"/>
      <c r="P181" s="182"/>
      <c r="Q181"/>
      <c r="R181" s="182"/>
      <c r="S181"/>
      <c r="T181" s="182"/>
      <c r="U181"/>
      <c r="V181" s="182"/>
      <c r="W181"/>
      <c r="X181" s="182"/>
      <c r="Y181"/>
      <c r="Z181" s="182"/>
      <c r="AA181"/>
      <c r="AB181" s="182"/>
      <c r="AC181"/>
      <c r="AD181" s="182"/>
      <c r="AE181"/>
      <c r="AF181" s="182"/>
      <c r="AG181"/>
      <c r="AH181" s="182"/>
      <c r="AI181"/>
      <c r="AJ181" s="182"/>
      <c r="AK181"/>
      <c r="AL181" s="182"/>
      <c r="AM181"/>
      <c r="AN181" s="182"/>
      <c r="AO181"/>
      <c r="AP181" s="182"/>
      <c r="AQ181"/>
      <c r="AR181" s="182"/>
      <c r="AS181"/>
      <c r="AT181" s="182"/>
      <c r="AU181"/>
      <c r="AV181" s="182"/>
      <c r="AW181"/>
      <c r="AX181" s="182"/>
      <c r="AY181"/>
      <c r="AZ181" s="182"/>
      <c r="BA181"/>
      <c r="BB181" s="182"/>
      <c r="BC181"/>
      <c r="BD181" s="182"/>
      <c r="BE181"/>
    </row>
    <row r="182" spans="1:57" x14ac:dyDescent="0.3">
      <c r="A182" s="223">
        <v>27</v>
      </c>
      <c r="B182" s="244" t="str">
        <f>IF(Carteira!C29=0,"",Carteira!C29)</f>
        <v/>
      </c>
      <c r="C182" s="245" t="str">
        <f>IF(Entrada!J36=0,"",Entrada!J36)</f>
        <v/>
      </c>
      <c r="D182" s="167">
        <f>IFERROR(BD111,0)</f>
        <v>0</v>
      </c>
      <c r="E182" s="190">
        <f>IFERROR(BD110,0)</f>
        <v>0</v>
      </c>
      <c r="F182" s="23">
        <f>IFERROR(BD113,0)</f>
        <v>0</v>
      </c>
      <c r="G182" s="190">
        <f>IFERROR(BD112,0)</f>
        <v>0</v>
      </c>
      <c r="H182" s="23">
        <f>IFERROR(BD115,0)</f>
        <v>0</v>
      </c>
      <c r="I182" s="286">
        <f>IFERROR(BD114,0)</f>
        <v>0</v>
      </c>
      <c r="J182" s="182"/>
      <c r="K182"/>
      <c r="L182" s="182"/>
      <c r="M182"/>
      <c r="N182" s="182"/>
      <c r="O182"/>
      <c r="P182" s="182"/>
      <c r="Q182"/>
      <c r="R182" s="182"/>
      <c r="S182"/>
      <c r="T182" s="182"/>
      <c r="U182"/>
      <c r="V182" s="182"/>
      <c r="W182"/>
      <c r="X182" s="182"/>
      <c r="Y182"/>
      <c r="Z182" s="182"/>
      <c r="AA182"/>
      <c r="AB182" s="182"/>
      <c r="AC182"/>
      <c r="AD182" s="182"/>
      <c r="AE182"/>
      <c r="AF182" s="182"/>
      <c r="AG182"/>
      <c r="AH182" s="182"/>
      <c r="AI182"/>
      <c r="AJ182" s="182"/>
      <c r="AK182"/>
      <c r="AL182" s="182"/>
      <c r="AM182"/>
      <c r="AN182" s="182"/>
      <c r="AO182"/>
      <c r="AP182" s="182"/>
      <c r="AQ182"/>
      <c r="AR182" s="182"/>
      <c r="AS182"/>
      <c r="AT182" s="182"/>
      <c r="AU182"/>
      <c r="AV182" s="182"/>
      <c r="AW182"/>
      <c r="AX182" s="182"/>
      <c r="AY182"/>
      <c r="AZ182" s="182"/>
      <c r="BA182"/>
      <c r="BB182" s="182"/>
      <c r="BC182"/>
      <c r="BD182" s="182"/>
      <c r="BE182"/>
    </row>
    <row r="183" spans="1:57" x14ac:dyDescent="0.3">
      <c r="A183" s="223">
        <v>28</v>
      </c>
      <c r="B183" s="244" t="str">
        <f>IF(Carteira!C30=0,"",Carteira!C30)</f>
        <v/>
      </c>
      <c r="C183" s="245" t="str">
        <f>IF(Entrada!J37=0,"",Entrada!J37)</f>
        <v/>
      </c>
      <c r="D183" s="167">
        <f>IFERROR(BF111,0)</f>
        <v>0</v>
      </c>
      <c r="E183" s="190">
        <f>IFERROR(BF110,0)</f>
        <v>0</v>
      </c>
      <c r="F183" s="23">
        <f>IFERROR(BF113,0)</f>
        <v>0</v>
      </c>
      <c r="G183" s="190">
        <f>IFERROR(BF112,0)</f>
        <v>0</v>
      </c>
      <c r="H183" s="23">
        <f>IFERROR(BF115,0)</f>
        <v>0</v>
      </c>
      <c r="I183" s="286">
        <f>IFERROR(BF114,0)</f>
        <v>0</v>
      </c>
      <c r="J183" s="182"/>
      <c r="K183"/>
      <c r="L183" s="182"/>
      <c r="M183"/>
      <c r="N183" s="182"/>
      <c r="O183"/>
      <c r="P183" s="182"/>
      <c r="Q183"/>
      <c r="R183" s="182"/>
      <c r="S183"/>
      <c r="T183" s="182"/>
      <c r="U183"/>
      <c r="V183" s="182"/>
      <c r="W183"/>
      <c r="X183" s="182"/>
      <c r="Y183"/>
      <c r="Z183" s="182"/>
      <c r="AA183"/>
      <c r="AB183" s="182"/>
      <c r="AC183"/>
      <c r="AD183" s="182"/>
      <c r="AE183"/>
      <c r="AF183" s="182"/>
      <c r="AG183"/>
      <c r="AH183" s="182"/>
      <c r="AI183"/>
      <c r="AJ183" s="182"/>
      <c r="AK183"/>
      <c r="AL183" s="182"/>
      <c r="AM183"/>
      <c r="AN183" s="182"/>
      <c r="AO183"/>
      <c r="AP183" s="182"/>
      <c r="AQ183"/>
      <c r="AR183" s="182"/>
      <c r="AS183"/>
      <c r="AT183" s="182"/>
      <c r="AU183"/>
      <c r="AV183" s="182"/>
      <c r="AW183"/>
      <c r="AX183" s="182"/>
      <c r="AY183"/>
      <c r="AZ183" s="182"/>
      <c r="BA183"/>
      <c r="BB183" s="182"/>
      <c r="BC183"/>
      <c r="BD183" s="182"/>
      <c r="BE183"/>
    </row>
    <row r="184" spans="1:57" s="223" customFormat="1" x14ac:dyDescent="0.3">
      <c r="A184" s="223">
        <v>29</v>
      </c>
      <c r="B184" s="244" t="str">
        <f>IF(Carteira!C31=0,"",Carteira!C31)</f>
        <v/>
      </c>
      <c r="C184" s="245" t="str">
        <f>IF(Entrada!J38=0,"",Entrada!J38)</f>
        <v/>
      </c>
      <c r="D184" s="167">
        <f>IFERROR(BH111,0)</f>
        <v>0</v>
      </c>
      <c r="E184" s="190">
        <f>IFERROR(BH110,0)</f>
        <v>0</v>
      </c>
      <c r="F184" s="213">
        <f>IFERROR(BH113,0)</f>
        <v>0</v>
      </c>
      <c r="G184" s="190">
        <f>IFERROR(BH112,0)</f>
        <v>0</v>
      </c>
      <c r="H184" s="23">
        <f>IFERROR(BH115,0)</f>
        <v>0</v>
      </c>
      <c r="I184" s="286">
        <f>IFERROR(BH114,0)</f>
        <v>0</v>
      </c>
    </row>
    <row r="185" spans="1:57" s="223" customFormat="1" x14ac:dyDescent="0.3">
      <c r="A185" s="223">
        <v>30</v>
      </c>
      <c r="B185" s="244" t="str">
        <f>IF(Carteira!C32=0,"",Carteira!C32)</f>
        <v/>
      </c>
      <c r="C185" s="245" t="str">
        <f>IF(Entrada!J39=0,"",Entrada!J39)</f>
        <v/>
      </c>
      <c r="D185" s="167">
        <f>IFERROR(BJ111,0)</f>
        <v>0</v>
      </c>
      <c r="E185" s="233">
        <f>IFERROR(BJ110,0)</f>
        <v>0</v>
      </c>
      <c r="F185" s="167">
        <f>IFERROR(BJ113,0)</f>
        <v>0</v>
      </c>
      <c r="G185" s="233">
        <f>IFERROR(BJ112,0)</f>
        <v>0</v>
      </c>
      <c r="H185" s="23">
        <f>IFERROR(BJ115,0)</f>
        <v>0</v>
      </c>
      <c r="I185" s="286">
        <f>IFERROR(BJ114,0)</f>
        <v>0</v>
      </c>
    </row>
    <row r="186" spans="1:57" s="223" customFormat="1" x14ac:dyDescent="0.3">
      <c r="A186" s="223">
        <v>31</v>
      </c>
      <c r="B186" s="244" t="str">
        <f>IF(Carteira!C33=0,"",Carteira!C33)</f>
        <v/>
      </c>
      <c r="C186" s="245" t="str">
        <f>IF(Entrada!J40=0,"",Entrada!J40)</f>
        <v/>
      </c>
      <c r="D186" s="167">
        <f>IFERROR(BL111,0)</f>
        <v>0</v>
      </c>
      <c r="E186" s="233">
        <f>IFERROR(BL110,0)</f>
        <v>0</v>
      </c>
      <c r="F186" s="167">
        <f>IFERROR(BL113,0)</f>
        <v>0</v>
      </c>
      <c r="G186" s="233">
        <f>IFERROR(BL112,0)</f>
        <v>0</v>
      </c>
      <c r="H186" s="23">
        <f>IFERROR(BL115,0)</f>
        <v>0</v>
      </c>
      <c r="I186" s="286">
        <f>IFERROR(BL114,0)</f>
        <v>0</v>
      </c>
    </row>
    <row r="187" spans="1:57" s="223" customFormat="1" x14ac:dyDescent="0.3">
      <c r="A187" s="223">
        <v>32</v>
      </c>
      <c r="B187" s="244" t="str">
        <f>IF(Carteira!C34=0,"",Carteira!C34)</f>
        <v/>
      </c>
      <c r="C187" s="245" t="str">
        <f>IF(Entrada!J41=0,"",Entrada!J41)</f>
        <v/>
      </c>
      <c r="D187" s="234">
        <f>IFERROR(BN111,0)</f>
        <v>0</v>
      </c>
      <c r="E187" s="235">
        <f>IFERROR(BN110,0)</f>
        <v>0</v>
      </c>
      <c r="F187" s="234">
        <f>IFERROR(BN113,0)</f>
        <v>0</v>
      </c>
      <c r="G187" s="235">
        <f>IFERROR(BN112,0)</f>
        <v>0</v>
      </c>
      <c r="H187" s="23">
        <f>IFERROR(BN115,0)</f>
        <v>0</v>
      </c>
      <c r="I187" s="286">
        <f>IFERROR(BN114,0)</f>
        <v>0</v>
      </c>
    </row>
    <row r="188" spans="1:57" x14ac:dyDescent="0.3">
      <c r="N188" s="182"/>
      <c r="O188"/>
      <c r="P188" s="182"/>
      <c r="Q188"/>
      <c r="R188" s="182"/>
      <c r="S188"/>
      <c r="T188" s="182"/>
      <c r="U188"/>
      <c r="V188" s="182"/>
      <c r="W188"/>
      <c r="X188" s="182"/>
      <c r="Y188"/>
      <c r="Z188" s="182"/>
      <c r="AA188"/>
      <c r="AB188" s="182"/>
      <c r="AC188"/>
      <c r="AD188" s="182"/>
    </row>
    <row r="189" spans="1:57" x14ac:dyDescent="0.3">
      <c r="B189" s="189" t="s">
        <v>615</v>
      </c>
      <c r="C189" s="193">
        <f t="array" ref="C189:AH189">TRANSPOSE(D156:D187)</f>
        <v>0</v>
      </c>
      <c r="D189" s="193">
        <v>2.295148364817493E-6</v>
      </c>
      <c r="E189" s="193">
        <v>8.3814416341363926E-5</v>
      </c>
      <c r="F189" s="193">
        <v>1.9435894850779165E-4</v>
      </c>
      <c r="G189" s="193">
        <v>6.3327363691091632E-4</v>
      </c>
      <c r="H189" s="193">
        <v>4.1906504528015386E-6</v>
      </c>
      <c r="I189" s="193">
        <v>1.2437107238860576E-4</v>
      </c>
      <c r="J189" s="193">
        <v>0</v>
      </c>
      <c r="K189" s="193">
        <v>0</v>
      </c>
      <c r="L189" s="193">
        <v>0</v>
      </c>
      <c r="M189" s="193">
        <v>0</v>
      </c>
      <c r="N189" s="193">
        <v>0</v>
      </c>
      <c r="O189" s="193">
        <v>0</v>
      </c>
      <c r="P189" s="193">
        <v>0</v>
      </c>
      <c r="Q189" s="193">
        <v>0</v>
      </c>
      <c r="R189" s="193">
        <v>0</v>
      </c>
      <c r="S189" s="193">
        <v>0</v>
      </c>
      <c r="T189" s="193">
        <v>0</v>
      </c>
      <c r="U189" s="193">
        <v>0</v>
      </c>
      <c r="V189" s="193">
        <v>0</v>
      </c>
      <c r="W189" s="193">
        <v>0</v>
      </c>
      <c r="X189" s="193">
        <v>0</v>
      </c>
      <c r="Y189" s="193">
        <v>0</v>
      </c>
      <c r="Z189" s="193">
        <v>0</v>
      </c>
      <c r="AA189" s="193">
        <v>0</v>
      </c>
      <c r="AB189" s="193">
        <v>0</v>
      </c>
      <c r="AC189" s="193">
        <v>0</v>
      </c>
      <c r="AD189" s="193">
        <v>0</v>
      </c>
      <c r="AE189" s="226">
        <v>0</v>
      </c>
      <c r="AF189" s="226">
        <v>0</v>
      </c>
      <c r="AG189" s="226">
        <v>0</v>
      </c>
      <c r="AH189" s="226">
        <v>0</v>
      </c>
    </row>
    <row r="190" spans="1:57" x14ac:dyDescent="0.3">
      <c r="B190" s="189" t="s">
        <v>614</v>
      </c>
      <c r="C190" s="194">
        <f t="array" ref="C190:AH190">TRANSPOSE(E156:E187)</f>
        <v>0</v>
      </c>
      <c r="D190" s="194">
        <v>18.746166521399545</v>
      </c>
      <c r="E190" s="194">
        <v>684.57404746209465</v>
      </c>
      <c r="F190" s="194">
        <v>1587.4726311825627</v>
      </c>
      <c r="G190" s="194">
        <v>5172.4120466993654</v>
      </c>
      <c r="H190" s="194">
        <v>34.228127656332546</v>
      </c>
      <c r="I190" s="194">
        <v>1015.8301176435001</v>
      </c>
      <c r="J190" s="194">
        <v>0</v>
      </c>
      <c r="K190" s="194">
        <v>0</v>
      </c>
      <c r="L190" s="194">
        <v>0</v>
      </c>
      <c r="M190" s="194">
        <v>0</v>
      </c>
      <c r="N190" s="194">
        <v>0</v>
      </c>
      <c r="O190" s="194">
        <v>0</v>
      </c>
      <c r="P190" s="194">
        <v>0</v>
      </c>
      <c r="Q190" s="194">
        <v>0</v>
      </c>
      <c r="R190" s="194">
        <v>0</v>
      </c>
      <c r="S190" s="194">
        <v>0</v>
      </c>
      <c r="T190" s="194">
        <v>0</v>
      </c>
      <c r="U190" s="194">
        <v>0</v>
      </c>
      <c r="V190" s="194">
        <v>0</v>
      </c>
      <c r="W190" s="194">
        <v>0</v>
      </c>
      <c r="X190" s="194">
        <v>0</v>
      </c>
      <c r="Y190" s="194">
        <v>0</v>
      </c>
      <c r="Z190" s="194">
        <v>0</v>
      </c>
      <c r="AA190" s="194">
        <v>0</v>
      </c>
      <c r="AB190" s="194">
        <v>0</v>
      </c>
      <c r="AC190" s="194">
        <v>0</v>
      </c>
      <c r="AD190" s="194">
        <v>0</v>
      </c>
      <c r="AE190" s="236">
        <v>0</v>
      </c>
      <c r="AF190" s="236">
        <v>0</v>
      </c>
      <c r="AG190" s="236">
        <v>0</v>
      </c>
      <c r="AH190" s="236">
        <v>0</v>
      </c>
    </row>
    <row r="191" spans="1:57" x14ac:dyDescent="0.3">
      <c r="B191" s="189" t="s">
        <v>617</v>
      </c>
      <c r="C191" s="193">
        <f t="array" ref="C191:AH191">TRANSPOSE(F156:F187)</f>
        <v>0</v>
      </c>
      <c r="D191" s="193">
        <v>1.0517691112930283E-5</v>
      </c>
      <c r="E191" s="193">
        <v>3.8408590721284385E-4</v>
      </c>
      <c r="F191" s="193">
        <v>8.9066459352897965E-4</v>
      </c>
      <c r="G191" s="193">
        <v>2.9020243767642548E-3</v>
      </c>
      <c r="H191" s="193">
        <v>1.9203972911064018E-5</v>
      </c>
      <c r="I191" s="193">
        <v>5.6993985348361819E-4</v>
      </c>
      <c r="J191" s="193">
        <v>0</v>
      </c>
      <c r="K191" s="193">
        <v>0</v>
      </c>
      <c r="L191" s="193">
        <v>0</v>
      </c>
      <c r="M191" s="193">
        <v>0</v>
      </c>
      <c r="N191" s="193">
        <v>0</v>
      </c>
      <c r="O191" s="193">
        <v>0</v>
      </c>
      <c r="P191" s="193">
        <v>0</v>
      </c>
      <c r="Q191" s="193">
        <v>0</v>
      </c>
      <c r="R191" s="193">
        <v>0</v>
      </c>
      <c r="S191" s="193">
        <v>0</v>
      </c>
      <c r="T191" s="193">
        <v>0</v>
      </c>
      <c r="U191" s="193">
        <v>0</v>
      </c>
      <c r="V191" s="193">
        <v>0</v>
      </c>
      <c r="W191" s="193">
        <v>0</v>
      </c>
      <c r="X191" s="193">
        <v>0</v>
      </c>
      <c r="Y191" s="193">
        <v>0</v>
      </c>
      <c r="Z191" s="193">
        <v>0</v>
      </c>
      <c r="AA191" s="193">
        <v>0</v>
      </c>
      <c r="AB191" s="193">
        <v>0</v>
      </c>
      <c r="AC191" s="193">
        <v>0</v>
      </c>
      <c r="AD191" s="193">
        <v>0</v>
      </c>
      <c r="AE191" s="226">
        <v>0</v>
      </c>
      <c r="AF191" s="226">
        <v>0</v>
      </c>
      <c r="AG191" s="226">
        <v>0</v>
      </c>
      <c r="AH191" s="226">
        <v>0</v>
      </c>
    </row>
    <row r="192" spans="1:57" x14ac:dyDescent="0.3">
      <c r="B192" s="189" t="s">
        <v>616</v>
      </c>
      <c r="C192" s="195">
        <f t="array" ref="C192:AH192">TRANSPOSE(G156:G187)</f>
        <v>0</v>
      </c>
      <c r="D192" s="195">
        <v>85.905727074560417</v>
      </c>
      <c r="E192" s="195">
        <v>3137.1123912973403</v>
      </c>
      <c r="F192" s="195">
        <v>7274.7134960648082</v>
      </c>
      <c r="G192" s="195">
        <v>23702.969729501303</v>
      </c>
      <c r="H192" s="195">
        <v>156.85298588175533</v>
      </c>
      <c r="I192" s="195">
        <v>4655.1184073172353</v>
      </c>
      <c r="J192" s="195">
        <v>0</v>
      </c>
      <c r="K192" s="195">
        <v>0</v>
      </c>
      <c r="L192" s="195">
        <v>0</v>
      </c>
      <c r="M192" s="195">
        <v>0</v>
      </c>
      <c r="N192" s="195">
        <v>0</v>
      </c>
      <c r="O192" s="195">
        <v>0</v>
      </c>
      <c r="P192" s="195">
        <v>0</v>
      </c>
      <c r="Q192" s="195">
        <v>0</v>
      </c>
      <c r="R192" s="195">
        <v>0</v>
      </c>
      <c r="S192" s="195">
        <v>0</v>
      </c>
      <c r="T192" s="195">
        <v>0</v>
      </c>
      <c r="U192" s="195">
        <v>0</v>
      </c>
      <c r="V192" s="195">
        <v>0</v>
      </c>
      <c r="W192" s="195">
        <v>0</v>
      </c>
      <c r="X192" s="195">
        <v>0</v>
      </c>
      <c r="Y192" s="195">
        <v>0</v>
      </c>
      <c r="Z192" s="195">
        <v>0</v>
      </c>
      <c r="AA192" s="195">
        <v>0</v>
      </c>
      <c r="AB192" s="195">
        <v>0</v>
      </c>
      <c r="AC192" s="195">
        <v>0</v>
      </c>
      <c r="AD192" s="195">
        <v>0</v>
      </c>
      <c r="AE192" s="236">
        <v>0</v>
      </c>
      <c r="AF192" s="236">
        <v>0</v>
      </c>
      <c r="AG192" s="236">
        <v>0</v>
      </c>
      <c r="AH192" s="236">
        <v>0</v>
      </c>
    </row>
  </sheetData>
  <conditionalFormatting sqref="G153 E153 B156:G183 B184:C187 H156:I156 H156:H187">
    <cfRule type="notContainsBlanks" dxfId="178" priority="29">
      <formula>LEN(TRIM(B153))&gt;0</formula>
    </cfRule>
  </conditionalFormatting>
  <conditionalFormatting sqref="B152:G153 B155:G183 B184:C187 H152:I152 H156:I156 H156:H187">
    <cfRule type="containsBlanks" dxfId="177" priority="28">
      <formula>LEN(TRIM(B152))=0</formula>
    </cfRule>
  </conditionalFormatting>
  <conditionalFormatting sqref="B190">
    <cfRule type="containsBlanks" dxfId="176" priority="25">
      <formula>LEN(TRIM(B190))=0</formula>
    </cfRule>
  </conditionalFormatting>
  <conditionalFormatting sqref="B189">
    <cfRule type="containsBlanks" dxfId="175" priority="24">
      <formula>LEN(TRIM(B189))=0</formula>
    </cfRule>
  </conditionalFormatting>
  <conditionalFormatting sqref="B190">
    <cfRule type="containsBlanks" dxfId="174" priority="23">
      <formula>LEN(TRIM(B190))=0</formula>
    </cfRule>
  </conditionalFormatting>
  <conditionalFormatting sqref="B191">
    <cfRule type="containsBlanks" dxfId="173" priority="22">
      <formula>LEN(TRIM(B191))=0</formula>
    </cfRule>
  </conditionalFormatting>
  <conditionalFormatting sqref="B192">
    <cfRule type="containsBlanks" dxfId="172" priority="21">
      <formula>LEN(TRIM(B192))=0</formula>
    </cfRule>
  </conditionalFormatting>
  <conditionalFormatting sqref="C190:AD190">
    <cfRule type="notContainsBlanks" dxfId="171" priority="20">
      <formula>LEN(TRIM(C190))&gt;0</formula>
    </cfRule>
  </conditionalFormatting>
  <conditionalFormatting sqref="C190:AD190">
    <cfRule type="containsBlanks" dxfId="170" priority="19">
      <formula>LEN(TRIM(C190))=0</formula>
    </cfRule>
  </conditionalFormatting>
  <conditionalFormatting sqref="C189:AD189">
    <cfRule type="notContainsBlanks" dxfId="169" priority="18">
      <formula>LEN(TRIM(C189))&gt;0</formula>
    </cfRule>
  </conditionalFormatting>
  <conditionalFormatting sqref="C189:AD189">
    <cfRule type="containsBlanks" dxfId="168" priority="17">
      <formula>LEN(TRIM(C189))=0</formula>
    </cfRule>
  </conditionalFormatting>
  <conditionalFormatting sqref="C191:AD191">
    <cfRule type="notContainsBlanks" dxfId="167" priority="16">
      <formula>LEN(TRIM(C191))&gt;0</formula>
    </cfRule>
  </conditionalFormatting>
  <conditionalFormatting sqref="C191:AD191">
    <cfRule type="containsBlanks" dxfId="166" priority="15">
      <formula>LEN(TRIM(C191))=0</formula>
    </cfRule>
  </conditionalFormatting>
  <conditionalFormatting sqref="D184:G184">
    <cfRule type="notContainsBlanks" dxfId="165" priority="14">
      <formula>LEN(TRIM(D184))&gt;0</formula>
    </cfRule>
  </conditionalFormatting>
  <conditionalFormatting sqref="D184:G184">
    <cfRule type="containsBlanks" dxfId="164" priority="13">
      <formula>LEN(TRIM(D184))=0</formula>
    </cfRule>
  </conditionalFormatting>
  <conditionalFormatting sqref="D185:G187">
    <cfRule type="notContainsBlanks" dxfId="163" priority="12">
      <formula>LEN(TRIM(D185))&gt;0</formula>
    </cfRule>
  </conditionalFormatting>
  <conditionalFormatting sqref="D185:G187">
    <cfRule type="containsBlanks" dxfId="162" priority="11">
      <formula>LEN(TRIM(D185))=0</formula>
    </cfRule>
  </conditionalFormatting>
  <conditionalFormatting sqref="I153">
    <cfRule type="notContainsBlanks" dxfId="161" priority="10">
      <formula>LEN(TRIM(I153))&gt;0</formula>
    </cfRule>
  </conditionalFormatting>
  <conditionalFormatting sqref="I153">
    <cfRule type="containsBlanks" dxfId="160" priority="9">
      <formula>LEN(TRIM(I153))=0</formula>
    </cfRule>
  </conditionalFormatting>
  <conditionalFormatting sqref="H153">
    <cfRule type="containsBlanks" dxfId="159" priority="8">
      <formula>LEN(TRIM(H153))=0</formula>
    </cfRule>
  </conditionalFormatting>
  <conditionalFormatting sqref="H155:I155">
    <cfRule type="containsBlanks" dxfId="158" priority="7">
      <formula>LEN(TRIM(H155))=0</formula>
    </cfRule>
  </conditionalFormatting>
  <conditionalFormatting sqref="H157:I157">
    <cfRule type="notContainsBlanks" dxfId="157" priority="6">
      <formula>LEN(TRIM(H157))&gt;0</formula>
    </cfRule>
  </conditionalFormatting>
  <conditionalFormatting sqref="H157:I157">
    <cfRule type="containsBlanks" dxfId="156" priority="5">
      <formula>LEN(TRIM(H157))=0</formula>
    </cfRule>
  </conditionalFormatting>
  <conditionalFormatting sqref="H158:I187">
    <cfRule type="notContainsBlanks" dxfId="155" priority="4">
      <formula>LEN(TRIM(H158))&gt;0</formula>
    </cfRule>
  </conditionalFormatting>
  <conditionalFormatting sqref="H158:I187">
    <cfRule type="containsBlanks" dxfId="154" priority="3">
      <formula>LEN(TRIM(H158))=0</formula>
    </cfRule>
  </conditionalFormatting>
  <conditionalFormatting sqref="H164:H187">
    <cfRule type="notContainsBlanks" dxfId="153" priority="2">
      <formula>LEN(TRIM(H164))&gt;0</formula>
    </cfRule>
  </conditionalFormatting>
  <conditionalFormatting sqref="H164:H187">
    <cfRule type="containsBlanks" dxfId="152" priority="1">
      <formula>LEN(TRIM(H164))=0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7"/>
  <dimension ref="A1:FJ109"/>
  <sheetViews>
    <sheetView topLeftCell="FD1" zoomScale="96" zoomScaleNormal="96" workbookViewId="0">
      <selection activeCell="FJ103" sqref="FJ103"/>
    </sheetView>
  </sheetViews>
  <sheetFormatPr defaultColWidth="11.140625" defaultRowHeight="15" x14ac:dyDescent="0.3"/>
  <cols>
    <col min="1" max="1" width="11.140625" style="166"/>
    <col min="2" max="2" width="11.5703125" bestFit="1" customWidth="1"/>
    <col min="3" max="3" width="29.5703125" bestFit="1" customWidth="1"/>
    <col min="4" max="4" width="27.140625" bestFit="1" customWidth="1"/>
    <col min="5" max="5" width="29.5703125" bestFit="1" customWidth="1"/>
    <col min="6" max="6" width="19.140625" bestFit="1" customWidth="1"/>
    <col min="7" max="7" width="23.42578125" bestFit="1" customWidth="1"/>
    <col min="8" max="8" width="25.140625" bestFit="1" customWidth="1"/>
    <col min="9" max="9" width="29.140625" bestFit="1" customWidth="1"/>
    <col min="10" max="10" width="29.140625" style="212" bestFit="1" customWidth="1"/>
    <col min="11" max="11" width="24.42578125" bestFit="1" customWidth="1"/>
    <col min="12" max="12" width="26.85546875" bestFit="1" customWidth="1"/>
    <col min="13" max="13" width="24.42578125" bestFit="1" customWidth="1"/>
    <col min="14" max="14" width="28.28515625" bestFit="1" customWidth="1"/>
    <col min="15" max="15" width="18.42578125" bestFit="1" customWidth="1"/>
    <col min="16" max="16" width="19.140625" bestFit="1" customWidth="1"/>
    <col min="17" max="17" width="22.7109375" bestFit="1" customWidth="1"/>
    <col min="18" max="18" width="18.42578125" bestFit="1" customWidth="1"/>
    <col min="19" max="19" width="18.7109375" customWidth="1"/>
    <col min="20" max="20" width="18.42578125" bestFit="1" customWidth="1"/>
    <col min="21" max="21" width="25.85546875" bestFit="1" customWidth="1"/>
    <col min="22" max="22" width="18.42578125" bestFit="1" customWidth="1"/>
    <col min="23" max="23" width="26" bestFit="1" customWidth="1"/>
    <col min="24" max="24" width="18.42578125" bestFit="1" customWidth="1"/>
    <col min="25" max="25" width="24.5703125" bestFit="1" customWidth="1"/>
    <col min="26" max="26" width="22.140625" bestFit="1" customWidth="1"/>
    <col min="27" max="27" width="22.7109375" bestFit="1" customWidth="1"/>
    <col min="28" max="28" width="22.140625" bestFit="1" customWidth="1"/>
    <col min="29" max="29" width="21.7109375" bestFit="1" customWidth="1"/>
    <col min="30" max="30" width="22.140625" bestFit="1" customWidth="1"/>
    <col min="31" max="31" width="27.42578125" bestFit="1" customWidth="1"/>
    <col min="32" max="32" width="27.28515625" bestFit="1" customWidth="1"/>
    <col min="33" max="33" width="29.140625" bestFit="1" customWidth="1"/>
    <col min="34" max="34" width="18.42578125" bestFit="1" customWidth="1"/>
    <col min="35" max="35" width="26.42578125" bestFit="1" customWidth="1"/>
    <col min="36" max="36" width="32.5703125" bestFit="1" customWidth="1"/>
    <col min="37" max="37" width="29.28515625" bestFit="1" customWidth="1"/>
    <col min="38" max="38" width="25.85546875" bestFit="1" customWidth="1"/>
    <col min="39" max="39" width="19.85546875" bestFit="1" customWidth="1"/>
    <col min="40" max="40" width="34.7109375" bestFit="1" customWidth="1"/>
    <col min="41" max="41" width="31.7109375" bestFit="1" customWidth="1"/>
    <col min="42" max="42" width="25.28515625" bestFit="1" customWidth="1"/>
    <col min="43" max="43" width="26.140625" bestFit="1" customWidth="1"/>
    <col min="44" max="44" width="32.85546875" bestFit="1" customWidth="1"/>
    <col min="45" max="45" width="25.85546875" bestFit="1" customWidth="1"/>
    <col min="46" max="47" width="27.28515625" bestFit="1" customWidth="1"/>
    <col min="48" max="48" width="29.42578125" bestFit="1" customWidth="1"/>
    <col min="49" max="49" width="18.7109375" bestFit="1" customWidth="1"/>
    <col min="50" max="50" width="28.28515625" bestFit="1" customWidth="1"/>
    <col min="51" max="51" width="32.140625" bestFit="1" customWidth="1"/>
    <col min="52" max="52" width="25.140625" bestFit="1" customWidth="1"/>
    <col min="53" max="53" width="24.5703125" bestFit="1" customWidth="1"/>
    <col min="54" max="54" width="25.140625" bestFit="1" customWidth="1"/>
    <col min="55" max="55" width="24.5703125" bestFit="1" customWidth="1"/>
    <col min="56" max="56" width="25.140625" bestFit="1" customWidth="1"/>
    <col min="57" max="57" width="25.7109375" bestFit="1" customWidth="1"/>
    <col min="58" max="58" width="25.140625" bestFit="1" customWidth="1"/>
    <col min="59" max="59" width="18.42578125" bestFit="1" customWidth="1"/>
    <col min="60" max="60" width="26.7109375" bestFit="1" customWidth="1"/>
    <col min="61" max="61" width="21.42578125" customWidth="1"/>
    <col min="62" max="62" width="20.85546875" customWidth="1"/>
    <col min="63" max="63" width="30.42578125" bestFit="1" customWidth="1"/>
    <col min="64" max="64" width="18.28515625" customWidth="1"/>
    <col min="65" max="65" width="16.140625" customWidth="1"/>
    <col min="66" max="66" width="31.42578125" bestFit="1" customWidth="1"/>
    <col min="67" max="67" width="20.140625" customWidth="1"/>
    <col min="68" max="68" width="13.5703125" customWidth="1"/>
    <col min="69" max="69" width="31.5703125" bestFit="1" customWidth="1"/>
    <col min="70" max="70" width="25.140625" customWidth="1"/>
    <col min="71" max="71" width="35.42578125" bestFit="1" customWidth="1"/>
    <col min="72" max="72" width="23.5703125" customWidth="1"/>
    <col min="73" max="73" width="17.28515625" customWidth="1"/>
    <col min="74" max="74" width="22.28515625" customWidth="1"/>
    <col min="75" max="75" width="33.140625" bestFit="1" customWidth="1"/>
    <col min="76" max="76" width="23.28515625" customWidth="1"/>
    <col min="77" max="77" width="20" customWidth="1"/>
    <col min="78" max="78" width="33" bestFit="1" customWidth="1"/>
    <col min="79" max="79" width="19.140625" customWidth="1"/>
    <col min="80" max="80" width="33.140625" bestFit="1" customWidth="1"/>
    <col min="81" max="81" width="27.28515625" bestFit="1" customWidth="1"/>
    <col min="82" max="82" width="33.85546875" bestFit="1" customWidth="1"/>
    <col min="83" max="83" width="26.7109375" bestFit="1" customWidth="1"/>
    <col min="84" max="84" width="21.5703125" bestFit="1" customWidth="1"/>
    <col min="85" max="85" width="18.42578125" bestFit="1" customWidth="1"/>
    <col min="86" max="86" width="30.7109375" bestFit="1" customWidth="1"/>
    <col min="87" max="87" width="31" bestFit="1" customWidth="1"/>
    <col min="88" max="88" width="35.7109375" bestFit="1" customWidth="1"/>
    <col min="89" max="89" width="34.5703125" bestFit="1" customWidth="1"/>
    <col min="90" max="90" width="34.140625" bestFit="1" customWidth="1"/>
    <col min="91" max="91" width="20" bestFit="1" customWidth="1"/>
    <col min="92" max="92" width="31.42578125" bestFit="1" customWidth="1"/>
    <col min="93" max="93" width="23.140625" bestFit="1" customWidth="1"/>
    <col min="94" max="94" width="24" bestFit="1" customWidth="1"/>
    <col min="95" max="95" width="26.7109375" bestFit="1" customWidth="1"/>
    <col min="96" max="96" width="25.28515625" bestFit="1" customWidth="1"/>
    <col min="97" max="97" width="19.140625" style="205" bestFit="1" customWidth="1"/>
    <col min="98" max="98" width="26" bestFit="1" customWidth="1"/>
    <col min="99" max="99" width="25.7109375" bestFit="1" customWidth="1"/>
    <col min="100" max="100" width="28.42578125" bestFit="1" customWidth="1"/>
    <col min="101" max="101" width="26.85546875" bestFit="1" customWidth="1"/>
    <col min="102" max="102" width="25" bestFit="1" customWidth="1"/>
    <col min="103" max="103" width="18.42578125" bestFit="1" customWidth="1"/>
    <col min="104" max="104" width="38" bestFit="1" customWidth="1"/>
    <col min="105" max="105" width="24.5703125" bestFit="1" customWidth="1"/>
    <col min="106" max="106" width="39.140625" bestFit="1" customWidth="1"/>
    <col min="107" max="107" width="37.7109375" bestFit="1" customWidth="1"/>
    <col min="108" max="108" width="30.28515625" bestFit="1" customWidth="1"/>
    <col min="109" max="109" width="28" bestFit="1" customWidth="1"/>
    <col min="110" max="110" width="26" bestFit="1" customWidth="1"/>
    <col min="111" max="112" width="18.42578125" bestFit="1" customWidth="1"/>
    <col min="113" max="113" width="35.85546875" bestFit="1" customWidth="1"/>
    <col min="114" max="114" width="37.7109375" bestFit="1" customWidth="1"/>
    <col min="115" max="115" width="38.28515625" bestFit="1" customWidth="1"/>
    <col min="116" max="116" width="35.85546875" bestFit="1" customWidth="1"/>
    <col min="117" max="117" width="25.7109375" bestFit="1" customWidth="1"/>
    <col min="118" max="118" width="28.85546875" bestFit="1" customWidth="1"/>
    <col min="119" max="119" width="32.85546875" bestFit="1" customWidth="1"/>
    <col min="120" max="120" width="35.5703125" bestFit="1" customWidth="1"/>
    <col min="121" max="121" width="24.42578125" bestFit="1" customWidth="1"/>
    <col min="122" max="122" width="33.42578125" bestFit="1" customWidth="1"/>
    <col min="123" max="123" width="31.85546875" bestFit="1" customWidth="1"/>
    <col min="124" max="124" width="23.85546875" bestFit="1" customWidth="1"/>
    <col min="125" max="125" width="24.5703125" bestFit="1" customWidth="1"/>
    <col min="126" max="126" width="23.140625" bestFit="1" customWidth="1"/>
    <col min="127" max="127" width="24.28515625" bestFit="1" customWidth="1"/>
    <col min="128" max="128" width="32.28515625" bestFit="1" customWidth="1"/>
    <col min="129" max="129" width="27.5703125" bestFit="1" customWidth="1"/>
    <col min="130" max="130" width="21.28515625" style="200" customWidth="1"/>
    <col min="131" max="131" width="32.85546875" style="206" bestFit="1" customWidth="1"/>
    <col min="132" max="132" width="32.7109375" bestFit="1" customWidth="1"/>
    <col min="133" max="134" width="32.5703125" bestFit="1" customWidth="1"/>
    <col min="135" max="135" width="25.5703125" bestFit="1" customWidth="1"/>
    <col min="136" max="136" width="27.85546875" bestFit="1" customWidth="1"/>
    <col min="137" max="137" width="32.85546875" bestFit="1" customWidth="1"/>
    <col min="138" max="138" width="28.42578125" bestFit="1" customWidth="1"/>
    <col min="139" max="139" width="34.5703125" bestFit="1" customWidth="1"/>
    <col min="140" max="140" width="27.42578125" bestFit="1" customWidth="1"/>
    <col min="141" max="141" width="29.85546875" bestFit="1" customWidth="1"/>
    <col min="142" max="142" width="28" bestFit="1" customWidth="1"/>
    <col min="143" max="143" width="34.28515625" bestFit="1" customWidth="1"/>
    <col min="144" max="144" width="28.42578125" bestFit="1" customWidth="1"/>
    <col min="145" max="145" width="26" bestFit="1" customWidth="1"/>
    <col min="146" max="146" width="19.140625" bestFit="1" customWidth="1"/>
    <col min="147" max="147" width="18.42578125" bestFit="1" customWidth="1"/>
    <col min="148" max="148" width="27.85546875" bestFit="1" customWidth="1"/>
    <col min="149" max="149" width="24.140625" bestFit="1" customWidth="1"/>
    <col min="150" max="150" width="28.5703125" bestFit="1" customWidth="1"/>
    <col min="151" max="151" width="30.28515625" bestFit="1" customWidth="1"/>
    <col min="152" max="152" width="27.42578125" bestFit="1" customWidth="1"/>
    <col min="153" max="153" width="29.85546875" bestFit="1" customWidth="1"/>
    <col min="154" max="154" width="28" bestFit="1" customWidth="1"/>
    <col min="155" max="155" width="34.42578125" bestFit="1" customWidth="1"/>
    <col min="156" max="156" width="28.42578125" bestFit="1" customWidth="1"/>
    <col min="157" max="157" width="27.5703125" bestFit="1" customWidth="1"/>
    <col min="158" max="158" width="19" bestFit="1" customWidth="1"/>
    <col min="159" max="159" width="34.85546875" bestFit="1" customWidth="1"/>
    <col min="160" max="160" width="29.42578125" bestFit="1" customWidth="1"/>
    <col min="161" max="161" width="30.28515625" bestFit="1" customWidth="1"/>
    <col min="162" max="162" width="31.5703125" bestFit="1" customWidth="1"/>
    <col min="163" max="163" width="27" bestFit="1" customWidth="1"/>
    <col min="164" max="166" width="19.140625" bestFit="1" customWidth="1"/>
  </cols>
  <sheetData>
    <row r="1" spans="1:166" x14ac:dyDescent="0.3">
      <c r="B1" s="182"/>
      <c r="C1" s="224" t="s">
        <v>1117</v>
      </c>
      <c r="D1" s="271" t="s">
        <v>1119</v>
      </c>
      <c r="E1" s="271" t="s">
        <v>807</v>
      </c>
      <c r="F1" s="271" t="s">
        <v>1056</v>
      </c>
      <c r="G1" s="271" t="s">
        <v>808</v>
      </c>
      <c r="H1" s="271" t="s">
        <v>809</v>
      </c>
      <c r="I1" s="271" t="s">
        <v>810</v>
      </c>
      <c r="J1" s="271" t="s">
        <v>811</v>
      </c>
      <c r="K1" s="271" t="s">
        <v>1037</v>
      </c>
      <c r="L1" s="271" t="s">
        <v>924</v>
      </c>
      <c r="M1" s="271" t="s">
        <v>812</v>
      </c>
      <c r="N1" s="271" t="s">
        <v>813</v>
      </c>
      <c r="O1" s="271" t="s">
        <v>972</v>
      </c>
      <c r="P1" s="271" t="s">
        <v>814</v>
      </c>
      <c r="Q1" s="271" t="s">
        <v>815</v>
      </c>
      <c r="R1" s="271" t="s">
        <v>816</v>
      </c>
      <c r="S1" s="271" t="s">
        <v>817</v>
      </c>
      <c r="T1" s="271" t="s">
        <v>818</v>
      </c>
      <c r="U1" s="271" t="s">
        <v>819</v>
      </c>
      <c r="V1" s="271" t="s">
        <v>820</v>
      </c>
      <c r="W1" s="271" t="s">
        <v>821</v>
      </c>
      <c r="X1" s="271" t="s">
        <v>822</v>
      </c>
      <c r="Y1" s="271" t="s">
        <v>823</v>
      </c>
      <c r="Z1" s="271" t="s">
        <v>824</v>
      </c>
      <c r="AA1" s="271" t="s">
        <v>825</v>
      </c>
      <c r="AB1" s="271" t="s">
        <v>1021</v>
      </c>
      <c r="AC1" s="271" t="s">
        <v>994</v>
      </c>
      <c r="AD1" s="271" t="s">
        <v>826</v>
      </c>
      <c r="AE1" s="271" t="s">
        <v>827</v>
      </c>
      <c r="AF1" s="271" t="s">
        <v>828</v>
      </c>
      <c r="AG1" s="271" t="s">
        <v>935</v>
      </c>
      <c r="AH1" s="271" t="s">
        <v>829</v>
      </c>
      <c r="AI1" s="271" t="s">
        <v>1090</v>
      </c>
      <c r="AJ1" s="224" t="s">
        <v>1054</v>
      </c>
      <c r="AK1" s="224" t="s">
        <v>1121</v>
      </c>
      <c r="AL1" s="271" t="s">
        <v>1123</v>
      </c>
      <c r="AM1" s="271" t="s">
        <v>831</v>
      </c>
      <c r="AN1" s="271" t="s">
        <v>832</v>
      </c>
      <c r="AO1" s="271" t="s">
        <v>833</v>
      </c>
      <c r="AP1" s="271" t="s">
        <v>834</v>
      </c>
      <c r="AQ1" s="271" t="s">
        <v>835</v>
      </c>
      <c r="AR1" s="271" t="s">
        <v>1091</v>
      </c>
      <c r="AS1" s="271" t="s">
        <v>836</v>
      </c>
      <c r="AT1" s="271" t="s">
        <v>837</v>
      </c>
      <c r="AU1" s="271" t="s">
        <v>838</v>
      </c>
      <c r="AV1" s="271" t="s">
        <v>839</v>
      </c>
      <c r="AW1" s="271" t="s">
        <v>840</v>
      </c>
      <c r="AX1" s="271" t="s">
        <v>840</v>
      </c>
      <c r="AY1" s="271" t="s">
        <v>841</v>
      </c>
      <c r="AZ1" s="271" t="s">
        <v>1205</v>
      </c>
      <c r="BA1" s="271" t="s">
        <v>925</v>
      </c>
      <c r="BB1" s="271" t="s">
        <v>842</v>
      </c>
      <c r="BC1" s="271" t="s">
        <v>843</v>
      </c>
      <c r="BD1" s="271" t="s">
        <v>1017</v>
      </c>
      <c r="BE1" s="271" t="s">
        <v>1025</v>
      </c>
      <c r="BF1" s="224" t="s">
        <v>1048</v>
      </c>
      <c r="BG1" s="271" t="s">
        <v>1046</v>
      </c>
      <c r="BH1" s="224" t="s">
        <v>1125</v>
      </c>
      <c r="BI1" s="271" t="s">
        <v>844</v>
      </c>
      <c r="BJ1" s="271" t="s">
        <v>1127</v>
      </c>
      <c r="BK1" s="271" t="s">
        <v>845</v>
      </c>
      <c r="BL1" s="271" t="s">
        <v>846</v>
      </c>
      <c r="BM1" s="271" t="s">
        <v>847</v>
      </c>
      <c r="BN1" s="271" t="s">
        <v>1020</v>
      </c>
      <c r="BO1" s="271" t="s">
        <v>848</v>
      </c>
      <c r="BP1" s="271" t="s">
        <v>849</v>
      </c>
      <c r="BQ1" s="271" t="s">
        <v>850</v>
      </c>
      <c r="BR1" s="271" t="s">
        <v>851</v>
      </c>
      <c r="BS1" s="271" t="s">
        <v>852</v>
      </c>
      <c r="BT1" s="271" t="s">
        <v>853</v>
      </c>
      <c r="BU1" s="271" t="s">
        <v>854</v>
      </c>
      <c r="BV1" s="271" t="s">
        <v>855</v>
      </c>
      <c r="BW1" s="271" t="s">
        <v>856</v>
      </c>
      <c r="BX1" s="271" t="s">
        <v>857</v>
      </c>
      <c r="BY1" s="271" t="s">
        <v>858</v>
      </c>
      <c r="BZ1" s="271" t="s">
        <v>859</v>
      </c>
      <c r="CA1" s="271" t="s">
        <v>860</v>
      </c>
      <c r="CB1" s="271" t="s">
        <v>861</v>
      </c>
      <c r="CC1" s="271" t="s">
        <v>862</v>
      </c>
      <c r="CD1" s="271" t="s">
        <v>863</v>
      </c>
      <c r="CE1" s="271" t="s">
        <v>864</v>
      </c>
      <c r="CF1" s="271" t="s">
        <v>1008</v>
      </c>
      <c r="CG1" s="271" t="s">
        <v>865</v>
      </c>
      <c r="CH1" s="271" t="s">
        <v>866</v>
      </c>
      <c r="CI1" s="271" t="s">
        <v>867</v>
      </c>
      <c r="CJ1" s="271" t="s">
        <v>868</v>
      </c>
      <c r="CK1" s="271" t="s">
        <v>869</v>
      </c>
      <c r="CL1" s="271" t="s">
        <v>870</v>
      </c>
      <c r="CM1" s="271" t="s">
        <v>871</v>
      </c>
      <c r="CN1" s="271" t="s">
        <v>872</v>
      </c>
      <c r="CO1" s="271" t="s">
        <v>873</v>
      </c>
      <c r="CP1" s="271" t="s">
        <v>874</v>
      </c>
      <c r="CQ1" s="271" t="s">
        <v>875</v>
      </c>
      <c r="CR1" s="271" t="s">
        <v>1057</v>
      </c>
      <c r="CS1" s="271" t="s">
        <v>876</v>
      </c>
      <c r="CT1" s="271" t="s">
        <v>877</v>
      </c>
      <c r="CU1" s="271" t="s">
        <v>1092</v>
      </c>
      <c r="CV1" s="271" t="s">
        <v>878</v>
      </c>
      <c r="CW1" s="271" t="s">
        <v>879</v>
      </c>
      <c r="CX1" s="224" t="s">
        <v>936</v>
      </c>
      <c r="CY1" s="271" t="s">
        <v>880</v>
      </c>
      <c r="CZ1" s="271" t="s">
        <v>1129</v>
      </c>
      <c r="DA1" s="271" t="s">
        <v>881</v>
      </c>
      <c r="DB1" s="271" t="s">
        <v>1001</v>
      </c>
      <c r="DC1" s="271" t="s">
        <v>1011</v>
      </c>
      <c r="DD1" s="271" t="s">
        <v>882</v>
      </c>
      <c r="DE1" s="271" t="s">
        <v>883</v>
      </c>
      <c r="DF1" s="271" t="s">
        <v>884</v>
      </c>
      <c r="DG1" s="271" t="s">
        <v>885</v>
      </c>
      <c r="DH1" s="271" t="s">
        <v>988</v>
      </c>
      <c r="DI1" s="271" t="s">
        <v>886</v>
      </c>
      <c r="DJ1" s="224" t="s">
        <v>887</v>
      </c>
      <c r="DK1" s="271" t="s">
        <v>1052</v>
      </c>
      <c r="DL1" s="271" t="s">
        <v>1206</v>
      </c>
      <c r="DM1" s="271" t="s">
        <v>1040</v>
      </c>
      <c r="DN1" s="271" t="s">
        <v>1041</v>
      </c>
      <c r="DO1" s="224" t="s">
        <v>1064</v>
      </c>
      <c r="DP1" s="271" t="s">
        <v>1058</v>
      </c>
      <c r="DQ1" s="271" t="s">
        <v>888</v>
      </c>
      <c r="DR1" s="271" t="s">
        <v>1042</v>
      </c>
      <c r="DS1" s="271" t="s">
        <v>889</v>
      </c>
      <c r="DT1" s="271" t="s">
        <v>890</v>
      </c>
      <c r="DU1" s="271" t="s">
        <v>891</v>
      </c>
      <c r="DV1" s="303" t="s">
        <v>1132</v>
      </c>
      <c r="DW1" s="303" t="s">
        <v>1134</v>
      </c>
      <c r="DX1" s="303" t="s">
        <v>1055</v>
      </c>
      <c r="DY1" s="303" t="s">
        <v>892</v>
      </c>
      <c r="DZ1" s="303" t="s">
        <v>1003</v>
      </c>
      <c r="EA1" s="303" t="s">
        <v>893</v>
      </c>
      <c r="EB1" s="303" t="s">
        <v>894</v>
      </c>
      <c r="EC1" s="303" t="s">
        <v>895</v>
      </c>
      <c r="ED1" s="188" t="s">
        <v>1112</v>
      </c>
      <c r="EE1" s="188" t="s">
        <v>896</v>
      </c>
      <c r="EF1" s="224" t="s">
        <v>1093</v>
      </c>
      <c r="EG1" s="271" t="s">
        <v>897</v>
      </c>
      <c r="EH1" s="271" t="s">
        <v>898</v>
      </c>
      <c r="EI1" s="271" t="s">
        <v>899</v>
      </c>
      <c r="EJ1" s="271" t="s">
        <v>1094</v>
      </c>
      <c r="EK1" s="302" t="s">
        <v>1136</v>
      </c>
      <c r="EL1" s="271" t="s">
        <v>1138</v>
      </c>
      <c r="EM1" s="271" t="s">
        <v>1140</v>
      </c>
      <c r="EN1" s="271" t="s">
        <v>900</v>
      </c>
      <c r="EO1" s="271" t="s">
        <v>901</v>
      </c>
      <c r="EP1" s="271" t="s">
        <v>902</v>
      </c>
      <c r="EQ1" s="271" t="s">
        <v>903</v>
      </c>
      <c r="ER1" s="271" t="s">
        <v>904</v>
      </c>
      <c r="ES1" s="271" t="s">
        <v>905</v>
      </c>
      <c r="ET1" s="271" t="s">
        <v>1095</v>
      </c>
      <c r="EU1" s="271" t="s">
        <v>1096</v>
      </c>
      <c r="EV1" s="271" t="s">
        <v>906</v>
      </c>
      <c r="EW1" s="271" t="s">
        <v>907</v>
      </c>
      <c r="EX1" s="224" t="s">
        <v>989</v>
      </c>
      <c r="EY1" s="271" t="s">
        <v>908</v>
      </c>
      <c r="EZ1" s="224" t="s">
        <v>909</v>
      </c>
      <c r="FA1" s="309" t="s">
        <v>910</v>
      </c>
      <c r="FB1" s="309" t="s">
        <v>911</v>
      </c>
      <c r="FC1" s="309" t="s">
        <v>912</v>
      </c>
      <c r="FD1" s="309" t="s">
        <v>913</v>
      </c>
      <c r="FE1" s="309" t="s">
        <v>977</v>
      </c>
      <c r="FF1" s="309" t="s">
        <v>914</v>
      </c>
      <c r="FG1" s="310" t="s">
        <v>1142</v>
      </c>
      <c r="FH1" s="309" t="s">
        <v>915</v>
      </c>
      <c r="FI1" s="309" t="s">
        <v>1144</v>
      </c>
      <c r="FJ1" s="223" t="s">
        <v>1053</v>
      </c>
    </row>
    <row r="2" spans="1:166" s="166" customFormat="1" x14ac:dyDescent="0.3">
      <c r="A2" s="166">
        <v>1</v>
      </c>
      <c r="B2" s="212"/>
      <c r="C2" s="311" t="s">
        <v>1118</v>
      </c>
      <c r="D2" s="311" t="s">
        <v>1120</v>
      </c>
      <c r="E2" s="312" t="s">
        <v>290</v>
      </c>
      <c r="F2" s="312" t="s">
        <v>293</v>
      </c>
      <c r="G2" s="312" t="s">
        <v>295</v>
      </c>
      <c r="H2" s="312" t="s">
        <v>775</v>
      </c>
      <c r="I2" s="312" t="s">
        <v>777</v>
      </c>
      <c r="J2" s="312" t="s">
        <v>297</v>
      </c>
      <c r="K2" s="312" t="s">
        <v>1038</v>
      </c>
      <c r="L2" s="312" t="s">
        <v>916</v>
      </c>
      <c r="M2" s="312" t="s">
        <v>773</v>
      </c>
      <c r="N2" s="312" t="s">
        <v>300</v>
      </c>
      <c r="O2" s="312" t="s">
        <v>298</v>
      </c>
      <c r="P2" s="312" t="s">
        <v>306</v>
      </c>
      <c r="Q2" s="312" t="s">
        <v>299</v>
      </c>
      <c r="R2" s="312" t="s">
        <v>301</v>
      </c>
      <c r="S2" s="312" t="s">
        <v>769</v>
      </c>
      <c r="T2" s="312" t="s">
        <v>302</v>
      </c>
      <c r="U2" s="312" t="s">
        <v>303</v>
      </c>
      <c r="V2" s="312" t="s">
        <v>304</v>
      </c>
      <c r="W2" s="312" t="s">
        <v>305</v>
      </c>
      <c r="X2" s="312" t="s">
        <v>308</v>
      </c>
      <c r="Y2" s="312" t="s">
        <v>307</v>
      </c>
      <c r="Z2" s="312" t="s">
        <v>310</v>
      </c>
      <c r="AA2" s="312" t="s">
        <v>704</v>
      </c>
      <c r="AB2" s="312" t="s">
        <v>1022</v>
      </c>
      <c r="AC2" s="312" t="s">
        <v>995</v>
      </c>
      <c r="AD2" s="312" t="s">
        <v>712</v>
      </c>
      <c r="AE2" s="312" t="s">
        <v>742</v>
      </c>
      <c r="AF2" s="312" t="s">
        <v>754</v>
      </c>
      <c r="AG2" s="312" t="s">
        <v>309</v>
      </c>
      <c r="AH2" s="312" t="s">
        <v>311</v>
      </c>
      <c r="AI2" s="312" t="s">
        <v>291</v>
      </c>
      <c r="AJ2" s="312" t="s">
        <v>292</v>
      </c>
      <c r="AK2" s="311" t="s">
        <v>1122</v>
      </c>
      <c r="AL2" s="311" t="s">
        <v>1124</v>
      </c>
      <c r="AM2" s="312" t="s">
        <v>317</v>
      </c>
      <c r="AN2" s="312" t="s">
        <v>324</v>
      </c>
      <c r="AO2" s="312" t="s">
        <v>319</v>
      </c>
      <c r="AP2" s="312" t="s">
        <v>320</v>
      </c>
      <c r="AQ2" s="312" t="s">
        <v>321</v>
      </c>
      <c r="AR2" s="312" t="s">
        <v>314</v>
      </c>
      <c r="AS2" s="312" t="s">
        <v>322</v>
      </c>
      <c r="AT2" s="312" t="s">
        <v>780</v>
      </c>
      <c r="AU2" s="312" t="s">
        <v>323</v>
      </c>
      <c r="AV2" s="312" t="s">
        <v>316</v>
      </c>
      <c r="AW2" s="312" t="s">
        <v>315</v>
      </c>
      <c r="AX2" s="312" t="s">
        <v>918</v>
      </c>
      <c r="AY2" s="312" t="s">
        <v>318</v>
      </c>
      <c r="AZ2" s="313" t="s">
        <v>1207</v>
      </c>
      <c r="BA2" s="312" t="s">
        <v>922</v>
      </c>
      <c r="BB2" s="312" t="s">
        <v>325</v>
      </c>
      <c r="BC2" s="312" t="s">
        <v>326</v>
      </c>
      <c r="BD2" s="312" t="s">
        <v>1015</v>
      </c>
      <c r="BE2" s="312" t="s">
        <v>1026</v>
      </c>
      <c r="BF2" s="312" t="s">
        <v>1049</v>
      </c>
      <c r="BG2" s="312" t="s">
        <v>1047</v>
      </c>
      <c r="BH2" s="311" t="s">
        <v>1126</v>
      </c>
      <c r="BI2" s="312" t="s">
        <v>744</v>
      </c>
      <c r="BJ2" s="311" t="s">
        <v>1128</v>
      </c>
      <c r="BK2" s="312" t="s">
        <v>758</v>
      </c>
      <c r="BL2" s="312" t="s">
        <v>715</v>
      </c>
      <c r="BM2" s="312" t="s">
        <v>746</v>
      </c>
      <c r="BN2" s="312" t="s">
        <v>1018</v>
      </c>
      <c r="BO2" s="312" t="s">
        <v>763</v>
      </c>
      <c r="BP2" s="312" t="s">
        <v>329</v>
      </c>
      <c r="BQ2" s="312" t="s">
        <v>327</v>
      </c>
      <c r="BR2" s="312" t="s">
        <v>333</v>
      </c>
      <c r="BS2" s="312" t="s">
        <v>335</v>
      </c>
      <c r="BT2" s="312" t="s">
        <v>337</v>
      </c>
      <c r="BU2" s="312" t="s">
        <v>338</v>
      </c>
      <c r="BV2" s="312" t="s">
        <v>345</v>
      </c>
      <c r="BW2" s="312" t="s">
        <v>339</v>
      </c>
      <c r="BX2" s="312" t="s">
        <v>340</v>
      </c>
      <c r="BY2" s="312" t="s">
        <v>341</v>
      </c>
      <c r="BZ2" s="312" t="s">
        <v>348</v>
      </c>
      <c r="CA2" s="312" t="s">
        <v>349</v>
      </c>
      <c r="CB2" s="312" t="s">
        <v>350</v>
      </c>
      <c r="CC2" s="312" t="s">
        <v>351</v>
      </c>
      <c r="CD2" s="312" t="s">
        <v>352</v>
      </c>
      <c r="CE2" s="312" t="s">
        <v>353</v>
      </c>
      <c r="CF2" s="312" t="s">
        <v>1009</v>
      </c>
      <c r="CG2" s="312" t="s">
        <v>343</v>
      </c>
      <c r="CH2" s="312" t="s">
        <v>344</v>
      </c>
      <c r="CI2" s="312" t="s">
        <v>346</v>
      </c>
      <c r="CJ2" s="312" t="s">
        <v>328</v>
      </c>
      <c r="CK2" s="312" t="s">
        <v>331</v>
      </c>
      <c r="CL2" s="312" t="s">
        <v>332</v>
      </c>
      <c r="CM2" s="312" t="s">
        <v>354</v>
      </c>
      <c r="CN2" s="312" t="s">
        <v>748</v>
      </c>
      <c r="CO2" s="312" t="s">
        <v>359</v>
      </c>
      <c r="CP2" s="312" t="s">
        <v>360</v>
      </c>
      <c r="CQ2" s="312" t="s">
        <v>782</v>
      </c>
      <c r="CR2" s="312" t="s">
        <v>1005</v>
      </c>
      <c r="CS2" s="312" t="s">
        <v>355</v>
      </c>
      <c r="CT2" s="312" t="s">
        <v>356</v>
      </c>
      <c r="CU2" s="312" t="s">
        <v>998</v>
      </c>
      <c r="CV2" s="312" t="s">
        <v>358</v>
      </c>
      <c r="CW2" s="312" t="s">
        <v>707</v>
      </c>
      <c r="CX2" s="312" t="s">
        <v>931</v>
      </c>
      <c r="CY2" s="312" t="s">
        <v>294</v>
      </c>
      <c r="CZ2" s="311" t="s">
        <v>1130</v>
      </c>
      <c r="DA2" s="312" t="s">
        <v>296</v>
      </c>
      <c r="DB2" s="312" t="s">
        <v>1002</v>
      </c>
      <c r="DC2" s="312" t="s">
        <v>1012</v>
      </c>
      <c r="DD2" s="312" t="s">
        <v>334</v>
      </c>
      <c r="DE2" s="312" t="s">
        <v>336</v>
      </c>
      <c r="DF2" s="312" t="s">
        <v>342</v>
      </c>
      <c r="DG2" s="312" t="s">
        <v>361</v>
      </c>
      <c r="DH2" s="312" t="s">
        <v>802</v>
      </c>
      <c r="DI2" s="312" t="s">
        <v>400</v>
      </c>
      <c r="DJ2" s="312" t="s">
        <v>756</v>
      </c>
      <c r="DK2" s="312" t="s">
        <v>381</v>
      </c>
      <c r="DL2" s="311" t="s">
        <v>1131</v>
      </c>
      <c r="DM2" s="312" t="s">
        <v>368</v>
      </c>
      <c r="DN2" s="312" t="s">
        <v>379</v>
      </c>
      <c r="DO2" s="312" t="s">
        <v>383</v>
      </c>
      <c r="DP2" s="312" t="s">
        <v>1031</v>
      </c>
      <c r="DQ2" s="312" t="s">
        <v>362</v>
      </c>
      <c r="DR2" s="312" t="s">
        <v>363</v>
      </c>
      <c r="DS2" s="312" t="s">
        <v>365</v>
      </c>
      <c r="DT2" s="312" t="s">
        <v>364</v>
      </c>
      <c r="DU2" s="312" t="s">
        <v>367</v>
      </c>
      <c r="DV2" s="311" t="s">
        <v>1133</v>
      </c>
      <c r="DW2" s="311" t="s">
        <v>1135</v>
      </c>
      <c r="DX2" s="312" t="s">
        <v>800</v>
      </c>
      <c r="DY2" s="312" t="s">
        <v>370</v>
      </c>
      <c r="DZ2" s="312" t="s">
        <v>373</v>
      </c>
      <c r="EA2" s="312" t="s">
        <v>374</v>
      </c>
      <c r="EB2" s="312" t="s">
        <v>371</v>
      </c>
      <c r="EC2" s="312" t="s">
        <v>372</v>
      </c>
      <c r="ED2" s="312" t="s">
        <v>369</v>
      </c>
      <c r="EE2" s="312" t="s">
        <v>376</v>
      </c>
      <c r="EF2" s="312" t="s">
        <v>375</v>
      </c>
      <c r="EG2" s="312" t="s">
        <v>377</v>
      </c>
      <c r="EH2" s="312" t="s">
        <v>786</v>
      </c>
      <c r="EI2" s="312" t="s">
        <v>788</v>
      </c>
      <c r="EJ2" s="312" t="s">
        <v>378</v>
      </c>
      <c r="EK2" s="311" t="s">
        <v>1137</v>
      </c>
      <c r="EL2" s="311" t="s">
        <v>1139</v>
      </c>
      <c r="EM2" s="311" t="s">
        <v>1141</v>
      </c>
      <c r="EN2" s="312" t="s">
        <v>382</v>
      </c>
      <c r="EO2" s="312" t="s">
        <v>384</v>
      </c>
      <c r="EP2" s="312" t="s">
        <v>386</v>
      </c>
      <c r="EQ2" s="312" t="s">
        <v>387</v>
      </c>
      <c r="ER2" s="312" t="s">
        <v>389</v>
      </c>
      <c r="ES2" s="312" t="s">
        <v>390</v>
      </c>
      <c r="ET2" s="312" t="s">
        <v>388</v>
      </c>
      <c r="EU2" s="312" t="s">
        <v>391</v>
      </c>
      <c r="EV2" s="312" t="s">
        <v>397</v>
      </c>
      <c r="EW2" s="312" t="s">
        <v>393</v>
      </c>
      <c r="EX2" s="312" t="s">
        <v>990</v>
      </c>
      <c r="EY2" s="312" t="s">
        <v>394</v>
      </c>
      <c r="EZ2" s="312" t="s">
        <v>395</v>
      </c>
      <c r="FA2" s="312" t="s">
        <v>396</v>
      </c>
      <c r="FB2" s="312" t="s">
        <v>399</v>
      </c>
      <c r="FC2" s="312" t="s">
        <v>401</v>
      </c>
      <c r="FD2" s="312" t="s">
        <v>403</v>
      </c>
      <c r="FE2" s="312" t="s">
        <v>978</v>
      </c>
      <c r="FF2" s="312" t="s">
        <v>402</v>
      </c>
      <c r="FG2" s="311" t="s">
        <v>1143</v>
      </c>
      <c r="FH2" s="312" t="s">
        <v>404</v>
      </c>
      <c r="FI2" s="311" t="s">
        <v>1145</v>
      </c>
      <c r="FJ2" s="223" t="s">
        <v>1043</v>
      </c>
    </row>
    <row r="3" spans="1:166" x14ac:dyDescent="0.3">
      <c r="A3" s="223">
        <v>2</v>
      </c>
      <c r="B3" s="315">
        <v>42313</v>
      </c>
      <c r="C3" s="212">
        <v>1018887.8422</v>
      </c>
      <c r="D3" s="212">
        <v>104.52955107</v>
      </c>
      <c r="E3" s="212">
        <v>1.4508896</v>
      </c>
      <c r="F3" s="212">
        <v>7.1909308000000003</v>
      </c>
      <c r="G3" s="212">
        <v>4.3847878427999998</v>
      </c>
      <c r="H3" s="212">
        <v>4.3245408789999997</v>
      </c>
      <c r="I3" s="212">
        <v>1.077079549</v>
      </c>
      <c r="J3" s="212">
        <v>4.2245210000000002</v>
      </c>
      <c r="K3" s="212">
        <v>3.0182280000000001</v>
      </c>
      <c r="L3" s="212">
        <v>10.306619636000001</v>
      </c>
      <c r="M3" s="212">
        <v>1.00566361</v>
      </c>
      <c r="N3" s="212">
        <v>1.337551486</v>
      </c>
      <c r="O3" s="212">
        <v>1.9066197760000001</v>
      </c>
      <c r="P3" s="212">
        <v>1.2380167660000001</v>
      </c>
      <c r="Q3" s="212">
        <v>1.501355</v>
      </c>
      <c r="R3" s="212">
        <v>1.672484562</v>
      </c>
      <c r="S3" s="212">
        <v>11.676595000000001</v>
      </c>
      <c r="T3" s="212">
        <v>2.7891428380000001</v>
      </c>
      <c r="U3" s="212">
        <v>3.1455964449999998</v>
      </c>
      <c r="V3" s="212">
        <v>1.543300949</v>
      </c>
      <c r="W3" s="212">
        <v>1.3029278150000001</v>
      </c>
      <c r="X3" s="212">
        <v>3.2757113119999999</v>
      </c>
      <c r="Y3" s="212">
        <v>1.789037</v>
      </c>
      <c r="Z3" s="212">
        <v>1.5619749999999999</v>
      </c>
      <c r="AA3" s="212">
        <v>1.237339647</v>
      </c>
      <c r="AB3" s="212">
        <v>1.081568984</v>
      </c>
      <c r="AC3" s="212">
        <v>1.085377094</v>
      </c>
      <c r="AD3" s="212">
        <v>1.264493377</v>
      </c>
      <c r="AE3" s="212">
        <v>1.2624393709999999</v>
      </c>
      <c r="AF3" s="212">
        <v>1.200904167</v>
      </c>
      <c r="AG3" s="212">
        <v>8.9764035660000001</v>
      </c>
      <c r="AH3" s="212">
        <v>1.6915757250000001</v>
      </c>
      <c r="AI3" s="212">
        <v>3.6443889999999999</v>
      </c>
      <c r="AJ3" s="212">
        <v>2.2639309999999999</v>
      </c>
      <c r="AK3" s="212">
        <v>186.96162631000001</v>
      </c>
      <c r="AL3" s="212">
        <v>1.0440491999999999</v>
      </c>
      <c r="AM3" s="212">
        <v>1.812465</v>
      </c>
      <c r="AN3" s="212">
        <v>8.3063065999999992</v>
      </c>
      <c r="AO3" s="212">
        <v>1.6960024</v>
      </c>
      <c r="AP3" s="212">
        <v>1.6904532999999999</v>
      </c>
      <c r="AQ3" s="212">
        <v>2.3561866</v>
      </c>
      <c r="AR3" s="212">
        <v>8.2770250000000001</v>
      </c>
      <c r="AS3" s="212">
        <v>384.4660232</v>
      </c>
      <c r="AT3" s="212">
        <v>1.199314</v>
      </c>
      <c r="AU3" s="212">
        <v>2.9161747999999998</v>
      </c>
      <c r="AV3" s="212">
        <v>2.4505658000000001</v>
      </c>
      <c r="AW3" s="212">
        <v>1.5085271</v>
      </c>
      <c r="AX3" s="212">
        <v>1.1562235999999999</v>
      </c>
      <c r="AY3" s="212">
        <v>2.4410083999999999</v>
      </c>
      <c r="AZ3" s="212" t="s">
        <v>830</v>
      </c>
      <c r="BA3" s="212">
        <v>1.815545712</v>
      </c>
      <c r="BB3" s="212">
        <v>2.3128717999999999</v>
      </c>
      <c r="BC3" s="212">
        <v>2.8926780000000001</v>
      </c>
      <c r="BD3" s="212">
        <v>1.0443960000000001</v>
      </c>
      <c r="BE3" s="212">
        <v>1.028538</v>
      </c>
      <c r="BF3" s="212">
        <v>1.0182230000000001</v>
      </c>
      <c r="BG3" s="212">
        <v>1.039714</v>
      </c>
      <c r="BH3" s="212">
        <v>1.024176</v>
      </c>
      <c r="BI3" s="212">
        <v>1.165694</v>
      </c>
      <c r="BJ3" s="212">
        <v>1.0458160000000001</v>
      </c>
      <c r="BK3" s="212">
        <v>1.1272310000000001</v>
      </c>
      <c r="BL3" s="212">
        <v>1.1600250000000001</v>
      </c>
      <c r="BM3" s="212">
        <v>1.159041</v>
      </c>
      <c r="BN3" s="212">
        <v>1.0105299999999999</v>
      </c>
      <c r="BO3" s="212">
        <v>1.111253</v>
      </c>
      <c r="BP3" s="212">
        <v>2.5418609999999999</v>
      </c>
      <c r="BQ3" s="212">
        <v>1.3249059999999999</v>
      </c>
      <c r="BR3" s="212">
        <v>1.384266</v>
      </c>
      <c r="BS3" s="212">
        <v>1.218931</v>
      </c>
      <c r="BT3" s="212">
        <v>1.673403</v>
      </c>
      <c r="BU3" s="212">
        <v>1.6401600000000001</v>
      </c>
      <c r="BV3" s="212">
        <v>1.8181989999999999</v>
      </c>
      <c r="BW3" s="212">
        <v>1.663151</v>
      </c>
      <c r="BX3" s="212">
        <v>1.634787</v>
      </c>
      <c r="BY3" s="212">
        <v>1.626522</v>
      </c>
      <c r="BZ3" s="212">
        <v>1.873993</v>
      </c>
      <c r="CA3" s="212">
        <v>1.813399</v>
      </c>
      <c r="CB3" s="212">
        <v>1.82622</v>
      </c>
      <c r="CC3" s="212">
        <v>1.772894</v>
      </c>
      <c r="CD3" s="212">
        <v>1.7737510000000001</v>
      </c>
      <c r="CE3" s="212">
        <v>1.724569</v>
      </c>
      <c r="CF3" s="212">
        <v>1.062932</v>
      </c>
      <c r="CG3" s="212">
        <v>1.241876</v>
      </c>
      <c r="CH3" s="212">
        <v>1.2541119999999999</v>
      </c>
      <c r="CI3" s="212">
        <v>2.7500779999999998</v>
      </c>
      <c r="CJ3" s="212">
        <v>1.0260089999999999</v>
      </c>
      <c r="CK3" s="212">
        <v>1.1114869999999999</v>
      </c>
      <c r="CL3" s="212">
        <v>0.71834399999999998</v>
      </c>
      <c r="CM3" s="212">
        <v>3.1754980000000002</v>
      </c>
      <c r="CN3" s="212">
        <v>2.0392039999999998</v>
      </c>
      <c r="CO3" s="212">
        <v>1.0288200000000001</v>
      </c>
      <c r="CP3" s="212">
        <v>1.005182</v>
      </c>
      <c r="CQ3" s="212">
        <v>1.228791</v>
      </c>
      <c r="CR3" s="212">
        <v>13.409266000000001</v>
      </c>
      <c r="CS3" s="212">
        <v>4.1790700000000003</v>
      </c>
      <c r="CT3" s="212">
        <v>1.90219</v>
      </c>
      <c r="CU3" s="212">
        <v>5.0823770000000001</v>
      </c>
      <c r="CV3" s="212">
        <v>8.993646</v>
      </c>
      <c r="CW3" s="212" t="s">
        <v>830</v>
      </c>
      <c r="CX3" s="212">
        <v>1.1736123135000001</v>
      </c>
      <c r="CY3" s="212">
        <v>1.9564060475</v>
      </c>
      <c r="CZ3" s="212">
        <v>1.1221893634</v>
      </c>
      <c r="DA3" s="212">
        <v>13.927616587999999</v>
      </c>
      <c r="DB3" s="212">
        <v>1.0532950000000001</v>
      </c>
      <c r="DC3" s="212">
        <v>1.039426</v>
      </c>
      <c r="DD3" s="212">
        <v>1.829715</v>
      </c>
      <c r="DE3" s="212">
        <v>1.777339</v>
      </c>
      <c r="DF3" s="212">
        <v>1.7082649999999999</v>
      </c>
      <c r="DG3" s="212">
        <v>1.0070882000000001</v>
      </c>
      <c r="DH3" s="212">
        <v>120.3385073</v>
      </c>
      <c r="DI3" s="212">
        <v>0.25069084000000003</v>
      </c>
      <c r="DJ3" s="212">
        <v>2.0016802999999999</v>
      </c>
      <c r="DK3" s="212">
        <v>1.88408592</v>
      </c>
      <c r="DL3" s="212">
        <v>146029.91696999999</v>
      </c>
      <c r="DM3" s="212">
        <v>310.79484170000001</v>
      </c>
      <c r="DN3" s="212">
        <v>17.769460899999999</v>
      </c>
      <c r="DO3" s="212" t="s">
        <v>830</v>
      </c>
      <c r="DP3" s="212">
        <v>18144884.449000001</v>
      </c>
      <c r="DQ3" s="212">
        <v>1.5694345000000001</v>
      </c>
      <c r="DR3" s="212">
        <v>14.230153700000001</v>
      </c>
      <c r="DS3" s="212">
        <v>20.8037779</v>
      </c>
      <c r="DT3" s="212">
        <v>1.7478427000000001</v>
      </c>
      <c r="DU3" s="212">
        <v>1.1495084</v>
      </c>
      <c r="DV3" s="212">
        <v>1625.1654731000001</v>
      </c>
      <c r="DW3" s="212">
        <v>23205.924006000001</v>
      </c>
      <c r="DX3" s="212">
        <v>0.83511154200000004</v>
      </c>
      <c r="DY3" s="212">
        <v>11.063701999999999</v>
      </c>
      <c r="DZ3" s="212">
        <v>217.87305900000001</v>
      </c>
      <c r="EA3" s="212">
        <v>17.400043</v>
      </c>
      <c r="EB3" s="212">
        <v>19.970516</v>
      </c>
      <c r="EC3" s="212">
        <v>18.72719</v>
      </c>
      <c r="ED3" s="212">
        <v>2164.0540689999998</v>
      </c>
      <c r="EE3" s="212">
        <v>22.173290000000001</v>
      </c>
      <c r="EF3" s="212">
        <v>33.200529000000003</v>
      </c>
      <c r="EG3" s="212">
        <v>1.434831</v>
      </c>
      <c r="EH3" s="212">
        <v>0.67587509999999995</v>
      </c>
      <c r="EI3" s="212">
        <v>1.1501551000000001</v>
      </c>
      <c r="EJ3" s="212">
        <v>1.9072097299999999</v>
      </c>
      <c r="EK3" s="212">
        <v>1.5839805</v>
      </c>
      <c r="EL3" s="212">
        <v>2.6590927</v>
      </c>
      <c r="EM3">
        <v>1.2149805600000001</v>
      </c>
      <c r="EN3">
        <v>2.20327604</v>
      </c>
      <c r="EO3">
        <v>1.3521953</v>
      </c>
      <c r="EP3">
        <v>250.52369100000001</v>
      </c>
      <c r="EQ3">
        <v>178.88963799999999</v>
      </c>
      <c r="ER3">
        <v>15.4793714</v>
      </c>
      <c r="ES3">
        <v>13.780517100000001</v>
      </c>
      <c r="ET3">
        <v>8.5457177000000009</v>
      </c>
      <c r="EU3">
        <v>184.07728169999999</v>
      </c>
      <c r="EV3">
        <v>119.6957359</v>
      </c>
      <c r="EW3">
        <v>17.1134445</v>
      </c>
      <c r="EX3">
        <v>99.148887799999997</v>
      </c>
      <c r="EY3">
        <v>2.7656402</v>
      </c>
      <c r="EZ3">
        <v>2233.1238960999999</v>
      </c>
      <c r="FA3" s="223">
        <v>8.1693110000000004</v>
      </c>
      <c r="FB3" s="223">
        <v>1.0849643</v>
      </c>
      <c r="FC3" s="223">
        <v>1.8978694</v>
      </c>
      <c r="FD3">
        <v>2.7442055000000001</v>
      </c>
      <c r="FE3">
        <v>1.1963482000000001</v>
      </c>
      <c r="FF3">
        <v>1.5857694</v>
      </c>
      <c r="FG3">
        <v>0.85504323000000004</v>
      </c>
      <c r="FH3">
        <v>1.0953551100000001</v>
      </c>
      <c r="FI3">
        <v>0.84026380000000001</v>
      </c>
      <c r="FJ3">
        <v>102.82356986000001</v>
      </c>
    </row>
    <row r="4" spans="1:166" x14ac:dyDescent="0.3">
      <c r="A4" s="223">
        <v>3</v>
      </c>
      <c r="B4" s="315">
        <v>42314</v>
      </c>
      <c r="C4" s="212">
        <v>1018821.469</v>
      </c>
      <c r="D4" s="212">
        <v>104.52576627000001</v>
      </c>
      <c r="E4" s="212">
        <v>1.4514809</v>
      </c>
      <c r="F4" s="212">
        <v>7.1191559</v>
      </c>
      <c r="G4" s="212">
        <v>4.3733459333000004</v>
      </c>
      <c r="H4" s="212">
        <v>4.2685709239999996</v>
      </c>
      <c r="I4" s="212">
        <v>1.062659354</v>
      </c>
      <c r="J4" s="212">
        <v>4.2266830000000004</v>
      </c>
      <c r="K4" s="212">
        <v>3.019317</v>
      </c>
      <c r="L4" s="212">
        <v>10.311055803</v>
      </c>
      <c r="M4" s="212">
        <v>0.987541169</v>
      </c>
      <c r="N4" s="212">
        <v>1.310534788</v>
      </c>
      <c r="O4" s="212">
        <v>1.9070150729999999</v>
      </c>
      <c r="P4" s="212">
        <v>1.23982204</v>
      </c>
      <c r="Q4" s="212">
        <v>1.5020830000000001</v>
      </c>
      <c r="R4" s="212">
        <v>1.6737257679999999</v>
      </c>
      <c r="S4" s="212">
        <v>11.685473</v>
      </c>
      <c r="T4" s="212">
        <v>2.7866036809999999</v>
      </c>
      <c r="U4" s="212">
        <v>3.1425363970000002</v>
      </c>
      <c r="V4" s="212">
        <v>1.540025355</v>
      </c>
      <c r="W4" s="212">
        <v>1.3027267899999999</v>
      </c>
      <c r="X4" s="212">
        <v>3.2762850220000002</v>
      </c>
      <c r="Y4" s="212">
        <v>1.790249</v>
      </c>
      <c r="Z4" s="212">
        <v>1.5627960000000001</v>
      </c>
      <c r="AA4" s="212">
        <v>1.2376252940000001</v>
      </c>
      <c r="AB4" s="212">
        <v>1.0824939499999999</v>
      </c>
      <c r="AC4" s="212">
        <v>1.0861511230000001</v>
      </c>
      <c r="AD4" s="212">
        <v>1.265614263</v>
      </c>
      <c r="AE4" s="212">
        <v>1.2635602539999999</v>
      </c>
      <c r="AF4" s="212">
        <v>1.201344145</v>
      </c>
      <c r="AG4" s="212">
        <v>8.9809901750000005</v>
      </c>
      <c r="AH4" s="212">
        <v>1.694846842</v>
      </c>
      <c r="AI4" s="212">
        <v>3.646271</v>
      </c>
      <c r="AJ4" s="212">
        <v>2.2624050000000002</v>
      </c>
      <c r="AK4" s="212">
        <v>187.06629262999999</v>
      </c>
      <c r="AL4" s="212">
        <v>1.0449968999999999</v>
      </c>
      <c r="AM4" s="212">
        <v>1.8107431</v>
      </c>
      <c r="AN4" s="212">
        <v>8.3106895999999999</v>
      </c>
      <c r="AO4" s="212">
        <v>1.6968080999999999</v>
      </c>
      <c r="AP4" s="212">
        <v>1.6912411000000001</v>
      </c>
      <c r="AQ4" s="212">
        <v>2.3574025999999999</v>
      </c>
      <c r="AR4" s="212">
        <v>8.2813178999999995</v>
      </c>
      <c r="AS4" s="212">
        <v>375.46139479999999</v>
      </c>
      <c r="AT4" s="212">
        <v>1.1906421</v>
      </c>
      <c r="AU4" s="212">
        <v>2.9175989000000002</v>
      </c>
      <c r="AV4" s="212">
        <v>2.4482957999999999</v>
      </c>
      <c r="AW4" s="212">
        <v>1.5053924000000001</v>
      </c>
      <c r="AX4" s="212">
        <v>1.1570718</v>
      </c>
      <c r="AY4" s="212">
        <v>2.4404868999999998</v>
      </c>
      <c r="AZ4" s="212" t="s">
        <v>830</v>
      </c>
      <c r="BA4" s="212">
        <v>1.816479256</v>
      </c>
      <c r="BB4" s="212">
        <v>2.3108425000000001</v>
      </c>
      <c r="BC4" s="212">
        <v>2.8941819999999998</v>
      </c>
      <c r="BD4" s="212">
        <v>1.0453250000000001</v>
      </c>
      <c r="BE4" s="212">
        <v>1.0294540000000001</v>
      </c>
      <c r="BF4" s="212">
        <v>1.019129</v>
      </c>
      <c r="BG4" s="212">
        <v>1.04064</v>
      </c>
      <c r="BH4" s="212">
        <v>1.0250859999999999</v>
      </c>
      <c r="BI4" s="212">
        <v>1.16673</v>
      </c>
      <c r="BJ4" s="212">
        <v>1.046489</v>
      </c>
      <c r="BK4" s="212">
        <v>1.1278280000000001</v>
      </c>
      <c r="BL4" s="212">
        <v>1.161052</v>
      </c>
      <c r="BM4" s="212">
        <v>1.160072</v>
      </c>
      <c r="BN4" s="212">
        <v>1.011088</v>
      </c>
      <c r="BO4" s="212">
        <v>1.1087279999999999</v>
      </c>
      <c r="BP4" s="212">
        <v>2.5432160000000001</v>
      </c>
      <c r="BQ4" s="212">
        <v>1.3255570000000001</v>
      </c>
      <c r="BR4" s="212">
        <v>1.3852739999999999</v>
      </c>
      <c r="BS4" s="212">
        <v>1.21621</v>
      </c>
      <c r="BT4" s="212">
        <v>1.673171</v>
      </c>
      <c r="BU4" s="212">
        <v>1.6425019999999999</v>
      </c>
      <c r="BV4" s="212">
        <v>1.8198449999999999</v>
      </c>
      <c r="BW4" s="212">
        <v>1.6643939999999999</v>
      </c>
      <c r="BX4" s="212">
        <v>1.636628</v>
      </c>
      <c r="BY4" s="212">
        <v>1.628225</v>
      </c>
      <c r="BZ4" s="212">
        <v>1.875818</v>
      </c>
      <c r="CA4" s="212">
        <v>1.81487</v>
      </c>
      <c r="CB4" s="212">
        <v>1.8278700000000001</v>
      </c>
      <c r="CC4" s="212">
        <v>1.7741439999999999</v>
      </c>
      <c r="CD4" s="212">
        <v>1.7750010000000001</v>
      </c>
      <c r="CE4" s="212">
        <v>1.7259450000000001</v>
      </c>
      <c r="CF4" s="212">
        <v>1.0666119999999999</v>
      </c>
      <c r="CG4" s="212">
        <v>1.2413700000000001</v>
      </c>
      <c r="CH4" s="212">
        <v>1.2541709999999999</v>
      </c>
      <c r="CI4" s="212">
        <v>2.7515200000000002</v>
      </c>
      <c r="CJ4" s="212">
        <v>1.0025219999999999</v>
      </c>
      <c r="CK4" s="212">
        <v>1.086052</v>
      </c>
      <c r="CL4" s="212">
        <v>0.70276799999999995</v>
      </c>
      <c r="CM4" s="212">
        <v>3.101626</v>
      </c>
      <c r="CN4" s="212">
        <v>2.0033470000000002</v>
      </c>
      <c r="CO4" s="212">
        <v>1.0198240000000001</v>
      </c>
      <c r="CP4" s="212">
        <v>0.99985900000000005</v>
      </c>
      <c r="CQ4" s="212">
        <v>1.2294290000000001</v>
      </c>
      <c r="CR4" s="212">
        <v>13.415482000000001</v>
      </c>
      <c r="CS4" s="212">
        <v>4.1811939999999996</v>
      </c>
      <c r="CT4" s="212">
        <v>1.9010400000000001</v>
      </c>
      <c r="CU4" s="212">
        <v>5.0840319999999997</v>
      </c>
      <c r="CV4" s="212">
        <v>8.9978420000000003</v>
      </c>
      <c r="CW4" s="212" t="s">
        <v>830</v>
      </c>
      <c r="CX4" s="212">
        <v>1.1742092362000001</v>
      </c>
      <c r="CY4" s="212">
        <v>1.950974202</v>
      </c>
      <c r="CZ4" s="212">
        <v>1.1228835855999999</v>
      </c>
      <c r="DA4" s="212">
        <v>13.934541561</v>
      </c>
      <c r="DB4" s="212">
        <v>1.054233</v>
      </c>
      <c r="DC4" s="212">
        <v>1.0400959999999999</v>
      </c>
      <c r="DD4" s="212">
        <v>1.831051</v>
      </c>
      <c r="DE4" s="212">
        <v>1.7755939999999999</v>
      </c>
      <c r="DF4" s="212">
        <v>1.709454</v>
      </c>
      <c r="DG4" s="212">
        <v>1.0068918899999999</v>
      </c>
      <c r="DH4" s="212">
        <v>120.40941644</v>
      </c>
      <c r="DI4" s="212">
        <v>0.25077157999999999</v>
      </c>
      <c r="DJ4" s="212">
        <v>2.0026038000000002</v>
      </c>
      <c r="DK4" s="212">
        <v>1.8844063900000001</v>
      </c>
      <c r="DL4" s="212">
        <v>146125.74215000001</v>
      </c>
      <c r="DM4" s="212">
        <v>310.95141869999998</v>
      </c>
      <c r="DN4" s="212">
        <v>17.781214299999998</v>
      </c>
      <c r="DO4" s="212" t="s">
        <v>830</v>
      </c>
      <c r="DP4" s="212">
        <v>18143753.170000002</v>
      </c>
      <c r="DQ4" s="212">
        <v>1.5615741999999999</v>
      </c>
      <c r="DR4" s="212">
        <v>14.237216800000001</v>
      </c>
      <c r="DS4" s="212">
        <v>20.814677799999998</v>
      </c>
      <c r="DT4" s="212">
        <v>1.7554927</v>
      </c>
      <c r="DU4" s="212">
        <v>1.1328552999999999</v>
      </c>
      <c r="DV4" s="212">
        <v>1626.1094719</v>
      </c>
      <c r="DW4" s="212">
        <v>23202.942663000002</v>
      </c>
      <c r="DX4" s="212">
        <v>0.82946314899999996</v>
      </c>
      <c r="DY4" s="212">
        <v>10.835202000000001</v>
      </c>
      <c r="DZ4" s="212">
        <v>217.98450800000001</v>
      </c>
      <c r="EA4" s="212">
        <v>17.402508999999998</v>
      </c>
      <c r="EB4" s="212">
        <v>19.985789</v>
      </c>
      <c r="EC4" s="212">
        <v>18.709157999999999</v>
      </c>
      <c r="ED4" s="212">
        <v>2165.2014789999998</v>
      </c>
      <c r="EE4" s="212">
        <v>22.183385000000001</v>
      </c>
      <c r="EF4" s="212">
        <v>33.217759000000001</v>
      </c>
      <c r="EG4" s="212">
        <v>1.4307414000000001</v>
      </c>
      <c r="EH4" s="212">
        <v>0.6757765</v>
      </c>
      <c r="EI4" s="212">
        <v>1.1496948</v>
      </c>
      <c r="EJ4" s="212">
        <v>1.90933083</v>
      </c>
      <c r="EK4" s="212">
        <v>1.5837125999999999</v>
      </c>
      <c r="EL4" s="212">
        <v>2.6586433999999999</v>
      </c>
      <c r="EM4">
        <v>1.2151508099999999</v>
      </c>
      <c r="EN4">
        <v>2.2053054099999998</v>
      </c>
      <c r="EO4">
        <v>1.3528172999999999</v>
      </c>
      <c r="EP4">
        <v>250.67180300000001</v>
      </c>
      <c r="EQ4">
        <v>178.77371299999999</v>
      </c>
      <c r="ER4">
        <v>15.491342</v>
      </c>
      <c r="ES4">
        <v>13.7672981</v>
      </c>
      <c r="ET4">
        <v>8.5502058000000005</v>
      </c>
      <c r="EU4">
        <v>183.89913279999999</v>
      </c>
      <c r="EV4">
        <v>118.75469990000001</v>
      </c>
      <c r="EW4">
        <v>17.124922300000001</v>
      </c>
      <c r="EX4">
        <v>99.197815399999996</v>
      </c>
      <c r="EY4">
        <v>2.676212</v>
      </c>
      <c r="EZ4">
        <v>2234.2614699000001</v>
      </c>
      <c r="FA4" s="223">
        <v>8.1728190000000005</v>
      </c>
      <c r="FB4" s="223">
        <v>1.0645146999999999</v>
      </c>
      <c r="FC4" s="223">
        <v>1.8959847999999999</v>
      </c>
      <c r="FD4">
        <v>2.7456002000000002</v>
      </c>
      <c r="FE4">
        <v>1.1971163</v>
      </c>
      <c r="FF4">
        <v>1.5860112</v>
      </c>
      <c r="FG4">
        <v>0.84411954</v>
      </c>
      <c r="FH4">
        <v>1.09516075</v>
      </c>
      <c r="FI4">
        <v>0.84019860999999996</v>
      </c>
      <c r="FJ4">
        <v>102.47464116</v>
      </c>
    </row>
    <row r="5" spans="1:166" x14ac:dyDescent="0.3">
      <c r="A5" s="223">
        <v>4</v>
      </c>
      <c r="B5" s="315">
        <v>42317</v>
      </c>
      <c r="C5" s="212">
        <v>1018754.1376</v>
      </c>
      <c r="D5" s="212">
        <v>104.50523886000001</v>
      </c>
      <c r="E5" s="212">
        <v>1.4535282</v>
      </c>
      <c r="F5" s="212">
        <v>7.0534350000000003</v>
      </c>
      <c r="G5" s="212">
        <v>4.3691959969000003</v>
      </c>
      <c r="H5" s="212">
        <v>4.1728765760000002</v>
      </c>
      <c r="I5" s="212">
        <v>1.0528075530000001</v>
      </c>
      <c r="J5" s="212">
        <v>4.2288379999999997</v>
      </c>
      <c r="K5" s="212">
        <v>3.0204240000000002</v>
      </c>
      <c r="L5" s="212">
        <v>10.316964713000001</v>
      </c>
      <c r="M5" s="212">
        <v>0.97305203799999995</v>
      </c>
      <c r="N5" s="212">
        <v>1.295190514</v>
      </c>
      <c r="O5" s="212">
        <v>1.907677072</v>
      </c>
      <c r="P5" s="212">
        <v>1.242096383</v>
      </c>
      <c r="Q5" s="212">
        <v>1.5028170000000001</v>
      </c>
      <c r="R5" s="212">
        <v>1.67635566</v>
      </c>
      <c r="S5" s="212">
        <v>11.701304</v>
      </c>
      <c r="T5" s="212">
        <v>2.7921455700000002</v>
      </c>
      <c r="U5" s="212">
        <v>3.1489335650000001</v>
      </c>
      <c r="V5" s="212">
        <v>1.543724313</v>
      </c>
      <c r="W5" s="212">
        <v>1.30329234</v>
      </c>
      <c r="X5" s="212">
        <v>3.2734838489999998</v>
      </c>
      <c r="Y5" s="212">
        <v>1.7907679999999999</v>
      </c>
      <c r="Z5" s="212">
        <v>1.563795</v>
      </c>
      <c r="AA5" s="212">
        <v>1.2404341210000001</v>
      </c>
      <c r="AB5" s="212">
        <v>1.083596515</v>
      </c>
      <c r="AC5" s="212">
        <v>1.087565627</v>
      </c>
      <c r="AD5" s="212">
        <v>1.266402869</v>
      </c>
      <c r="AE5" s="212">
        <v>1.264348864</v>
      </c>
      <c r="AF5" s="212">
        <v>1.203908006</v>
      </c>
      <c r="AG5" s="212">
        <v>8.9864746009999994</v>
      </c>
      <c r="AH5" s="212">
        <v>1.6963033510000001</v>
      </c>
      <c r="AI5" s="212">
        <v>3.6481789999999998</v>
      </c>
      <c r="AJ5" s="212">
        <v>2.2670919999999999</v>
      </c>
      <c r="AK5" s="212">
        <v>187.24628668</v>
      </c>
      <c r="AL5" s="212">
        <v>1.0465806</v>
      </c>
      <c r="AM5" s="212">
        <v>1.8143951</v>
      </c>
      <c r="AN5" s="212">
        <v>8.3150539000000006</v>
      </c>
      <c r="AO5" s="212">
        <v>1.6980363999999999</v>
      </c>
      <c r="AP5" s="212">
        <v>1.6924623000000001</v>
      </c>
      <c r="AQ5" s="212">
        <v>2.3586179</v>
      </c>
      <c r="AR5" s="212">
        <v>8.2856153999999993</v>
      </c>
      <c r="AS5" s="212">
        <v>369.67305590000001</v>
      </c>
      <c r="AT5" s="212">
        <v>1.1773889</v>
      </c>
      <c r="AU5" s="212">
        <v>2.9190244999999999</v>
      </c>
      <c r="AV5" s="212">
        <v>2.4533073999999999</v>
      </c>
      <c r="AW5" s="212">
        <v>1.5090288000000001</v>
      </c>
      <c r="AX5" s="212">
        <v>1.1585828</v>
      </c>
      <c r="AY5" s="212">
        <v>2.4417146000000001</v>
      </c>
      <c r="AZ5" s="212" t="s">
        <v>830</v>
      </c>
      <c r="BA5" s="212">
        <v>1.8174180470000001</v>
      </c>
      <c r="BB5" s="212">
        <v>2.3156146</v>
      </c>
      <c r="BC5" s="212">
        <v>2.895499</v>
      </c>
      <c r="BD5" s="212">
        <v>1.046211</v>
      </c>
      <c r="BE5" s="212">
        <v>1.0303260000000001</v>
      </c>
      <c r="BF5" s="212">
        <v>1.019995</v>
      </c>
      <c r="BG5" s="212">
        <v>1.041523</v>
      </c>
      <c r="BH5" s="212">
        <v>1.025954</v>
      </c>
      <c r="BI5" s="212">
        <v>1.1674580000000001</v>
      </c>
      <c r="BJ5" s="212">
        <v>1.0486519999999999</v>
      </c>
      <c r="BK5" s="212">
        <v>1.1294360000000001</v>
      </c>
      <c r="BL5" s="212">
        <v>1.161775</v>
      </c>
      <c r="BM5" s="212">
        <v>1.160798</v>
      </c>
      <c r="BN5" s="212">
        <v>1.0146599999999999</v>
      </c>
      <c r="BO5" s="212">
        <v>1.1134360000000001</v>
      </c>
      <c r="BP5" s="212">
        <v>2.5445630000000001</v>
      </c>
      <c r="BQ5" s="212">
        <v>1.3262080000000001</v>
      </c>
      <c r="BR5" s="212">
        <v>1.387489</v>
      </c>
      <c r="BS5" s="212">
        <v>1.219298</v>
      </c>
      <c r="BT5" s="212">
        <v>1.6739139999999999</v>
      </c>
      <c r="BU5" s="212">
        <v>1.643559</v>
      </c>
      <c r="BV5" s="212">
        <v>1.8209949999999999</v>
      </c>
      <c r="BW5" s="212">
        <v>1.6655059999999999</v>
      </c>
      <c r="BX5" s="212">
        <v>1.6376360000000001</v>
      </c>
      <c r="BY5" s="212">
        <v>1.629235</v>
      </c>
      <c r="BZ5" s="212">
        <v>1.876976</v>
      </c>
      <c r="CA5" s="212">
        <v>1.815987</v>
      </c>
      <c r="CB5" s="212">
        <v>1.82897</v>
      </c>
      <c r="CC5" s="212">
        <v>1.7752049999999999</v>
      </c>
      <c r="CD5" s="212">
        <v>1.7760629999999999</v>
      </c>
      <c r="CE5" s="212">
        <v>1.72698</v>
      </c>
      <c r="CF5" s="212">
        <v>1.067293</v>
      </c>
      <c r="CG5" s="212">
        <v>1.2394339999999999</v>
      </c>
      <c r="CH5" s="212">
        <v>1.25308</v>
      </c>
      <c r="CI5" s="212">
        <v>2.7527590000000002</v>
      </c>
      <c r="CJ5" s="212">
        <v>0.98736100000000004</v>
      </c>
      <c r="CK5" s="212">
        <v>1.0696410000000001</v>
      </c>
      <c r="CL5" s="212">
        <v>0.69169499999999995</v>
      </c>
      <c r="CM5" s="212">
        <v>3.0538210000000001</v>
      </c>
      <c r="CN5" s="212">
        <v>1.9969380000000001</v>
      </c>
      <c r="CO5" s="212">
        <v>1.005323</v>
      </c>
      <c r="CP5" s="212">
        <v>0.99218099999999998</v>
      </c>
      <c r="CQ5" s="212">
        <v>1.2300690000000001</v>
      </c>
      <c r="CR5" s="212">
        <v>13.421713</v>
      </c>
      <c r="CS5" s="212">
        <v>4.1831399999999999</v>
      </c>
      <c r="CT5" s="212">
        <v>1.904048</v>
      </c>
      <c r="CU5" s="212">
        <v>5.0857089999999996</v>
      </c>
      <c r="CV5" s="212">
        <v>9.0020279999999993</v>
      </c>
      <c r="CW5" s="212" t="s">
        <v>830</v>
      </c>
      <c r="CX5" s="212">
        <v>1.1748199106999999</v>
      </c>
      <c r="CY5" s="212">
        <v>1.9486228129000001</v>
      </c>
      <c r="CZ5" s="212">
        <v>1.1233025976</v>
      </c>
      <c r="DA5" s="212">
        <v>13.941576194</v>
      </c>
      <c r="DB5" s="212">
        <v>1.0551269999999999</v>
      </c>
      <c r="DC5" s="212">
        <v>1.042246</v>
      </c>
      <c r="DD5" s="212">
        <v>1.8337289999999999</v>
      </c>
      <c r="DE5" s="212">
        <v>1.7795289999999999</v>
      </c>
      <c r="DF5" s="212">
        <v>1.7098990000000001</v>
      </c>
      <c r="DG5" s="212">
        <v>1.0069247400000001</v>
      </c>
      <c r="DH5" s="212">
        <v>120.4804304</v>
      </c>
      <c r="DI5" s="212">
        <v>0.25076386000000001</v>
      </c>
      <c r="DJ5" s="212">
        <v>2.0035299000000002</v>
      </c>
      <c r="DK5" s="212">
        <v>1.88216948</v>
      </c>
      <c r="DL5" s="212">
        <v>146221.63020000001</v>
      </c>
      <c r="DM5" s="212">
        <v>311.1291473</v>
      </c>
      <c r="DN5" s="212">
        <v>17.792978399999999</v>
      </c>
      <c r="DO5" s="212" t="s">
        <v>830</v>
      </c>
      <c r="DP5" s="212">
        <v>18142520.105999999</v>
      </c>
      <c r="DQ5" s="212">
        <v>1.5477259999999999</v>
      </c>
      <c r="DR5" s="212">
        <v>14.2442747</v>
      </c>
      <c r="DS5" s="212">
        <v>20.825627999999998</v>
      </c>
      <c r="DT5" s="212">
        <v>1.7489341</v>
      </c>
      <c r="DU5" s="212">
        <v>1.1181116</v>
      </c>
      <c r="DV5" s="212">
        <v>1627.0544017</v>
      </c>
      <c r="DW5" s="212">
        <v>23202.858979000001</v>
      </c>
      <c r="DX5" s="212">
        <v>0.83463050400000005</v>
      </c>
      <c r="DY5" s="212">
        <v>10.683408999999999</v>
      </c>
      <c r="DZ5" s="212">
        <v>218.09706199999999</v>
      </c>
      <c r="EA5" s="212">
        <v>17.387962000000002</v>
      </c>
      <c r="EB5" s="212">
        <v>20.012782999999999</v>
      </c>
      <c r="EC5" s="212">
        <v>18.746759999999998</v>
      </c>
      <c r="ED5" s="212">
        <v>2166.3433479999999</v>
      </c>
      <c r="EE5" s="212">
        <v>22.198378999999999</v>
      </c>
      <c r="EF5" s="212">
        <v>33.234954000000002</v>
      </c>
      <c r="EG5" s="212">
        <v>1.4282595</v>
      </c>
      <c r="EH5" s="212">
        <v>0.67117919999999998</v>
      </c>
      <c r="EI5" s="212">
        <v>1.1494024</v>
      </c>
      <c r="EJ5" s="212">
        <v>1.91062343</v>
      </c>
      <c r="EK5" s="212">
        <v>1.5844853000000001</v>
      </c>
      <c r="EL5" s="212">
        <v>2.6600842</v>
      </c>
      <c r="EM5">
        <v>1.2149027100000001</v>
      </c>
      <c r="EN5">
        <v>2.2067547300000001</v>
      </c>
      <c r="EO5">
        <v>1.3534695000000001</v>
      </c>
      <c r="EP5">
        <v>250.85019700000001</v>
      </c>
      <c r="EQ5">
        <v>179.07949199999999</v>
      </c>
      <c r="ER5">
        <v>15.5122654</v>
      </c>
      <c r="ES5">
        <v>13.7951058</v>
      </c>
      <c r="ET5">
        <v>8.5546991000000006</v>
      </c>
      <c r="EU5">
        <v>184.26904619999999</v>
      </c>
      <c r="EV5">
        <v>117.6021386</v>
      </c>
      <c r="EW5">
        <v>17.129713899999999</v>
      </c>
      <c r="EX5">
        <v>99.246801500000004</v>
      </c>
      <c r="EY5">
        <v>2.5896001000000002</v>
      </c>
      <c r="EZ5">
        <v>2235.3989876000001</v>
      </c>
      <c r="FA5" s="223">
        <v>8.1763110000000001</v>
      </c>
      <c r="FB5" s="223">
        <v>1.0476141999999999</v>
      </c>
      <c r="FC5" s="223">
        <v>1.8997793999999999</v>
      </c>
      <c r="FD5">
        <v>2.7469926999999998</v>
      </c>
      <c r="FE5">
        <v>1.1975104000000001</v>
      </c>
      <c r="FF5">
        <v>1.5844967000000001</v>
      </c>
      <c r="FG5">
        <v>0.83584946999999998</v>
      </c>
      <c r="FH5">
        <v>1.09598452</v>
      </c>
      <c r="FI5">
        <v>0.84013329999999997</v>
      </c>
      <c r="FJ5">
        <v>102.49236627000001</v>
      </c>
    </row>
    <row r="6" spans="1:166" x14ac:dyDescent="0.3">
      <c r="A6" s="223">
        <v>5</v>
      </c>
      <c r="B6" s="315">
        <v>42318</v>
      </c>
      <c r="C6" s="212">
        <v>1018687.8638000001</v>
      </c>
      <c r="D6" s="212">
        <v>104.50019631000001</v>
      </c>
      <c r="E6" s="212">
        <v>1.4553962</v>
      </c>
      <c r="F6" s="212">
        <v>7.0810434000000004</v>
      </c>
      <c r="G6" s="212">
        <v>4.3771791245999996</v>
      </c>
      <c r="H6" s="212">
        <v>4.2170025229999997</v>
      </c>
      <c r="I6" s="212">
        <v>1.055737157</v>
      </c>
      <c r="J6" s="212">
        <v>4.2309979999999996</v>
      </c>
      <c r="K6" s="212">
        <v>3.0215320000000001</v>
      </c>
      <c r="L6" s="212">
        <v>10.321378457</v>
      </c>
      <c r="M6" s="212">
        <v>0.97587422599999996</v>
      </c>
      <c r="N6" s="212">
        <v>1.29424852</v>
      </c>
      <c r="O6" s="212">
        <v>1.909574924</v>
      </c>
      <c r="P6" s="212">
        <v>1.2448370660000001</v>
      </c>
      <c r="Q6" s="212">
        <v>1.5037100000000001</v>
      </c>
      <c r="R6" s="212">
        <v>1.678104496</v>
      </c>
      <c r="S6" s="212">
        <v>11.716946999999999</v>
      </c>
      <c r="T6" s="212">
        <v>2.7958007720000002</v>
      </c>
      <c r="U6" s="212">
        <v>3.153048391</v>
      </c>
      <c r="V6" s="212">
        <v>1.5455782899999999</v>
      </c>
      <c r="W6" s="212">
        <v>1.304241905</v>
      </c>
      <c r="X6" s="212">
        <v>3.2747500390000002</v>
      </c>
      <c r="Y6" s="212">
        <v>1.7915540000000001</v>
      </c>
      <c r="Z6" s="212">
        <v>1.564613</v>
      </c>
      <c r="AA6" s="212">
        <v>1.2440605170000001</v>
      </c>
      <c r="AB6" s="212">
        <v>1.0846482829999999</v>
      </c>
      <c r="AC6" s="212">
        <v>1.089019279</v>
      </c>
      <c r="AD6" s="212">
        <v>1.267191961</v>
      </c>
      <c r="AE6" s="212">
        <v>1.2651379300000001</v>
      </c>
      <c r="AF6" s="212">
        <v>1.2073440820000001</v>
      </c>
      <c r="AG6" s="212">
        <v>8.9909873299999994</v>
      </c>
      <c r="AH6" s="212">
        <v>1.6977142940000001</v>
      </c>
      <c r="AI6" s="212">
        <v>3.6501679999999999</v>
      </c>
      <c r="AJ6" s="212">
        <v>2.270553</v>
      </c>
      <c r="AK6" s="212">
        <v>187.40931811999999</v>
      </c>
      <c r="AL6" s="212">
        <v>1.0486196000000001</v>
      </c>
      <c r="AM6" s="212">
        <v>1.8167097999999999</v>
      </c>
      <c r="AN6" s="212">
        <v>8.3194523999999994</v>
      </c>
      <c r="AO6" s="212">
        <v>1.6982709</v>
      </c>
      <c r="AP6" s="212">
        <v>1.6926943000000001</v>
      </c>
      <c r="AQ6" s="212">
        <v>2.3598379</v>
      </c>
      <c r="AR6" s="212">
        <v>8.2899156999999999</v>
      </c>
      <c r="AS6" s="212">
        <v>369.80045689999997</v>
      </c>
      <c r="AT6" s="212">
        <v>1.1777006999999999</v>
      </c>
      <c r="AU6" s="212">
        <v>2.9204511000000002</v>
      </c>
      <c r="AV6" s="212">
        <v>2.4564178000000001</v>
      </c>
      <c r="AW6" s="212">
        <v>1.5108265000000001</v>
      </c>
      <c r="AX6" s="212">
        <v>1.1600976000000001</v>
      </c>
      <c r="AY6" s="212">
        <v>2.4434718000000002</v>
      </c>
      <c r="AZ6" s="212" t="s">
        <v>830</v>
      </c>
      <c r="BA6" s="212">
        <v>1.8183682640000001</v>
      </c>
      <c r="BB6" s="212">
        <v>2.3186767000000001</v>
      </c>
      <c r="BC6" s="212">
        <v>2.8968349999999998</v>
      </c>
      <c r="BD6" s="212">
        <v>1.047204</v>
      </c>
      <c r="BE6" s="212">
        <v>1.0313030000000001</v>
      </c>
      <c r="BF6" s="212">
        <v>1.0209619999999999</v>
      </c>
      <c r="BG6" s="212">
        <v>1.04251</v>
      </c>
      <c r="BH6" s="212">
        <v>1.0269269999999999</v>
      </c>
      <c r="BI6" s="212">
        <v>1.1681870000000001</v>
      </c>
      <c r="BJ6" s="212">
        <v>1.049814</v>
      </c>
      <c r="BK6" s="212">
        <v>1.131697</v>
      </c>
      <c r="BL6" s="212">
        <v>1.162498</v>
      </c>
      <c r="BM6" s="212">
        <v>1.161524</v>
      </c>
      <c r="BN6" s="212">
        <v>1.0180450000000001</v>
      </c>
      <c r="BO6" s="212">
        <v>1.115208</v>
      </c>
      <c r="BP6" s="212">
        <v>2.5459010000000002</v>
      </c>
      <c r="BQ6" s="212">
        <v>1.3268599999999999</v>
      </c>
      <c r="BR6" s="212">
        <v>1.3889609999999999</v>
      </c>
      <c r="BS6" s="212">
        <v>1.2206250000000001</v>
      </c>
      <c r="BT6" s="212">
        <v>1.6751419999999999</v>
      </c>
      <c r="BU6" s="212">
        <v>1.644617</v>
      </c>
      <c r="BV6" s="212">
        <v>1.822147</v>
      </c>
      <c r="BW6" s="212">
        <v>1.6666179999999999</v>
      </c>
      <c r="BX6" s="212">
        <v>1.638646</v>
      </c>
      <c r="BY6" s="212">
        <v>1.6302460000000001</v>
      </c>
      <c r="BZ6" s="212">
        <v>1.878134</v>
      </c>
      <c r="CA6" s="212">
        <v>1.817105</v>
      </c>
      <c r="CB6" s="212">
        <v>1.8299700000000001</v>
      </c>
      <c r="CC6" s="212">
        <v>1.776267</v>
      </c>
      <c r="CD6" s="212">
        <v>1.7771250000000001</v>
      </c>
      <c r="CE6" s="212">
        <v>1.728016</v>
      </c>
      <c r="CF6" s="212">
        <v>1.0679749999999999</v>
      </c>
      <c r="CG6" s="212">
        <v>1.2397450000000001</v>
      </c>
      <c r="CH6" s="212">
        <v>1.2534449999999999</v>
      </c>
      <c r="CI6" s="212">
        <v>2.7540330000000002</v>
      </c>
      <c r="CJ6" s="212">
        <v>0.98757099999999998</v>
      </c>
      <c r="CK6" s="212">
        <v>1.0698669999999999</v>
      </c>
      <c r="CL6" s="212">
        <v>0.692909</v>
      </c>
      <c r="CM6" s="212">
        <v>3.0541939999999999</v>
      </c>
      <c r="CN6" s="212">
        <v>1.9986919999999999</v>
      </c>
      <c r="CO6" s="212">
        <v>1.016057</v>
      </c>
      <c r="CP6" s="212">
        <v>0.99734100000000003</v>
      </c>
      <c r="CQ6" s="212">
        <v>1.230704</v>
      </c>
      <c r="CR6" s="212">
        <v>13.427887999999999</v>
      </c>
      <c r="CS6" s="212">
        <v>4.1850930000000002</v>
      </c>
      <c r="CT6" s="212">
        <v>1.906007</v>
      </c>
      <c r="CU6" s="212">
        <v>5.0873699999999999</v>
      </c>
      <c r="CV6" s="212">
        <v>9.0061769999999992</v>
      </c>
      <c r="CW6" s="212" t="s">
        <v>830</v>
      </c>
      <c r="CX6" s="212">
        <v>1.1754309772</v>
      </c>
      <c r="CY6" s="212">
        <v>1.9522007832999999</v>
      </c>
      <c r="CZ6" s="212">
        <v>1.1238224048000001</v>
      </c>
      <c r="DA6" s="212">
        <v>13.948511902</v>
      </c>
      <c r="DB6" s="212">
        <v>1.056128</v>
      </c>
      <c r="DC6" s="212">
        <v>1.043401</v>
      </c>
      <c r="DD6" s="212">
        <v>1.8362350000000001</v>
      </c>
      <c r="DE6" s="212">
        <v>1.7819</v>
      </c>
      <c r="DF6" s="212">
        <v>1.710637</v>
      </c>
      <c r="DG6" s="212">
        <v>1.0077993700000001</v>
      </c>
      <c r="DH6" s="212">
        <v>120.55116165</v>
      </c>
      <c r="DI6" s="212">
        <v>0.25082799</v>
      </c>
      <c r="DJ6" s="212">
        <v>2.0044672000000001</v>
      </c>
      <c r="DK6" s="212">
        <v>1.88141052</v>
      </c>
      <c r="DL6" s="212">
        <v>146317.58111999999</v>
      </c>
      <c r="DM6" s="212">
        <v>311.05561410000001</v>
      </c>
      <c r="DN6" s="212">
        <v>17.804669400000002</v>
      </c>
      <c r="DO6" s="212" t="s">
        <v>830</v>
      </c>
      <c r="DP6" s="212">
        <v>18141331.949000001</v>
      </c>
      <c r="DQ6" s="212">
        <v>1.5669811</v>
      </c>
      <c r="DR6" s="212">
        <v>14.2512919</v>
      </c>
      <c r="DS6" s="212">
        <v>20.836672799999999</v>
      </c>
      <c r="DT6" s="212">
        <v>1.7496369000000001</v>
      </c>
      <c r="DU6" s="212">
        <v>1.1210355999999999</v>
      </c>
      <c r="DV6" s="212">
        <v>1627.9355046999999</v>
      </c>
      <c r="DW6" s="212">
        <v>23199.909510000001</v>
      </c>
      <c r="DX6" s="212">
        <v>0.83318215699999998</v>
      </c>
      <c r="DY6" s="212">
        <v>10.680653</v>
      </c>
      <c r="DZ6" s="212">
        <v>218.20957999999999</v>
      </c>
      <c r="EA6" s="212">
        <v>17.394819999999999</v>
      </c>
      <c r="EB6" s="212">
        <v>20.03922</v>
      </c>
      <c r="EC6" s="212">
        <v>18.771069000000001</v>
      </c>
      <c r="ED6" s="212">
        <v>2167.4517989999999</v>
      </c>
      <c r="EE6" s="212">
        <v>22.205171</v>
      </c>
      <c r="EF6" s="212">
        <v>33.252257</v>
      </c>
      <c r="EG6" s="212">
        <v>1.4276149</v>
      </c>
      <c r="EH6" s="212">
        <v>0.6710952</v>
      </c>
      <c r="EI6" s="212">
        <v>1.1495633000000001</v>
      </c>
      <c r="EJ6" s="212">
        <v>1.9119168900000001</v>
      </c>
      <c r="EK6" s="212">
        <v>1.5860783000000001</v>
      </c>
      <c r="EL6" s="212">
        <v>2.6627602000000001</v>
      </c>
      <c r="EM6">
        <v>1.21507276</v>
      </c>
      <c r="EN6">
        <v>2.208205</v>
      </c>
      <c r="EO6">
        <v>1.3541068000000001</v>
      </c>
      <c r="EP6">
        <v>251.091556</v>
      </c>
      <c r="EQ6">
        <v>179.32891499999999</v>
      </c>
      <c r="ER6">
        <v>15.5331428</v>
      </c>
      <c r="ES6">
        <v>13.8131282</v>
      </c>
      <c r="ET6">
        <v>8.5592205999999997</v>
      </c>
      <c r="EU6">
        <v>184.50823360000001</v>
      </c>
      <c r="EV6">
        <v>118.2346359</v>
      </c>
      <c r="EW6">
        <v>17.137064800000001</v>
      </c>
      <c r="EX6">
        <v>99.296114200000005</v>
      </c>
      <c r="EY6">
        <v>2.5728301999999998</v>
      </c>
      <c r="EZ6">
        <v>2236.5438680000002</v>
      </c>
      <c r="FA6" s="223">
        <v>8.1798359999999999</v>
      </c>
      <c r="FB6" s="223">
        <v>1.0478498999999999</v>
      </c>
      <c r="FC6" s="223">
        <v>1.9020999999999999</v>
      </c>
      <c r="FD6">
        <v>2.7483819</v>
      </c>
      <c r="FE6">
        <v>1.1980006000000001</v>
      </c>
      <c r="FF6">
        <v>1.5851881999999999</v>
      </c>
      <c r="FG6">
        <v>0.83713135999999999</v>
      </c>
      <c r="FH6">
        <v>1.0969964000000001</v>
      </c>
      <c r="FI6">
        <v>0.84006798000000005</v>
      </c>
      <c r="FJ6">
        <v>102.71946206</v>
      </c>
    </row>
    <row r="7" spans="1:166" x14ac:dyDescent="0.3">
      <c r="A7" s="223">
        <v>6</v>
      </c>
      <c r="B7" s="315">
        <v>42319</v>
      </c>
      <c r="C7" s="212">
        <v>1018621.597</v>
      </c>
      <c r="D7" s="212">
        <v>104.49675132</v>
      </c>
      <c r="E7" s="212">
        <v>1.4593805</v>
      </c>
      <c r="F7" s="212">
        <v>7.1697281000000004</v>
      </c>
      <c r="G7" s="212">
        <v>4.3828072947000001</v>
      </c>
      <c r="H7" s="212">
        <v>4.175828696</v>
      </c>
      <c r="I7" s="212">
        <v>1.072988759</v>
      </c>
      <c r="J7" s="212">
        <v>4.2331630000000002</v>
      </c>
      <c r="K7" s="212">
        <v>3.0226310000000001</v>
      </c>
      <c r="L7" s="212">
        <v>10.326128779999999</v>
      </c>
      <c r="M7" s="212">
        <v>0.98755328499999995</v>
      </c>
      <c r="N7" s="212">
        <v>1.3167531729999999</v>
      </c>
      <c r="O7" s="212">
        <v>1.9117486889999999</v>
      </c>
      <c r="P7" s="212">
        <v>1.252456005</v>
      </c>
      <c r="Q7" s="212">
        <v>1.50444</v>
      </c>
      <c r="R7" s="212">
        <v>1.6818270820000001</v>
      </c>
      <c r="S7" s="212">
        <v>11.750161</v>
      </c>
      <c r="T7" s="212">
        <v>2.8170782380000001</v>
      </c>
      <c r="U7" s="212">
        <v>3.1766614080000002</v>
      </c>
      <c r="V7" s="212">
        <v>1.5617140439999999</v>
      </c>
      <c r="W7" s="212">
        <v>1.3086957400000001</v>
      </c>
      <c r="X7" s="212">
        <v>3.281491489</v>
      </c>
      <c r="Y7" s="212">
        <v>1.7926340000000001</v>
      </c>
      <c r="Z7" s="212">
        <v>1.565485</v>
      </c>
      <c r="AA7" s="212">
        <v>1.2536620869999999</v>
      </c>
      <c r="AB7" s="212">
        <v>1.0857669720000001</v>
      </c>
      <c r="AC7" s="212">
        <v>1.0921264850000001</v>
      </c>
      <c r="AD7" s="212">
        <v>1.267981552</v>
      </c>
      <c r="AE7" s="212">
        <v>1.2659275299999999</v>
      </c>
      <c r="AF7" s="212">
        <v>1.2165280409999999</v>
      </c>
      <c r="AG7" s="212">
        <v>8.9955843509999998</v>
      </c>
      <c r="AH7" s="212">
        <v>1.698932307</v>
      </c>
      <c r="AI7" s="212">
        <v>3.652501</v>
      </c>
      <c r="AJ7" s="212">
        <v>2.2870010000000001</v>
      </c>
      <c r="AK7" s="212">
        <v>187.73661594000001</v>
      </c>
      <c r="AL7" s="212">
        <v>1.0524872000000001</v>
      </c>
      <c r="AM7" s="212">
        <v>1.8300106</v>
      </c>
      <c r="AN7" s="212">
        <v>8.3238155999999996</v>
      </c>
      <c r="AO7" s="212">
        <v>1.6988439</v>
      </c>
      <c r="AP7" s="212">
        <v>1.6932731999999999</v>
      </c>
      <c r="AQ7" s="212">
        <v>2.3610479</v>
      </c>
      <c r="AR7" s="212">
        <v>8.2942137999999996</v>
      </c>
      <c r="AS7" s="212">
        <v>376.6828471</v>
      </c>
      <c r="AT7" s="212">
        <v>1.1966281000000001</v>
      </c>
      <c r="AU7" s="212">
        <v>2.9218769</v>
      </c>
      <c r="AV7" s="212">
        <v>2.4744193000000001</v>
      </c>
      <c r="AW7" s="212">
        <v>1.5265196999999999</v>
      </c>
      <c r="AX7" s="212">
        <v>1.1636504999999999</v>
      </c>
      <c r="AY7" s="212">
        <v>2.4523047999999998</v>
      </c>
      <c r="AZ7" s="212" t="s">
        <v>830</v>
      </c>
      <c r="BA7" s="212">
        <v>1.819302975</v>
      </c>
      <c r="BB7" s="212">
        <v>2.3359969</v>
      </c>
      <c r="BC7" s="212">
        <v>2.8984960000000002</v>
      </c>
      <c r="BD7" s="212">
        <v>1.047944</v>
      </c>
      <c r="BE7" s="212">
        <v>1.0320320000000001</v>
      </c>
      <c r="BF7" s="212">
        <v>1.021684</v>
      </c>
      <c r="BG7" s="212">
        <v>1.043247</v>
      </c>
      <c r="BH7" s="212">
        <v>1.027652</v>
      </c>
      <c r="BI7" s="212">
        <v>1.1689160000000001</v>
      </c>
      <c r="BJ7" s="212">
        <v>1.0529809999999999</v>
      </c>
      <c r="BK7" s="212">
        <v>1.138782</v>
      </c>
      <c r="BL7" s="212">
        <v>1.1632210000000001</v>
      </c>
      <c r="BM7" s="212">
        <v>1.1622509999999999</v>
      </c>
      <c r="BN7" s="212">
        <v>1.026132</v>
      </c>
      <c r="BO7" s="212">
        <v>1.126009</v>
      </c>
      <c r="BP7" s="212">
        <v>2.5472329999999999</v>
      </c>
      <c r="BQ7" s="212">
        <v>1.3275129999999999</v>
      </c>
      <c r="BR7" s="212">
        <v>1.3922099999999999</v>
      </c>
      <c r="BS7" s="212">
        <v>1.2335119999999999</v>
      </c>
      <c r="BT7" s="212">
        <v>1.6812050000000001</v>
      </c>
      <c r="BU7" s="212">
        <v>1.6456759999999999</v>
      </c>
      <c r="BV7" s="212">
        <v>1.8230980000000001</v>
      </c>
      <c r="BW7" s="212">
        <v>1.6677310000000001</v>
      </c>
      <c r="BX7" s="212">
        <v>1.639656</v>
      </c>
      <c r="BY7" s="212">
        <v>1.631257</v>
      </c>
      <c r="BZ7" s="212">
        <v>1.879294</v>
      </c>
      <c r="CA7" s="212">
        <v>1.8182240000000001</v>
      </c>
      <c r="CB7" s="212">
        <v>1.830972</v>
      </c>
      <c r="CC7" s="212">
        <v>1.7773289999999999</v>
      </c>
      <c r="CD7" s="212">
        <v>1.7781880000000001</v>
      </c>
      <c r="CE7" s="212">
        <v>1.729053</v>
      </c>
      <c r="CF7" s="212">
        <v>1.0686580000000001</v>
      </c>
      <c r="CG7" s="212">
        <v>1.2436229999999999</v>
      </c>
      <c r="CH7" s="212">
        <v>1.2561370000000001</v>
      </c>
      <c r="CI7" s="212">
        <v>2.7556349999999998</v>
      </c>
      <c r="CJ7" s="212">
        <v>1.0057130000000001</v>
      </c>
      <c r="CK7" s="212">
        <v>1.08951</v>
      </c>
      <c r="CL7" s="212">
        <v>0.70489299999999999</v>
      </c>
      <c r="CM7" s="212">
        <v>3.1101559999999999</v>
      </c>
      <c r="CN7" s="212">
        <v>1.999976</v>
      </c>
      <c r="CO7" s="212">
        <v>1.0230900000000001</v>
      </c>
      <c r="CP7" s="212">
        <v>1.0055799999999999</v>
      </c>
      <c r="CQ7" s="212">
        <v>1.2313449999999999</v>
      </c>
      <c r="CR7" s="212">
        <v>13.434120999999999</v>
      </c>
      <c r="CS7" s="212">
        <v>4.1871080000000003</v>
      </c>
      <c r="CT7" s="212">
        <v>1.918871</v>
      </c>
      <c r="CU7" s="212">
        <v>5.0890279999999999</v>
      </c>
      <c r="CV7" s="212">
        <v>9.0103609999999996</v>
      </c>
      <c r="CW7" s="212" t="s">
        <v>830</v>
      </c>
      <c r="CX7" s="212">
        <v>1.1760470592000001</v>
      </c>
      <c r="CY7" s="212">
        <v>1.9545636295</v>
      </c>
      <c r="CZ7" s="212">
        <v>1.1244752034000001</v>
      </c>
      <c r="DA7" s="212">
        <v>13.955589133</v>
      </c>
      <c r="DB7" s="212">
        <v>1.0568740000000001</v>
      </c>
      <c r="DC7" s="212">
        <v>1.046549</v>
      </c>
      <c r="DD7" s="212">
        <v>1.841845</v>
      </c>
      <c r="DE7" s="212">
        <v>1.7959719999999999</v>
      </c>
      <c r="DF7" s="212">
        <v>1.711684</v>
      </c>
      <c r="DG7" s="212">
        <v>1.01102315</v>
      </c>
      <c r="DH7" s="212">
        <v>120.62222223000001</v>
      </c>
      <c r="DI7" s="212">
        <v>0.25095174999999997</v>
      </c>
      <c r="DJ7" s="212">
        <v>2.0053925000000001</v>
      </c>
      <c r="DK7" s="212">
        <v>1.88198574</v>
      </c>
      <c r="DL7" s="212">
        <v>146413.59491000001</v>
      </c>
      <c r="DM7" s="212">
        <v>311.22167409999997</v>
      </c>
      <c r="DN7" s="212">
        <v>17.8160718</v>
      </c>
      <c r="DO7" s="212" t="s">
        <v>830</v>
      </c>
      <c r="DP7" s="212">
        <v>18140143.870999999</v>
      </c>
      <c r="DQ7" s="212">
        <v>1.5876157</v>
      </c>
      <c r="DR7" s="212">
        <v>14.2583565</v>
      </c>
      <c r="DS7" s="212">
        <v>20.847668200000001</v>
      </c>
      <c r="DT7" s="212">
        <v>1.7549060000000001</v>
      </c>
      <c r="DU7" s="212">
        <v>1.138601</v>
      </c>
      <c r="DV7" s="212">
        <v>1628.8831898999999</v>
      </c>
      <c r="DW7" s="212">
        <v>23196.276721999999</v>
      </c>
      <c r="DX7" s="212">
        <v>0.83814279199999997</v>
      </c>
      <c r="DY7" s="212">
        <v>10.862765</v>
      </c>
      <c r="DZ7" s="212">
        <v>218.320899</v>
      </c>
      <c r="EA7" s="212">
        <v>17.430467</v>
      </c>
      <c r="EB7" s="212">
        <v>20.094999999999999</v>
      </c>
      <c r="EC7" s="212">
        <v>18.910537000000001</v>
      </c>
      <c r="ED7" s="212">
        <v>2168.600336</v>
      </c>
      <c r="EE7" s="212">
        <v>22.215025000000001</v>
      </c>
      <c r="EF7" s="212">
        <v>33.269478999999997</v>
      </c>
      <c r="EG7" s="212">
        <v>1.4243884</v>
      </c>
      <c r="EH7" s="212">
        <v>0.67096270000000002</v>
      </c>
      <c r="EI7" s="212">
        <v>1.1529357</v>
      </c>
      <c r="EJ7" s="212">
        <v>1.91321122</v>
      </c>
      <c r="EK7" s="212">
        <v>1.5893389</v>
      </c>
      <c r="EL7" s="212">
        <v>2.668237</v>
      </c>
      <c r="EM7">
        <v>1.21524291</v>
      </c>
      <c r="EN7">
        <v>2.2096562199999998</v>
      </c>
      <c r="EO7">
        <v>1.3547385000000001</v>
      </c>
      <c r="EP7">
        <v>251.46793299999999</v>
      </c>
      <c r="EQ7">
        <v>180.45430200000001</v>
      </c>
      <c r="ER7">
        <v>15.5765332</v>
      </c>
      <c r="ES7">
        <v>13.9160576</v>
      </c>
      <c r="ET7">
        <v>8.5637422000000001</v>
      </c>
      <c r="EU7">
        <v>185.8816592</v>
      </c>
      <c r="EV7">
        <v>119.43377150000001</v>
      </c>
      <c r="EW7">
        <v>17.147257700000001</v>
      </c>
      <c r="EX7">
        <v>99.345425800000001</v>
      </c>
      <c r="EY7">
        <v>2.5868058999999999</v>
      </c>
      <c r="EZ7">
        <v>2237.6897579000001</v>
      </c>
      <c r="FA7" s="223">
        <v>8.1833519999999993</v>
      </c>
      <c r="FB7" s="223">
        <v>1.0668803</v>
      </c>
      <c r="FC7" s="223">
        <v>1.91631</v>
      </c>
      <c r="FD7">
        <v>2.7497756999999998</v>
      </c>
      <c r="FE7">
        <v>1.1987581</v>
      </c>
      <c r="FF7">
        <v>1.5885065</v>
      </c>
      <c r="FG7">
        <v>0.84709252000000002</v>
      </c>
      <c r="FH7">
        <v>1.10633925</v>
      </c>
      <c r="FI7">
        <v>0.84000266000000001</v>
      </c>
      <c r="FJ7">
        <v>103.01440157</v>
      </c>
    </row>
    <row r="8" spans="1:166" x14ac:dyDescent="0.3">
      <c r="A8" s="223">
        <v>7</v>
      </c>
      <c r="B8" s="315">
        <v>42320</v>
      </c>
      <c r="C8" s="212">
        <v>1018555.3473</v>
      </c>
      <c r="D8" s="212">
        <v>104.49244354</v>
      </c>
      <c r="E8" s="212">
        <v>1.4603941</v>
      </c>
      <c r="F8" s="212">
        <v>7.2308867000000001</v>
      </c>
      <c r="G8" s="212">
        <v>4.4145174107000003</v>
      </c>
      <c r="H8" s="212">
        <v>4.2108035399999997</v>
      </c>
      <c r="I8" s="212">
        <v>1.070277959</v>
      </c>
      <c r="J8" s="212">
        <v>4.2353310000000004</v>
      </c>
      <c r="K8" s="212">
        <v>3.023679</v>
      </c>
      <c r="L8" s="212">
        <v>10.330622792</v>
      </c>
      <c r="M8" s="212">
        <v>0.98582093000000004</v>
      </c>
      <c r="N8" s="212">
        <v>1.3132942219999999</v>
      </c>
      <c r="O8" s="212">
        <v>1.9122842360000001</v>
      </c>
      <c r="P8" s="212">
        <v>1.2531072350000001</v>
      </c>
      <c r="Q8" s="212">
        <v>1.5051749999999999</v>
      </c>
      <c r="R8" s="212">
        <v>1.681673561</v>
      </c>
      <c r="S8" s="212">
        <v>11.751905000000001</v>
      </c>
      <c r="T8" s="212">
        <v>2.8206143419999998</v>
      </c>
      <c r="U8" s="212">
        <v>3.1810188419999998</v>
      </c>
      <c r="V8" s="212">
        <v>1.5650486960000001</v>
      </c>
      <c r="W8" s="212">
        <v>1.3100000970000001</v>
      </c>
      <c r="X8" s="212">
        <v>3.284634982</v>
      </c>
      <c r="Y8" s="212">
        <v>1.793442</v>
      </c>
      <c r="Z8" s="212">
        <v>1.5663130000000001</v>
      </c>
      <c r="AA8" s="212">
        <v>1.2546106930000001</v>
      </c>
      <c r="AB8" s="212">
        <v>1.0861718469999999</v>
      </c>
      <c r="AC8" s="212">
        <v>1.092471178</v>
      </c>
      <c r="AD8" s="212">
        <v>1.2687715580000001</v>
      </c>
      <c r="AE8" s="212">
        <v>1.266717533</v>
      </c>
      <c r="AF8" s="212">
        <v>1.2179352219999999</v>
      </c>
      <c r="AG8" s="212">
        <v>9.0001686010000004</v>
      </c>
      <c r="AH8" s="212">
        <v>1.699714919</v>
      </c>
      <c r="AI8" s="212">
        <v>3.6543299999999999</v>
      </c>
      <c r="AJ8" s="212">
        <v>2.2898499999999999</v>
      </c>
      <c r="AK8" s="212">
        <v>187.79727491</v>
      </c>
      <c r="AL8" s="212">
        <v>1.0525471</v>
      </c>
      <c r="AM8" s="212">
        <v>1.8324</v>
      </c>
      <c r="AN8" s="212">
        <v>8.3281717000000004</v>
      </c>
      <c r="AO8" s="212">
        <v>1.700027</v>
      </c>
      <c r="AP8" s="212">
        <v>1.6944482999999999</v>
      </c>
      <c r="AQ8" s="212">
        <v>2.3622703999999999</v>
      </c>
      <c r="AR8" s="212">
        <v>8.2985178000000008</v>
      </c>
      <c r="AS8" s="212">
        <v>375.22482289999999</v>
      </c>
      <c r="AT8" s="212">
        <v>1.1929542</v>
      </c>
      <c r="AU8" s="212">
        <v>2.9233047999999999</v>
      </c>
      <c r="AV8" s="212">
        <v>2.4777830999999999</v>
      </c>
      <c r="AW8" s="212">
        <v>1.5296216</v>
      </c>
      <c r="AX8" s="212">
        <v>1.1642250000000001</v>
      </c>
      <c r="AY8" s="212">
        <v>2.4544641999999999</v>
      </c>
      <c r="AZ8" s="212" t="s">
        <v>830</v>
      </c>
      <c r="BA8" s="212">
        <v>1.820228746</v>
      </c>
      <c r="BB8" s="212">
        <v>2.3393128000000001</v>
      </c>
      <c r="BC8" s="212">
        <v>2.899953</v>
      </c>
      <c r="BD8" s="212">
        <v>1.0484519999999999</v>
      </c>
      <c r="BE8" s="212">
        <v>1.0325329999999999</v>
      </c>
      <c r="BF8" s="212">
        <v>1.0221789999999999</v>
      </c>
      <c r="BG8" s="212">
        <v>1.0437529999999999</v>
      </c>
      <c r="BH8" s="212">
        <v>1.0281499999999999</v>
      </c>
      <c r="BI8" s="212">
        <v>1.169646</v>
      </c>
      <c r="BJ8" s="212">
        <v>1.0526500000000001</v>
      </c>
      <c r="BK8" s="212">
        <v>1.139297</v>
      </c>
      <c r="BL8" s="212">
        <v>1.1639440000000001</v>
      </c>
      <c r="BM8" s="212">
        <v>1.1629780000000001</v>
      </c>
      <c r="BN8" s="212">
        <v>1.0288010000000001</v>
      </c>
      <c r="BO8" s="212">
        <v>1.1284000000000001</v>
      </c>
      <c r="BP8" s="212">
        <v>2.548184</v>
      </c>
      <c r="BQ8" s="212">
        <v>1.328165</v>
      </c>
      <c r="BR8" s="212">
        <v>1.392144</v>
      </c>
      <c r="BS8" s="212">
        <v>1.2363299999999999</v>
      </c>
      <c r="BT8" s="212">
        <v>1.6828749999999999</v>
      </c>
      <c r="BU8" s="212">
        <v>1.6467350000000001</v>
      </c>
      <c r="BV8" s="212">
        <v>1.824049</v>
      </c>
      <c r="BW8" s="212">
        <v>1.6688449999999999</v>
      </c>
      <c r="BX8" s="212">
        <v>1.640666</v>
      </c>
      <c r="BY8" s="212">
        <v>1.632269</v>
      </c>
      <c r="BZ8" s="212">
        <v>1.8804529999999999</v>
      </c>
      <c r="CA8" s="212">
        <v>1.8193429999999999</v>
      </c>
      <c r="CB8" s="212">
        <v>1.8319730000000001</v>
      </c>
      <c r="CC8" s="212">
        <v>1.778392</v>
      </c>
      <c r="CD8" s="212">
        <v>1.7792509999999999</v>
      </c>
      <c r="CE8" s="212">
        <v>1.7300899999999999</v>
      </c>
      <c r="CF8" s="212">
        <v>1.0693410000000001</v>
      </c>
      <c r="CG8" s="212">
        <v>1.245309</v>
      </c>
      <c r="CH8" s="212">
        <v>1.257336</v>
      </c>
      <c r="CI8" s="212">
        <v>2.7570009999999998</v>
      </c>
      <c r="CJ8" s="212">
        <v>1.0018670000000001</v>
      </c>
      <c r="CK8" s="212">
        <v>1.0853409999999999</v>
      </c>
      <c r="CL8" s="212">
        <v>0.70318499999999995</v>
      </c>
      <c r="CM8" s="212">
        <v>3.0978240000000001</v>
      </c>
      <c r="CN8" s="212">
        <v>1.9788570000000001</v>
      </c>
      <c r="CO8" s="212">
        <v>1.0260229999999999</v>
      </c>
      <c r="CP8" s="212">
        <v>1.002316</v>
      </c>
      <c r="CQ8" s="212">
        <v>1.231984</v>
      </c>
      <c r="CR8" s="212">
        <v>13.440353</v>
      </c>
      <c r="CS8" s="212">
        <v>4.1880949999999997</v>
      </c>
      <c r="CT8" s="212">
        <v>1.922132</v>
      </c>
      <c r="CU8" s="212">
        <v>5.0906880000000001</v>
      </c>
      <c r="CV8" s="212">
        <v>9.0145440000000008</v>
      </c>
      <c r="CW8" s="212" t="s">
        <v>830</v>
      </c>
      <c r="CX8" s="212">
        <v>1.1766600313</v>
      </c>
      <c r="CY8" s="212">
        <v>1.9691474708000001</v>
      </c>
      <c r="CZ8" s="212">
        <v>1.125001251</v>
      </c>
      <c r="DA8" s="212">
        <v>13.962654463</v>
      </c>
      <c r="DB8" s="212">
        <v>1.057388</v>
      </c>
      <c r="DC8" s="212">
        <v>1.0462199999999999</v>
      </c>
      <c r="DD8" s="212">
        <v>1.8421149999999999</v>
      </c>
      <c r="DE8" s="212">
        <v>1.7991159999999999</v>
      </c>
      <c r="DF8" s="212">
        <v>1.712445</v>
      </c>
      <c r="DG8" s="212">
        <v>1.01179701</v>
      </c>
      <c r="DH8" s="212">
        <v>120.69332401</v>
      </c>
      <c r="DI8" s="212">
        <v>0.25100413999999999</v>
      </c>
      <c r="DJ8" s="212">
        <v>2.0063168999999998</v>
      </c>
      <c r="DK8" s="212">
        <v>1.88261408</v>
      </c>
      <c r="DL8" s="212">
        <v>146509.67180000001</v>
      </c>
      <c r="DM8" s="212">
        <v>311.32074679999999</v>
      </c>
      <c r="DN8" s="212">
        <v>17.826676800000001</v>
      </c>
      <c r="DO8" s="212" t="s">
        <v>830</v>
      </c>
      <c r="DP8" s="212">
        <v>18138955.870000001</v>
      </c>
      <c r="DQ8" s="212">
        <v>1.6029891999999999</v>
      </c>
      <c r="DR8" s="212">
        <v>14.2654093</v>
      </c>
      <c r="DS8" s="212">
        <v>20.858872699999999</v>
      </c>
      <c r="DT8" s="212">
        <v>1.7562445</v>
      </c>
      <c r="DU8" s="212">
        <v>1.1372899999999999</v>
      </c>
      <c r="DV8" s="212">
        <v>1629.8318294999999</v>
      </c>
      <c r="DW8" s="212">
        <v>23193.255874999999</v>
      </c>
      <c r="DX8" s="212">
        <v>0.82755082099999999</v>
      </c>
      <c r="DY8" s="212">
        <v>10.81357</v>
      </c>
      <c r="DZ8" s="212">
        <v>218.43364399999999</v>
      </c>
      <c r="EA8" s="212">
        <v>17.446676</v>
      </c>
      <c r="EB8" s="212">
        <v>20.097856</v>
      </c>
      <c r="EC8" s="212">
        <v>18.935659000000001</v>
      </c>
      <c r="ED8" s="212">
        <v>2169.7379369999999</v>
      </c>
      <c r="EE8" s="212">
        <v>22.228567999999999</v>
      </c>
      <c r="EF8" s="212">
        <v>33.286751000000002</v>
      </c>
      <c r="EG8" s="212">
        <v>1.4074742</v>
      </c>
      <c r="EH8" s="212">
        <v>0.67081519999999994</v>
      </c>
      <c r="EI8" s="212">
        <v>1.1535086999999999</v>
      </c>
      <c r="EJ8" s="212">
        <v>1.91450645</v>
      </c>
      <c r="EK8" s="212">
        <v>1.5894476</v>
      </c>
      <c r="EL8" s="212">
        <v>2.6684199999999998</v>
      </c>
      <c r="EM8">
        <v>1.2154126300000001</v>
      </c>
      <c r="EN8">
        <v>2.2111084000000001</v>
      </c>
      <c r="EO8">
        <v>1.3553716</v>
      </c>
      <c r="EP8">
        <v>251.62927099999999</v>
      </c>
      <c r="EQ8">
        <v>180.652467</v>
      </c>
      <c r="ER8">
        <v>15.5788467</v>
      </c>
      <c r="ES8">
        <v>13.9347157</v>
      </c>
      <c r="ET8">
        <v>8.5682507000000001</v>
      </c>
      <c r="EU8">
        <v>186.12932670000001</v>
      </c>
      <c r="EV8">
        <v>119.80772109999999</v>
      </c>
      <c r="EW8">
        <v>17.154829700000001</v>
      </c>
      <c r="EX8">
        <v>99.394582900000003</v>
      </c>
      <c r="EY8">
        <v>2.5197427999999999</v>
      </c>
      <c r="EZ8">
        <v>2238.8268293000001</v>
      </c>
      <c r="FA8" s="223">
        <v>8.1868630000000007</v>
      </c>
      <c r="FB8" s="223">
        <v>1.0633912000000001</v>
      </c>
      <c r="FC8" s="223">
        <v>1.9185566999999999</v>
      </c>
      <c r="FD8">
        <v>2.7511686000000002</v>
      </c>
      <c r="FE8">
        <v>1.1992691</v>
      </c>
      <c r="FF8">
        <v>1.5900485</v>
      </c>
      <c r="FG8">
        <v>0.84790705</v>
      </c>
      <c r="FH8">
        <v>1.1038891200000001</v>
      </c>
      <c r="FI8">
        <v>0.83993733999999998</v>
      </c>
      <c r="FJ8">
        <v>103.80515628000001</v>
      </c>
    </row>
    <row r="9" spans="1:166" x14ac:dyDescent="0.3">
      <c r="A9" s="223">
        <v>8</v>
      </c>
      <c r="B9" s="315">
        <v>42321</v>
      </c>
      <c r="C9" s="212">
        <v>1018489.097</v>
      </c>
      <c r="D9" s="212">
        <v>104.49715342</v>
      </c>
      <c r="E9" s="212">
        <v>1.4604211</v>
      </c>
      <c r="F9" s="212">
        <v>7.2325841999999998</v>
      </c>
      <c r="G9" s="212">
        <v>4.4193354117999997</v>
      </c>
      <c r="H9" s="212">
        <v>4.2082798620000004</v>
      </c>
      <c r="I9" s="212">
        <v>1.0686078429999999</v>
      </c>
      <c r="J9" s="212">
        <v>4.2374980000000004</v>
      </c>
      <c r="K9" s="212">
        <v>3.0247799999999998</v>
      </c>
      <c r="L9" s="212">
        <v>10.335054567</v>
      </c>
      <c r="M9" s="212">
        <v>0.97990052299999997</v>
      </c>
      <c r="N9" s="212">
        <v>1.308017599</v>
      </c>
      <c r="O9" s="212">
        <v>1.912689705</v>
      </c>
      <c r="P9" s="212">
        <v>1.2529497679999999</v>
      </c>
      <c r="Q9" s="212">
        <v>1.5059070000000001</v>
      </c>
      <c r="R9" s="212">
        <v>1.6806865289999999</v>
      </c>
      <c r="S9" s="212">
        <v>11.74661</v>
      </c>
      <c r="T9" s="212">
        <v>2.8222153699999999</v>
      </c>
      <c r="U9" s="212">
        <v>3.1830255749999998</v>
      </c>
      <c r="V9" s="212">
        <v>1.567172784</v>
      </c>
      <c r="W9" s="212">
        <v>1.310149684</v>
      </c>
      <c r="X9" s="212">
        <v>3.283109262</v>
      </c>
      <c r="Y9" s="212">
        <v>1.794349</v>
      </c>
      <c r="Z9" s="212">
        <v>1.5671360000000001</v>
      </c>
      <c r="AA9" s="212">
        <v>1.2544013919999999</v>
      </c>
      <c r="AB9" s="212">
        <v>1.0861488530000001</v>
      </c>
      <c r="AC9" s="212">
        <v>1.0923071639999999</v>
      </c>
      <c r="AD9" s="212">
        <v>1.2695621399999999</v>
      </c>
      <c r="AE9" s="212">
        <v>1.2675081290000001</v>
      </c>
      <c r="AF9" s="212">
        <v>1.2189061670000001</v>
      </c>
      <c r="AG9" s="212">
        <v>9.0047476759999991</v>
      </c>
      <c r="AH9" s="212">
        <v>1.7000032439999999</v>
      </c>
      <c r="AI9" s="212">
        <v>3.6560830000000002</v>
      </c>
      <c r="AJ9" s="212">
        <v>2.290816</v>
      </c>
      <c r="AK9" s="212">
        <v>187.80702417000001</v>
      </c>
      <c r="AL9" s="212">
        <v>1.0516539</v>
      </c>
      <c r="AM9" s="212">
        <v>1.8354556</v>
      </c>
      <c r="AN9" s="212">
        <v>8.3325400999999992</v>
      </c>
      <c r="AO9" s="212">
        <v>1.7006250999999999</v>
      </c>
      <c r="AP9" s="212">
        <v>1.6950411000000001</v>
      </c>
      <c r="AQ9" s="212">
        <v>2.3634889000000001</v>
      </c>
      <c r="AR9" s="212">
        <v>8.3028098999999997</v>
      </c>
      <c r="AS9" s="212">
        <v>372.30012809999999</v>
      </c>
      <c r="AT9" s="212">
        <v>1.194747</v>
      </c>
      <c r="AU9" s="212">
        <v>2.9247285000000001</v>
      </c>
      <c r="AV9" s="212">
        <v>2.4799221999999999</v>
      </c>
      <c r="AW9" s="212">
        <v>1.5316894999999999</v>
      </c>
      <c r="AX9" s="212">
        <v>1.1636321000000001</v>
      </c>
      <c r="AY9" s="212">
        <v>2.4548521000000001</v>
      </c>
      <c r="AZ9" s="212" t="s">
        <v>830</v>
      </c>
      <c r="BA9" s="212">
        <v>1.821156767</v>
      </c>
      <c r="BB9" s="212">
        <v>2.3404460999999999</v>
      </c>
      <c r="BC9" s="212">
        <v>2.9013089999999999</v>
      </c>
      <c r="BD9" s="212">
        <v>1.048565</v>
      </c>
      <c r="BE9" s="212">
        <v>1.0326439999999999</v>
      </c>
      <c r="BF9" s="212">
        <v>1.022289</v>
      </c>
      <c r="BG9" s="212">
        <v>1.043866</v>
      </c>
      <c r="BH9" s="212">
        <v>1.0282610000000001</v>
      </c>
      <c r="BI9" s="212">
        <v>1.1703760000000001</v>
      </c>
      <c r="BJ9" s="212">
        <v>1.051798</v>
      </c>
      <c r="BK9" s="212">
        <v>1.138825</v>
      </c>
      <c r="BL9" s="212">
        <v>1.164669</v>
      </c>
      <c r="BM9" s="212">
        <v>1.1637059999999999</v>
      </c>
      <c r="BN9" s="212">
        <v>1.030508</v>
      </c>
      <c r="BO9" s="212">
        <v>1.1291260000000001</v>
      </c>
      <c r="BP9" s="212">
        <v>2.549525</v>
      </c>
      <c r="BQ9" s="212">
        <v>1.3288180000000001</v>
      </c>
      <c r="BR9" s="212">
        <v>1.3914</v>
      </c>
      <c r="BS9" s="212">
        <v>1.237887</v>
      </c>
      <c r="BT9" s="212">
        <v>1.683106</v>
      </c>
      <c r="BU9" s="212">
        <v>1.6465080000000001</v>
      </c>
      <c r="BV9" s="212">
        <v>1.8250010000000001</v>
      </c>
      <c r="BW9" s="212">
        <v>1.6698219999999999</v>
      </c>
      <c r="BX9" s="212">
        <v>1.641551</v>
      </c>
      <c r="BY9" s="212">
        <v>1.6331260000000001</v>
      </c>
      <c r="BZ9" s="212">
        <v>1.8810439999999999</v>
      </c>
      <c r="CA9" s="212">
        <v>1.8204629999999999</v>
      </c>
      <c r="CB9" s="212">
        <v>1.8329759999999999</v>
      </c>
      <c r="CC9" s="212">
        <v>1.7794559999999999</v>
      </c>
      <c r="CD9" s="212">
        <v>1.780316</v>
      </c>
      <c r="CE9" s="212">
        <v>1.7308939999999999</v>
      </c>
      <c r="CF9" s="212">
        <v>1.067258</v>
      </c>
      <c r="CG9" s="212">
        <v>1.244113</v>
      </c>
      <c r="CH9" s="212">
        <v>1.256839</v>
      </c>
      <c r="CI9" s="212">
        <v>2.7582629999999999</v>
      </c>
      <c r="CJ9" s="212">
        <v>0.99396399999999996</v>
      </c>
      <c r="CK9" s="212">
        <v>1.0767910000000001</v>
      </c>
      <c r="CL9" s="212">
        <v>0.69853500000000002</v>
      </c>
      <c r="CM9" s="212">
        <v>3.0732889999999999</v>
      </c>
      <c r="CN9" s="212">
        <v>1.983517</v>
      </c>
      <c r="CO9" s="212">
        <v>1.0186219999999999</v>
      </c>
      <c r="CP9" s="212">
        <v>1.004399</v>
      </c>
      <c r="CQ9" s="212">
        <v>1.2326239999999999</v>
      </c>
      <c r="CR9" s="212">
        <v>13.446591</v>
      </c>
      <c r="CS9" s="212">
        <v>4.1900380000000004</v>
      </c>
      <c r="CT9" s="212">
        <v>1.9230590000000001</v>
      </c>
      <c r="CU9" s="212">
        <v>5.0923489999999996</v>
      </c>
      <c r="CV9" s="212">
        <v>9.0187340000000003</v>
      </c>
      <c r="CW9" s="212" t="s">
        <v>830</v>
      </c>
      <c r="CX9" s="212">
        <v>1.1772733236999999</v>
      </c>
      <c r="CY9" s="212">
        <v>1.9714094201000001</v>
      </c>
      <c r="CZ9" s="212">
        <v>1.1255791612999999</v>
      </c>
      <c r="DA9" s="212">
        <v>13.969717388999999</v>
      </c>
      <c r="DB9" s="212">
        <v>1.057501</v>
      </c>
      <c r="DC9" s="212">
        <v>1.045374</v>
      </c>
      <c r="DD9" s="212">
        <v>1.8412900000000001</v>
      </c>
      <c r="DE9" s="212">
        <v>1.800149</v>
      </c>
      <c r="DF9" s="212">
        <v>1.713317</v>
      </c>
      <c r="DG9" s="212">
        <v>1.01093959</v>
      </c>
      <c r="DH9" s="212">
        <v>120.76447781</v>
      </c>
      <c r="DI9" s="212">
        <v>0.25103167999999998</v>
      </c>
      <c r="DJ9" s="212">
        <v>2.0072475000000001</v>
      </c>
      <c r="DK9" s="212">
        <v>1.88379341</v>
      </c>
      <c r="DL9" s="212">
        <v>146605.81155000001</v>
      </c>
      <c r="DM9" s="212">
        <v>311.48723910000001</v>
      </c>
      <c r="DN9" s="212">
        <v>17.838111699999999</v>
      </c>
      <c r="DO9" s="212" t="s">
        <v>830</v>
      </c>
      <c r="DP9" s="212">
        <v>18137767.947999999</v>
      </c>
      <c r="DQ9" s="212">
        <v>1.6074425000000001</v>
      </c>
      <c r="DR9" s="212">
        <v>14.272477800000001</v>
      </c>
      <c r="DS9" s="212">
        <v>20.869966699999999</v>
      </c>
      <c r="DT9" s="212">
        <v>1.7569593999999999</v>
      </c>
      <c r="DU9" s="212">
        <v>1.1304255000000001</v>
      </c>
      <c r="DV9" s="212">
        <v>1630.7715115000001</v>
      </c>
      <c r="DW9" s="212">
        <v>23190.236011000001</v>
      </c>
      <c r="DX9" s="212">
        <v>0.83533095300000004</v>
      </c>
      <c r="DY9" s="212">
        <v>10.746641</v>
      </c>
      <c r="DZ9" s="212">
        <v>218.53913399999999</v>
      </c>
      <c r="EA9" s="212">
        <v>17.438873999999998</v>
      </c>
      <c r="EB9" s="212">
        <v>20.088577000000001</v>
      </c>
      <c r="EC9" s="212">
        <v>18.946877000000001</v>
      </c>
      <c r="ED9" s="212">
        <v>2170.8822719999998</v>
      </c>
      <c r="EE9" s="212">
        <v>22.238616</v>
      </c>
      <c r="EF9" s="212">
        <v>33.304017999999999</v>
      </c>
      <c r="EG9" s="212">
        <v>1.4212627</v>
      </c>
      <c r="EH9" s="212">
        <v>0.67021280000000005</v>
      </c>
      <c r="EI9" s="212">
        <v>1.1535637999999999</v>
      </c>
      <c r="EJ9" s="212">
        <v>1.9158025400000001</v>
      </c>
      <c r="EK9" s="212">
        <v>1.5900654000000001</v>
      </c>
      <c r="EL9" s="212">
        <v>2.6694575999999999</v>
      </c>
      <c r="EM9">
        <v>1.21523274</v>
      </c>
      <c r="EN9">
        <v>2.2125615299999999</v>
      </c>
      <c r="EO9">
        <v>1.3560021</v>
      </c>
      <c r="EP9">
        <v>251.866252</v>
      </c>
      <c r="EQ9">
        <v>180.80153000000001</v>
      </c>
      <c r="ER9">
        <v>15.572305099999999</v>
      </c>
      <c r="ES9">
        <v>13.943044</v>
      </c>
      <c r="ET9">
        <v>8.5727703000000002</v>
      </c>
      <c r="EU9">
        <v>186.23899940000001</v>
      </c>
      <c r="EV9">
        <v>119.5103652</v>
      </c>
      <c r="EW9">
        <v>17.163406899999998</v>
      </c>
      <c r="EX9">
        <v>99.4438672</v>
      </c>
      <c r="EY9">
        <v>2.4527264999999998</v>
      </c>
      <c r="EZ9">
        <v>2239.9701915999999</v>
      </c>
      <c r="FA9" s="223">
        <v>8.1903769999999998</v>
      </c>
      <c r="FB9" s="223">
        <v>1.0580927</v>
      </c>
      <c r="FC9" s="223">
        <v>1.9198318999999999</v>
      </c>
      <c r="FD9">
        <v>2.7525944999999998</v>
      </c>
      <c r="FE9">
        <v>1.1998576000000001</v>
      </c>
      <c r="FF9">
        <v>1.5892236</v>
      </c>
      <c r="FG9">
        <v>0.84309248999999997</v>
      </c>
      <c r="FH9">
        <v>1.1044312300000001</v>
      </c>
      <c r="FI9">
        <v>0.83987202999999999</v>
      </c>
      <c r="FJ9">
        <v>103.87790769999999</v>
      </c>
    </row>
    <row r="10" spans="1:166" x14ac:dyDescent="0.3">
      <c r="A10" s="223">
        <v>9</v>
      </c>
      <c r="B10" s="315">
        <v>42324</v>
      </c>
      <c r="C10" s="212">
        <v>1018422.8601</v>
      </c>
      <c r="D10" s="212">
        <v>104.62824196</v>
      </c>
      <c r="E10" s="212">
        <v>1.4612076000000001</v>
      </c>
      <c r="F10" s="212">
        <v>7.2393872000000004</v>
      </c>
      <c r="G10" s="212">
        <v>4.4223323317999998</v>
      </c>
      <c r="H10" s="212">
        <v>4.2080103529999997</v>
      </c>
      <c r="I10" s="212">
        <v>1.067756336</v>
      </c>
      <c r="J10" s="212">
        <v>4.239668</v>
      </c>
      <c r="K10" s="212">
        <v>3.0258669999999999</v>
      </c>
      <c r="L10" s="212">
        <v>10.339562666999999</v>
      </c>
      <c r="M10" s="212">
        <v>0.98611670900000004</v>
      </c>
      <c r="N10" s="212">
        <v>1.3098111969999999</v>
      </c>
      <c r="O10" s="212">
        <v>1.9142025620000001</v>
      </c>
      <c r="P10" s="212">
        <v>1.254133811</v>
      </c>
      <c r="Q10" s="212">
        <v>1.5066440000000001</v>
      </c>
      <c r="R10" s="212">
        <v>1.680837787</v>
      </c>
      <c r="S10" s="212">
        <v>11.749356000000001</v>
      </c>
      <c r="T10" s="212">
        <v>2.826934423</v>
      </c>
      <c r="U10" s="212">
        <v>3.1883697230000001</v>
      </c>
      <c r="V10" s="212">
        <v>1.5712006519999999</v>
      </c>
      <c r="W10" s="212">
        <v>1.3116453589999999</v>
      </c>
      <c r="X10" s="212">
        <v>3.2867940230000001</v>
      </c>
      <c r="Y10" s="212">
        <v>1.795469</v>
      </c>
      <c r="Z10" s="212">
        <v>1.567928</v>
      </c>
      <c r="AA10" s="212">
        <v>1.2566047140000001</v>
      </c>
      <c r="AB10" s="212">
        <v>1.0863249859999999</v>
      </c>
      <c r="AC10" s="212">
        <v>1.092706183</v>
      </c>
      <c r="AD10" s="212">
        <v>1.2703533419999999</v>
      </c>
      <c r="AE10" s="212">
        <v>1.268299286</v>
      </c>
      <c r="AF10" s="212">
        <v>1.221175728</v>
      </c>
      <c r="AG10" s="212">
        <v>9.0093476040000002</v>
      </c>
      <c r="AH10" s="212">
        <v>1.7001108469999999</v>
      </c>
      <c r="AI10" s="212">
        <v>3.6579609999999998</v>
      </c>
      <c r="AJ10" s="212">
        <v>2.2942969999999998</v>
      </c>
      <c r="AK10" s="212">
        <v>187.93827039999999</v>
      </c>
      <c r="AL10" s="212">
        <v>1.0208591</v>
      </c>
      <c r="AM10" s="212">
        <v>1.8365952999999999</v>
      </c>
      <c r="AN10" s="212">
        <v>8.3369095000000009</v>
      </c>
      <c r="AO10" s="212">
        <v>1.7014001000000001</v>
      </c>
      <c r="AP10" s="212">
        <v>1.6958040000000001</v>
      </c>
      <c r="AQ10" s="212">
        <v>2.3647087</v>
      </c>
      <c r="AR10" s="212">
        <v>8.3071313</v>
      </c>
      <c r="AS10" s="212">
        <v>374.95314250000001</v>
      </c>
      <c r="AT10" s="212">
        <v>1.1941005</v>
      </c>
      <c r="AU10" s="212">
        <v>2.9261623999999999</v>
      </c>
      <c r="AV10" s="212">
        <v>2.4831259999999999</v>
      </c>
      <c r="AW10" s="212">
        <v>1.5352901999999999</v>
      </c>
      <c r="AX10" s="212">
        <v>1.1640151000000001</v>
      </c>
      <c r="AY10" s="212">
        <v>2.4577342</v>
      </c>
      <c r="AZ10" s="212" t="s">
        <v>830</v>
      </c>
      <c r="BA10" s="212">
        <v>1.8220899779999999</v>
      </c>
      <c r="BB10" s="212">
        <v>2.3441345999999998</v>
      </c>
      <c r="BC10" s="212">
        <v>2.9029060000000002</v>
      </c>
      <c r="BD10" s="212">
        <v>1.048756</v>
      </c>
      <c r="BE10" s="212">
        <v>1.032832</v>
      </c>
      <c r="BF10" s="212">
        <v>1.0224759999999999</v>
      </c>
      <c r="BG10" s="212">
        <v>1.044055</v>
      </c>
      <c r="BH10" s="212">
        <v>1.0284489999999999</v>
      </c>
      <c r="BI10" s="212">
        <v>1.1711069999999999</v>
      </c>
      <c r="BJ10" s="212">
        <v>1.0518369999999999</v>
      </c>
      <c r="BK10" s="212">
        <v>1.1396710000000001</v>
      </c>
      <c r="BL10" s="212">
        <v>1.1653929999999999</v>
      </c>
      <c r="BM10" s="212">
        <v>1.164434</v>
      </c>
      <c r="BN10" s="212">
        <v>1.0340549999999999</v>
      </c>
      <c r="BO10" s="212">
        <v>1.1322049999999999</v>
      </c>
      <c r="BP10" s="212">
        <v>2.5508609999999998</v>
      </c>
      <c r="BQ10" s="212">
        <v>1.3294710000000001</v>
      </c>
      <c r="BR10" s="212">
        <v>1.3915519999999999</v>
      </c>
      <c r="BS10" s="212">
        <v>1.2410760000000001</v>
      </c>
      <c r="BT10" s="212">
        <v>1.685036</v>
      </c>
      <c r="BU10" s="212">
        <v>1.6475740000000001</v>
      </c>
      <c r="BV10" s="212">
        <v>1.8259540000000001</v>
      </c>
      <c r="BW10" s="212">
        <v>1.670938</v>
      </c>
      <c r="BX10" s="212">
        <v>1.6425639999999999</v>
      </c>
      <c r="BY10" s="212">
        <v>1.6341399999999999</v>
      </c>
      <c r="BZ10" s="212">
        <v>1.8822099999999999</v>
      </c>
      <c r="CA10" s="212">
        <v>1.8215840000000001</v>
      </c>
      <c r="CB10" s="212">
        <v>1.833979</v>
      </c>
      <c r="CC10" s="212">
        <v>1.7805200000000001</v>
      </c>
      <c r="CD10" s="212">
        <v>1.78138</v>
      </c>
      <c r="CE10" s="212">
        <v>1.7319329999999999</v>
      </c>
      <c r="CF10" s="212">
        <v>1.0679449999999999</v>
      </c>
      <c r="CG10" s="212">
        <v>1.245916</v>
      </c>
      <c r="CH10" s="212">
        <v>1.2582930000000001</v>
      </c>
      <c r="CI10" s="212">
        <v>2.7597960000000001</v>
      </c>
      <c r="CJ10" s="212">
        <v>1.0004200000000001</v>
      </c>
      <c r="CK10" s="212">
        <v>1.0846389999999999</v>
      </c>
      <c r="CL10" s="212">
        <v>0.70398700000000003</v>
      </c>
      <c r="CM10" s="212">
        <v>3.0947629999999999</v>
      </c>
      <c r="CN10" s="212">
        <v>1.9853890000000001</v>
      </c>
      <c r="CO10" s="212">
        <v>1.018875</v>
      </c>
      <c r="CP10" s="212">
        <v>1.0020469999999999</v>
      </c>
      <c r="CQ10" s="212">
        <v>1.233263</v>
      </c>
      <c r="CR10" s="212">
        <v>13.452809</v>
      </c>
      <c r="CS10" s="212">
        <v>4.1920419999999998</v>
      </c>
      <c r="CT10" s="212">
        <v>1.926526</v>
      </c>
      <c r="CU10" s="212">
        <v>5.0940110000000001</v>
      </c>
      <c r="CV10" s="212">
        <v>9.0229110000000006</v>
      </c>
      <c r="CW10" s="212" t="s">
        <v>830</v>
      </c>
      <c r="CX10" s="212">
        <v>1.1778870826000001</v>
      </c>
      <c r="CY10" s="212">
        <v>1.9727749783999999</v>
      </c>
      <c r="CZ10" s="212">
        <v>1.1262466987999999</v>
      </c>
      <c r="DA10" s="212">
        <v>13.97678846</v>
      </c>
      <c r="DB10" s="212">
        <v>1.0576950000000001</v>
      </c>
      <c r="DC10" s="212">
        <v>1.0454129999999999</v>
      </c>
      <c r="DD10" s="212">
        <v>1.841737</v>
      </c>
      <c r="DE10" s="212">
        <v>1.803237</v>
      </c>
      <c r="DF10" s="212">
        <v>1.7144060000000001</v>
      </c>
      <c r="DG10" s="212">
        <v>1.01176274</v>
      </c>
      <c r="DH10" s="212">
        <v>120.83544241</v>
      </c>
      <c r="DI10" s="212">
        <v>0.25105146</v>
      </c>
      <c r="DJ10" s="212">
        <v>2.0081730000000002</v>
      </c>
      <c r="DK10" s="212">
        <v>1.87900011</v>
      </c>
      <c r="DL10" s="212">
        <v>146702.01462</v>
      </c>
      <c r="DM10" s="212">
        <v>311.64729349999999</v>
      </c>
      <c r="DN10" s="212">
        <v>17.8486431</v>
      </c>
      <c r="DO10" s="212" t="s">
        <v>830</v>
      </c>
      <c r="DP10" s="212">
        <v>18136580.103</v>
      </c>
      <c r="DQ10" s="212">
        <v>1.6091915000000001</v>
      </c>
      <c r="DR10" s="212">
        <v>14.279547000000001</v>
      </c>
      <c r="DS10" s="212">
        <v>20.880883099999998</v>
      </c>
      <c r="DT10" s="212">
        <v>1.7588223000000001</v>
      </c>
      <c r="DU10" s="212">
        <v>1.1337782000000001</v>
      </c>
      <c r="DV10" s="212">
        <v>1631.7118674000001</v>
      </c>
      <c r="DW10" s="212">
        <v>23187.203003999999</v>
      </c>
      <c r="DX10" s="212">
        <v>0.83702496100000001</v>
      </c>
      <c r="DY10" s="212">
        <v>10.809946</v>
      </c>
      <c r="DZ10" s="212">
        <v>218.64128099999999</v>
      </c>
      <c r="EA10" s="212">
        <v>17.458300999999999</v>
      </c>
      <c r="EB10" s="212">
        <v>20.0929</v>
      </c>
      <c r="EC10" s="212">
        <v>18.977775999999999</v>
      </c>
      <c r="ED10" s="212">
        <v>2172.03458</v>
      </c>
      <c r="EE10" s="212">
        <v>22.250119000000002</v>
      </c>
      <c r="EF10" s="212">
        <v>33.321314000000001</v>
      </c>
      <c r="EG10" s="212">
        <v>1.4217512999999999</v>
      </c>
      <c r="EH10" s="212">
        <v>0.6697398</v>
      </c>
      <c r="EI10" s="212">
        <v>1.1541127</v>
      </c>
      <c r="EJ10" s="212">
        <v>1.9170995</v>
      </c>
      <c r="EK10" s="212">
        <v>1.5896551000000001</v>
      </c>
      <c r="EL10" s="212">
        <v>2.6687691</v>
      </c>
      <c r="EM10">
        <v>1.2649129100000001</v>
      </c>
      <c r="EN10">
        <v>2.2140156200000001</v>
      </c>
      <c r="EO10">
        <v>1.3566296</v>
      </c>
      <c r="EP10">
        <v>252.02505400000001</v>
      </c>
      <c r="EQ10">
        <v>181.08406299999999</v>
      </c>
      <c r="ER10">
        <v>15.575178899999999</v>
      </c>
      <c r="ES10">
        <v>13.9660125</v>
      </c>
      <c r="ET10">
        <v>8.5772899000000002</v>
      </c>
      <c r="EU10">
        <v>186.54424460000001</v>
      </c>
      <c r="EV10">
        <v>119.32903469999999</v>
      </c>
      <c r="EW10">
        <v>17.173991000000001</v>
      </c>
      <c r="EX10">
        <v>99.493151499999996</v>
      </c>
      <c r="EY10">
        <v>2.6204445999999999</v>
      </c>
      <c r="EZ10">
        <v>2241.1152974000001</v>
      </c>
      <c r="FA10" s="223">
        <v>8.1939039999999999</v>
      </c>
      <c r="FB10" s="223">
        <v>1.0691248</v>
      </c>
      <c r="FC10" s="223">
        <v>1.9230734</v>
      </c>
      <c r="FD10">
        <v>2.7539878</v>
      </c>
      <c r="FE10">
        <v>1.2006361999999999</v>
      </c>
      <c r="FF10">
        <v>1.5911116000000001</v>
      </c>
      <c r="FG10">
        <v>0.84388772999999995</v>
      </c>
      <c r="FH10">
        <v>1.10472499</v>
      </c>
      <c r="FI10">
        <v>0.83980672000000001</v>
      </c>
      <c r="FJ10">
        <v>103.85359337</v>
      </c>
    </row>
    <row r="11" spans="1:166" x14ac:dyDescent="0.3">
      <c r="A11" s="223">
        <v>10</v>
      </c>
      <c r="B11" s="315">
        <v>42325</v>
      </c>
      <c r="C11" s="212">
        <v>1018356.6261</v>
      </c>
      <c r="D11" s="212">
        <v>104.62398807</v>
      </c>
      <c r="E11" s="212">
        <v>1.4627268</v>
      </c>
      <c r="F11" s="212">
        <v>7.2400754000000003</v>
      </c>
      <c r="G11" s="212">
        <v>4.4297386045999998</v>
      </c>
      <c r="H11" s="212">
        <v>4.2645070660000002</v>
      </c>
      <c r="I11" s="212">
        <v>1.0739834070000001</v>
      </c>
      <c r="J11" s="212">
        <v>4.2418420000000001</v>
      </c>
      <c r="K11" s="212">
        <v>3.026961</v>
      </c>
      <c r="L11" s="212">
        <v>10.344084214</v>
      </c>
      <c r="M11" s="212">
        <v>0.99278945299999999</v>
      </c>
      <c r="N11" s="212">
        <v>1.321848779</v>
      </c>
      <c r="O11" s="212">
        <v>1.915673221</v>
      </c>
      <c r="P11" s="212">
        <v>1.255605131</v>
      </c>
      <c r="Q11" s="212">
        <v>1.5073890000000001</v>
      </c>
      <c r="R11" s="212">
        <v>1.682481141</v>
      </c>
      <c r="S11" s="212">
        <v>11.758388999999999</v>
      </c>
      <c r="T11" s="212">
        <v>2.830289799</v>
      </c>
      <c r="U11" s="212">
        <v>3.192196451</v>
      </c>
      <c r="V11" s="212">
        <v>1.573398603</v>
      </c>
      <c r="W11" s="212">
        <v>1.3125764710000001</v>
      </c>
      <c r="X11" s="212">
        <v>3.2883280570000002</v>
      </c>
      <c r="Y11" s="212">
        <v>1.796521</v>
      </c>
      <c r="Z11" s="212">
        <v>1.568756</v>
      </c>
      <c r="AA11" s="212">
        <v>1.25896556</v>
      </c>
      <c r="AB11" s="212">
        <v>1.0873938190000001</v>
      </c>
      <c r="AC11" s="212">
        <v>1.0937387249999999</v>
      </c>
      <c r="AD11" s="212">
        <v>1.271043084</v>
      </c>
      <c r="AE11" s="212">
        <v>1.2689888629999999</v>
      </c>
      <c r="AF11" s="212">
        <v>1.223456321</v>
      </c>
      <c r="AG11" s="212">
        <v>9.0139129629999992</v>
      </c>
      <c r="AH11" s="212">
        <v>1.701645383</v>
      </c>
      <c r="AI11" s="212">
        <v>3.659872</v>
      </c>
      <c r="AJ11" s="212">
        <v>2.2967599999999999</v>
      </c>
      <c r="AK11" s="212">
        <v>188.07988621999999</v>
      </c>
      <c r="AL11" s="212">
        <v>1.0215958000000001</v>
      </c>
      <c r="AM11" s="212">
        <v>1.8386978</v>
      </c>
      <c r="AN11" s="212">
        <v>8.3412679999999995</v>
      </c>
      <c r="AO11" s="212">
        <v>1.7026492</v>
      </c>
      <c r="AP11" s="212">
        <v>1.6970417</v>
      </c>
      <c r="AQ11" s="212">
        <v>2.3659289999999999</v>
      </c>
      <c r="AR11" s="212">
        <v>8.3114424000000007</v>
      </c>
      <c r="AS11" s="212">
        <v>378.17564720000001</v>
      </c>
      <c r="AT11" s="212">
        <v>1.1983793</v>
      </c>
      <c r="AU11" s="212">
        <v>2.9275926999999999</v>
      </c>
      <c r="AV11" s="212">
        <v>2.4860929999999999</v>
      </c>
      <c r="AW11" s="212">
        <v>1.5374675</v>
      </c>
      <c r="AX11" s="212">
        <v>1.164817</v>
      </c>
      <c r="AY11" s="212">
        <v>2.4597802</v>
      </c>
      <c r="AZ11" s="212" t="s">
        <v>830</v>
      </c>
      <c r="BA11" s="212">
        <v>1.823022691</v>
      </c>
      <c r="BB11" s="212">
        <v>2.3465275000000001</v>
      </c>
      <c r="BC11" s="212">
        <v>2.9044490000000001</v>
      </c>
      <c r="BD11" s="212">
        <v>1.0497620000000001</v>
      </c>
      <c r="BE11" s="212">
        <v>1.033822</v>
      </c>
      <c r="BF11" s="212">
        <v>1.0234559999999999</v>
      </c>
      <c r="BG11" s="212">
        <v>1.045056</v>
      </c>
      <c r="BH11" s="212">
        <v>1.029434</v>
      </c>
      <c r="BI11" s="212">
        <v>1.1717439999999999</v>
      </c>
      <c r="BJ11" s="212">
        <v>1.0530379999999999</v>
      </c>
      <c r="BK11" s="212">
        <v>1.139896</v>
      </c>
      <c r="BL11" s="212">
        <v>1.1660250000000001</v>
      </c>
      <c r="BM11" s="212">
        <v>1.1650689999999999</v>
      </c>
      <c r="BN11" s="212">
        <v>1.0363100000000001</v>
      </c>
      <c r="BO11" s="212">
        <v>1.1348830000000001</v>
      </c>
      <c r="BP11" s="212">
        <v>2.5522</v>
      </c>
      <c r="BQ11" s="212">
        <v>1.330125</v>
      </c>
      <c r="BR11" s="212">
        <v>1.3929339999999999</v>
      </c>
      <c r="BS11" s="212">
        <v>1.2427440000000001</v>
      </c>
      <c r="BT11" s="212">
        <v>1.686239</v>
      </c>
      <c r="BU11" s="212">
        <v>1.64859</v>
      </c>
      <c r="BV11" s="212">
        <v>1.8269070000000001</v>
      </c>
      <c r="BW11" s="212">
        <v>1.672051</v>
      </c>
      <c r="BX11" s="212">
        <v>1.643494</v>
      </c>
      <c r="BY11" s="212">
        <v>1.635132</v>
      </c>
      <c r="BZ11" s="212">
        <v>1.883345</v>
      </c>
      <c r="CA11" s="212">
        <v>1.8227059999999999</v>
      </c>
      <c r="CB11" s="212">
        <v>1.8349819999999999</v>
      </c>
      <c r="CC11" s="212">
        <v>1.781585</v>
      </c>
      <c r="CD11" s="212">
        <v>1.782446</v>
      </c>
      <c r="CE11" s="212">
        <v>1.732966</v>
      </c>
      <c r="CF11" s="212">
        <v>1.068632</v>
      </c>
      <c r="CG11" s="212">
        <v>1.2464010000000001</v>
      </c>
      <c r="CH11" s="212">
        <v>1.2588809999999999</v>
      </c>
      <c r="CI11" s="212">
        <v>2.7612670000000001</v>
      </c>
      <c r="CJ11" s="212">
        <v>1.008923</v>
      </c>
      <c r="CK11" s="212">
        <v>1.0938840000000001</v>
      </c>
      <c r="CL11" s="212">
        <v>0.70735700000000001</v>
      </c>
      <c r="CM11" s="212">
        <v>3.1207379999999998</v>
      </c>
      <c r="CN11" s="212">
        <v>2.003136</v>
      </c>
      <c r="CO11" s="212">
        <v>1.027261</v>
      </c>
      <c r="CP11" s="212">
        <v>1.0070030000000001</v>
      </c>
      <c r="CQ11" s="212">
        <v>1.2339070000000001</v>
      </c>
      <c r="CR11" s="212">
        <v>13.459077000000001</v>
      </c>
      <c r="CS11" s="212">
        <v>4.1940499999999998</v>
      </c>
      <c r="CT11" s="212">
        <v>1.9283969999999999</v>
      </c>
      <c r="CU11" s="212">
        <v>5.0956729999999997</v>
      </c>
      <c r="CV11" s="212">
        <v>9.0271190000000008</v>
      </c>
      <c r="CW11" s="212" t="s">
        <v>830</v>
      </c>
      <c r="CX11" s="212">
        <v>1.1784717699</v>
      </c>
      <c r="CY11" s="212">
        <v>1.9760649734</v>
      </c>
      <c r="CZ11" s="212">
        <v>1.1268803571999999</v>
      </c>
      <c r="DA11" s="212">
        <v>13.983491885999999</v>
      </c>
      <c r="DB11" s="212">
        <v>1.0587089999999999</v>
      </c>
      <c r="DC11" s="212">
        <v>1.0466070000000001</v>
      </c>
      <c r="DD11" s="212">
        <v>1.8432299999999999</v>
      </c>
      <c r="DE11" s="212">
        <v>1.805193</v>
      </c>
      <c r="DF11" s="212">
        <v>1.7154199999999999</v>
      </c>
      <c r="DG11" s="212">
        <v>1.0122401000000001</v>
      </c>
      <c r="DH11" s="212">
        <v>120.90667076</v>
      </c>
      <c r="DI11" s="212">
        <v>0.25106583999999998</v>
      </c>
      <c r="DJ11" s="212">
        <v>2.0091033</v>
      </c>
      <c r="DK11" s="212">
        <v>1.8739469900000001</v>
      </c>
      <c r="DL11" s="212">
        <v>146798.28078</v>
      </c>
      <c r="DM11" s="212">
        <v>311.80946560000001</v>
      </c>
      <c r="DN11" s="212">
        <v>17.691730400000001</v>
      </c>
      <c r="DO11" s="212" t="s">
        <v>830</v>
      </c>
      <c r="DP11" s="212">
        <v>18135392.337000001</v>
      </c>
      <c r="DQ11" s="212">
        <v>1.6092839999999999</v>
      </c>
      <c r="DR11" s="212">
        <v>14.286620299999999</v>
      </c>
      <c r="DS11" s="212">
        <v>20.891879299999999</v>
      </c>
      <c r="DT11" s="212">
        <v>1.7601951</v>
      </c>
      <c r="DU11" s="212">
        <v>1.1423707000000001</v>
      </c>
      <c r="DV11" s="212">
        <v>1632.6525849</v>
      </c>
      <c r="DW11" s="212">
        <v>23184.183249000002</v>
      </c>
      <c r="DX11" s="212">
        <v>0.83698359700000002</v>
      </c>
      <c r="DY11" s="212">
        <v>10.897214</v>
      </c>
      <c r="DZ11" s="212">
        <v>218.75446500000001</v>
      </c>
      <c r="EA11" s="212">
        <v>17.466290000000001</v>
      </c>
      <c r="EB11" s="212">
        <v>20.108584</v>
      </c>
      <c r="EC11" s="212">
        <v>19.00028</v>
      </c>
      <c r="ED11" s="212">
        <v>2173.1758530000002</v>
      </c>
      <c r="EE11" s="212">
        <v>22.264102000000001</v>
      </c>
      <c r="EF11" s="212">
        <v>33.338582000000002</v>
      </c>
      <c r="EG11" s="212">
        <v>1.428085</v>
      </c>
      <c r="EH11" s="212">
        <v>0.67446890000000004</v>
      </c>
      <c r="EI11" s="212">
        <v>1.1564515</v>
      </c>
      <c r="EJ11" s="212">
        <v>1.91677933</v>
      </c>
      <c r="EK11" s="212">
        <v>1.5902655000000001</v>
      </c>
      <c r="EL11" s="212">
        <v>2.6697943999999998</v>
      </c>
      <c r="EM11">
        <v>1.2650736300000001</v>
      </c>
      <c r="EN11">
        <v>2.21529284</v>
      </c>
      <c r="EO11">
        <v>1.3572578</v>
      </c>
      <c r="EP11">
        <v>252.15864199999999</v>
      </c>
      <c r="EQ11">
        <v>181.32538500000001</v>
      </c>
      <c r="ER11">
        <v>15.5874614</v>
      </c>
      <c r="ES11">
        <v>13.9826788</v>
      </c>
      <c r="ET11">
        <v>8.5818042999999999</v>
      </c>
      <c r="EU11">
        <v>186.76529840000001</v>
      </c>
      <c r="EV11">
        <v>120.48533140000001</v>
      </c>
      <c r="EW11">
        <v>17.183951499999999</v>
      </c>
      <c r="EX11">
        <v>99.542373900000001</v>
      </c>
      <c r="EY11">
        <v>2.6316343999999998</v>
      </c>
      <c r="EZ11">
        <v>2242.2563119000001</v>
      </c>
      <c r="FA11" s="223">
        <v>8.1974210000000003</v>
      </c>
      <c r="FB11" s="223">
        <v>1.0771332</v>
      </c>
      <c r="FC11" s="223">
        <v>1.9255100000000001</v>
      </c>
      <c r="FD11">
        <v>2.7553857000000002</v>
      </c>
      <c r="FE11">
        <v>1.2013442999999999</v>
      </c>
      <c r="FF11">
        <v>1.5918220000000001</v>
      </c>
      <c r="FG11">
        <v>0.84798706999999995</v>
      </c>
      <c r="FH11">
        <v>1.10482759</v>
      </c>
      <c r="FI11">
        <v>0.83974141999999996</v>
      </c>
      <c r="FJ11">
        <v>104.03033632</v>
      </c>
    </row>
    <row r="12" spans="1:166" x14ac:dyDescent="0.3">
      <c r="A12" s="223">
        <v>11</v>
      </c>
      <c r="B12" s="315">
        <v>42326</v>
      </c>
      <c r="C12" s="212">
        <v>1018290.4124</v>
      </c>
      <c r="D12" s="212">
        <v>104.61973503</v>
      </c>
      <c r="E12" s="212">
        <v>1.4651647000000001</v>
      </c>
      <c r="F12" s="212">
        <v>7.2383680000000004</v>
      </c>
      <c r="G12" s="212">
        <v>4.4352130550000002</v>
      </c>
      <c r="H12" s="212">
        <v>4.1915973979999999</v>
      </c>
      <c r="I12" s="212">
        <v>1.0772814660000001</v>
      </c>
      <c r="J12" s="212">
        <v>4.2440129999999998</v>
      </c>
      <c r="K12" s="212">
        <v>3.028076</v>
      </c>
      <c r="L12" s="212">
        <v>10.348253303</v>
      </c>
      <c r="M12" s="212">
        <v>0.99623507200000005</v>
      </c>
      <c r="N12" s="212">
        <v>1.3241818620000001</v>
      </c>
      <c r="O12" s="212">
        <v>1.9175103819999999</v>
      </c>
      <c r="P12" s="212">
        <v>1.259874851</v>
      </c>
      <c r="Q12" s="212">
        <v>1.5081199999999999</v>
      </c>
      <c r="R12" s="212">
        <v>1.6857969559999999</v>
      </c>
      <c r="S12" s="212">
        <v>11.781679</v>
      </c>
      <c r="T12" s="212">
        <v>2.8349193989999999</v>
      </c>
      <c r="U12" s="212">
        <v>3.196744174</v>
      </c>
      <c r="V12" s="212">
        <v>1.574851499</v>
      </c>
      <c r="W12" s="212">
        <v>1.3142042519999999</v>
      </c>
      <c r="X12" s="212">
        <v>3.293486717</v>
      </c>
      <c r="Y12" s="212">
        <v>1.7977209999999999</v>
      </c>
      <c r="Z12" s="212">
        <v>1.569531</v>
      </c>
      <c r="AA12" s="212">
        <v>1.2647916969999999</v>
      </c>
      <c r="AB12" s="212">
        <v>1.0889577370000001</v>
      </c>
      <c r="AC12" s="212">
        <v>1.095940264</v>
      </c>
      <c r="AD12" s="212">
        <v>1.2717331970000001</v>
      </c>
      <c r="AE12" s="212">
        <v>1.2696787860000001</v>
      </c>
      <c r="AF12" s="212">
        <v>1.228796142</v>
      </c>
      <c r="AG12" s="212">
        <v>9.0185112039999993</v>
      </c>
      <c r="AH12" s="212">
        <v>1.703764608</v>
      </c>
      <c r="AI12" s="212">
        <v>3.661934</v>
      </c>
      <c r="AJ12" s="212">
        <v>2.3006259999999998</v>
      </c>
      <c r="AK12" s="212">
        <v>188.34637391000001</v>
      </c>
      <c r="AL12" s="212">
        <v>1.0241366999999999</v>
      </c>
      <c r="AM12" s="212">
        <v>1.8415123</v>
      </c>
      <c r="AN12" s="212">
        <v>8.3456343000000004</v>
      </c>
      <c r="AO12" s="212">
        <v>1.7036682000000001</v>
      </c>
      <c r="AP12" s="212">
        <v>1.6980474000000001</v>
      </c>
      <c r="AQ12" s="212">
        <v>2.3671527999999999</v>
      </c>
      <c r="AR12" s="212">
        <v>8.3157566999999997</v>
      </c>
      <c r="AS12" s="212">
        <v>379.68753409999999</v>
      </c>
      <c r="AT12" s="212">
        <v>1.2010795000000001</v>
      </c>
      <c r="AU12" s="212">
        <v>2.9290242000000002</v>
      </c>
      <c r="AV12" s="212">
        <v>2.4899353</v>
      </c>
      <c r="AW12" s="212">
        <v>1.5390014999999999</v>
      </c>
      <c r="AX12" s="212">
        <v>1.1670758000000001</v>
      </c>
      <c r="AY12" s="212">
        <v>2.4633767</v>
      </c>
      <c r="AZ12" s="212" t="s">
        <v>830</v>
      </c>
      <c r="BA12" s="212">
        <v>1.823956879</v>
      </c>
      <c r="BB12" s="212">
        <v>2.3503723999999999</v>
      </c>
      <c r="BC12" s="212">
        <v>2.9061159999999999</v>
      </c>
      <c r="BD12" s="212">
        <v>1.0511410000000001</v>
      </c>
      <c r="BE12" s="212">
        <v>1.03518</v>
      </c>
      <c r="BF12" s="212">
        <v>1.0247999999999999</v>
      </c>
      <c r="BG12" s="212">
        <v>1.0464279999999999</v>
      </c>
      <c r="BH12" s="212">
        <v>1.0307850000000001</v>
      </c>
      <c r="BI12" s="212">
        <v>1.172382</v>
      </c>
      <c r="BJ12" s="212">
        <v>1.055361</v>
      </c>
      <c r="BK12" s="212">
        <v>1.142717</v>
      </c>
      <c r="BL12" s="212">
        <v>1.1666570000000001</v>
      </c>
      <c r="BM12" s="212">
        <v>1.1657040000000001</v>
      </c>
      <c r="BN12" s="212">
        <v>1.041193</v>
      </c>
      <c r="BO12" s="212">
        <v>1.1355820000000001</v>
      </c>
      <c r="BP12" s="212">
        <v>2.5535359999999998</v>
      </c>
      <c r="BQ12" s="212">
        <v>1.330778</v>
      </c>
      <c r="BR12" s="212">
        <v>1.395662</v>
      </c>
      <c r="BS12" s="212">
        <v>1.2437800000000001</v>
      </c>
      <c r="BT12" s="212">
        <v>1.688618</v>
      </c>
      <c r="BU12" s="212">
        <v>1.649484</v>
      </c>
      <c r="BV12" s="212">
        <v>1.82786</v>
      </c>
      <c r="BW12" s="212">
        <v>1.673165</v>
      </c>
      <c r="BX12" s="212">
        <v>1.6444240000000001</v>
      </c>
      <c r="BY12" s="212">
        <v>1.6361250000000001</v>
      </c>
      <c r="BZ12" s="212">
        <v>1.8844799999999999</v>
      </c>
      <c r="CA12" s="212">
        <v>1.8236570000000001</v>
      </c>
      <c r="CB12" s="212">
        <v>1.8359859999999999</v>
      </c>
      <c r="CC12" s="212">
        <v>1.782651</v>
      </c>
      <c r="CD12" s="212">
        <v>1.783512</v>
      </c>
      <c r="CE12" s="212">
        <v>1.7339990000000001</v>
      </c>
      <c r="CF12" s="212">
        <v>1.06932</v>
      </c>
      <c r="CG12" s="212">
        <v>1.249398</v>
      </c>
      <c r="CH12" s="212">
        <v>1.261085</v>
      </c>
      <c r="CI12" s="212">
        <v>2.7628460000000001</v>
      </c>
      <c r="CJ12" s="212">
        <v>1.012961</v>
      </c>
      <c r="CK12" s="212">
        <v>1.098271</v>
      </c>
      <c r="CL12" s="212">
        <v>0.70885900000000002</v>
      </c>
      <c r="CM12" s="212">
        <v>3.132752</v>
      </c>
      <c r="CN12" s="212">
        <v>2.001382</v>
      </c>
      <c r="CO12" s="212">
        <v>1.031768</v>
      </c>
      <c r="CP12" s="212">
        <v>1.0091779999999999</v>
      </c>
      <c r="CQ12" s="212">
        <v>1.234548</v>
      </c>
      <c r="CR12" s="212">
        <v>13.465322</v>
      </c>
      <c r="CS12" s="212">
        <v>4.1960810000000004</v>
      </c>
      <c r="CT12" s="212">
        <v>1.930417</v>
      </c>
      <c r="CU12" s="212">
        <v>5.0973350000000002</v>
      </c>
      <c r="CV12" s="212">
        <v>9.0313119999999998</v>
      </c>
      <c r="CW12" s="212" t="s">
        <v>830</v>
      </c>
      <c r="CX12" s="212">
        <v>1.1790862267</v>
      </c>
      <c r="CY12" s="212">
        <v>1.978252814</v>
      </c>
      <c r="CZ12" s="212">
        <v>1.1275697060000001</v>
      </c>
      <c r="DA12" s="212">
        <v>13.990546986</v>
      </c>
      <c r="DB12" s="212">
        <v>1.0601</v>
      </c>
      <c r="DC12" s="212">
        <v>1.048916</v>
      </c>
      <c r="DD12" s="212">
        <v>1.846967</v>
      </c>
      <c r="DE12" s="212">
        <v>1.808117</v>
      </c>
      <c r="DF12" s="212">
        <v>1.7165980000000001</v>
      </c>
      <c r="DG12" s="212">
        <v>1.0144186100000001</v>
      </c>
      <c r="DH12" s="212">
        <v>120.97775264000001</v>
      </c>
      <c r="DI12" s="212">
        <v>0.25121500000000002</v>
      </c>
      <c r="DJ12" s="212">
        <v>2.0100372000000002</v>
      </c>
      <c r="DK12" s="212">
        <v>1.8761979799999999</v>
      </c>
      <c r="DL12" s="212">
        <v>146894.61004</v>
      </c>
      <c r="DM12" s="212">
        <v>311.9727666</v>
      </c>
      <c r="DN12" s="212">
        <v>17.702692800000001</v>
      </c>
      <c r="DO12" s="212" t="s">
        <v>830</v>
      </c>
      <c r="DP12" s="212">
        <v>18134204.649</v>
      </c>
      <c r="DQ12" s="212">
        <v>1.6080665999999999</v>
      </c>
      <c r="DR12" s="212">
        <v>14.293694199999999</v>
      </c>
      <c r="DS12" s="212">
        <v>20.902982699999999</v>
      </c>
      <c r="DT12" s="212">
        <v>1.7616422</v>
      </c>
      <c r="DU12" s="212">
        <v>1.1456995999999999</v>
      </c>
      <c r="DV12" s="212">
        <v>1633.5362983</v>
      </c>
      <c r="DW12" s="212">
        <v>23177.177111000001</v>
      </c>
      <c r="DX12" s="212">
        <v>0.84879902100000004</v>
      </c>
      <c r="DY12" s="212">
        <v>10.929073000000001</v>
      </c>
      <c r="DZ12" s="212">
        <v>218.86590000000001</v>
      </c>
      <c r="EA12" s="212">
        <v>17.493891999999999</v>
      </c>
      <c r="EB12" s="212">
        <v>20.148800999999999</v>
      </c>
      <c r="EC12" s="212">
        <v>19.028065999999999</v>
      </c>
      <c r="ED12" s="212">
        <v>2174.3629380000002</v>
      </c>
      <c r="EE12" s="212">
        <v>22.277213</v>
      </c>
      <c r="EF12" s="212">
        <v>33.355922999999997</v>
      </c>
      <c r="EG12" s="212">
        <v>1.4362257</v>
      </c>
      <c r="EH12" s="212">
        <v>0.67480459999999998</v>
      </c>
      <c r="EI12" s="212">
        <v>1.1576500000000001</v>
      </c>
      <c r="EJ12" s="212">
        <v>1.91791512</v>
      </c>
      <c r="EK12" s="212">
        <v>1.5932232</v>
      </c>
      <c r="EL12" s="212">
        <v>2.6747595</v>
      </c>
      <c r="EM12">
        <v>1.2652414000000001</v>
      </c>
      <c r="EN12">
        <v>2.2165708</v>
      </c>
      <c r="EO12">
        <v>1.3578825999999999</v>
      </c>
      <c r="EP12">
        <v>252.38258200000001</v>
      </c>
      <c r="EQ12">
        <v>181.64246499999999</v>
      </c>
      <c r="ER12">
        <v>15.6188459</v>
      </c>
      <c r="ES12">
        <v>14.003255899999999</v>
      </c>
      <c r="ET12">
        <v>8.5863311000000007</v>
      </c>
      <c r="EU12">
        <v>187.03859410000001</v>
      </c>
      <c r="EV12">
        <v>121.049549</v>
      </c>
      <c r="EW12">
        <v>17.1953274</v>
      </c>
      <c r="EX12">
        <v>99.591736800000007</v>
      </c>
      <c r="EY12">
        <v>2.6595985</v>
      </c>
      <c r="EZ12">
        <v>2243.4001506</v>
      </c>
      <c r="FA12" s="223">
        <v>8.2009410000000003</v>
      </c>
      <c r="FB12" s="223">
        <v>1.0791491</v>
      </c>
      <c r="FC12" s="223">
        <v>1.9279757</v>
      </c>
      <c r="FD12">
        <v>2.7567834000000002</v>
      </c>
      <c r="FE12">
        <v>1.202148</v>
      </c>
      <c r="FF12">
        <v>1.5942959999999999</v>
      </c>
      <c r="FG12">
        <v>0.84806345000000005</v>
      </c>
      <c r="FH12">
        <v>1.1056512300000001</v>
      </c>
      <c r="FI12">
        <v>0.83967612999999997</v>
      </c>
      <c r="FJ12">
        <v>104.19244592</v>
      </c>
    </row>
    <row r="13" spans="1:166" x14ac:dyDescent="0.3">
      <c r="A13" s="223">
        <v>12</v>
      </c>
      <c r="B13" s="315">
        <v>42327</v>
      </c>
      <c r="C13" s="212">
        <v>1018224.1888</v>
      </c>
      <c r="D13" s="212">
        <v>104.61647868999999</v>
      </c>
      <c r="E13" s="212">
        <v>1.4695284</v>
      </c>
      <c r="F13" s="212">
        <v>7.2503093999999999</v>
      </c>
      <c r="G13" s="212">
        <v>4.4410328656000004</v>
      </c>
      <c r="H13" s="212">
        <v>4.292431594</v>
      </c>
      <c r="I13" s="212">
        <v>1.082639793</v>
      </c>
      <c r="J13" s="212">
        <v>4.2461849999999997</v>
      </c>
      <c r="K13" s="212">
        <v>3.0291619999999999</v>
      </c>
      <c r="L13" s="212">
        <v>10.354167291</v>
      </c>
      <c r="M13" s="212">
        <v>1.007190155</v>
      </c>
      <c r="N13" s="212">
        <v>1.341871461</v>
      </c>
      <c r="O13" s="212">
        <v>1.918695617</v>
      </c>
      <c r="P13" s="212">
        <v>1.2686017409999999</v>
      </c>
      <c r="Q13" s="212">
        <v>1.5087930000000001</v>
      </c>
      <c r="R13" s="212">
        <v>1.6902966109999999</v>
      </c>
      <c r="S13" s="212">
        <v>11.819312999999999</v>
      </c>
      <c r="T13" s="212">
        <v>2.8523545330000002</v>
      </c>
      <c r="U13" s="212">
        <v>3.2156146159999999</v>
      </c>
      <c r="V13" s="212">
        <v>1.5866668880000001</v>
      </c>
      <c r="W13" s="212">
        <v>1.3191958260000001</v>
      </c>
      <c r="X13" s="212">
        <v>3.3075006450000002</v>
      </c>
      <c r="Y13" s="212">
        <v>1.799329</v>
      </c>
      <c r="Z13" s="212">
        <v>1.5705960000000001</v>
      </c>
      <c r="AA13" s="212">
        <v>1.2770672890000001</v>
      </c>
      <c r="AB13" s="212">
        <v>1.0903860480000001</v>
      </c>
      <c r="AC13" s="212">
        <v>1.0993634370000001</v>
      </c>
      <c r="AD13" s="212">
        <v>1.2724236929999999</v>
      </c>
      <c r="AE13" s="212">
        <v>1.270369131</v>
      </c>
      <c r="AF13" s="212">
        <v>1.23901141</v>
      </c>
      <c r="AG13" s="212">
        <v>9.0245207319999992</v>
      </c>
      <c r="AH13" s="212">
        <v>1.705475804</v>
      </c>
      <c r="AI13" s="212">
        <v>3.6642700000000001</v>
      </c>
      <c r="AJ13" s="212">
        <v>2.3137080000000001</v>
      </c>
      <c r="AK13" s="212">
        <v>188.77579832999999</v>
      </c>
      <c r="AL13" s="212">
        <v>1.0288031</v>
      </c>
      <c r="AM13" s="212">
        <v>1.8524944999999999</v>
      </c>
      <c r="AN13" s="212">
        <v>8.3499873000000004</v>
      </c>
      <c r="AO13" s="212">
        <v>1.7050213000000001</v>
      </c>
      <c r="AP13" s="212">
        <v>1.6993875000000001</v>
      </c>
      <c r="AQ13" s="212">
        <v>2.3683744999999998</v>
      </c>
      <c r="AR13" s="212">
        <v>8.3200721000000009</v>
      </c>
      <c r="AS13" s="212">
        <v>385.33274890000001</v>
      </c>
      <c r="AT13" s="212">
        <v>1.2160603000000001</v>
      </c>
      <c r="AU13" s="212">
        <v>2.9304559999999999</v>
      </c>
      <c r="AV13" s="212">
        <v>2.5045001999999998</v>
      </c>
      <c r="AW13" s="212">
        <v>1.5505034</v>
      </c>
      <c r="AX13" s="212">
        <v>1.1708795999999999</v>
      </c>
      <c r="AY13" s="212">
        <v>2.4733339000000001</v>
      </c>
      <c r="AZ13" s="212" t="s">
        <v>830</v>
      </c>
      <c r="BA13" s="212">
        <v>1.8248937629999999</v>
      </c>
      <c r="BB13" s="212">
        <v>2.3651393000000001</v>
      </c>
      <c r="BC13" s="212">
        <v>2.9082379999999999</v>
      </c>
      <c r="BD13" s="212">
        <v>1.052182</v>
      </c>
      <c r="BE13" s="212">
        <v>1.036206</v>
      </c>
      <c r="BF13" s="212">
        <v>1.0258149999999999</v>
      </c>
      <c r="BG13" s="212">
        <v>1.047464</v>
      </c>
      <c r="BH13" s="212">
        <v>1.0318050000000001</v>
      </c>
      <c r="BI13" s="212">
        <v>1.17302</v>
      </c>
      <c r="BJ13" s="212">
        <v>1.0588150000000001</v>
      </c>
      <c r="BK13" s="212">
        <v>1.1493709999999999</v>
      </c>
      <c r="BL13" s="212">
        <v>1.167289</v>
      </c>
      <c r="BM13" s="212">
        <v>1.1663399999999999</v>
      </c>
      <c r="BN13" s="212">
        <v>1.048959</v>
      </c>
      <c r="BO13" s="212">
        <v>1.1433530000000001</v>
      </c>
      <c r="BP13" s="212">
        <v>2.5552429999999999</v>
      </c>
      <c r="BQ13" s="212">
        <v>1.3314330000000001</v>
      </c>
      <c r="BR13" s="212">
        <v>1.3994819999999999</v>
      </c>
      <c r="BS13" s="212">
        <v>1.25312</v>
      </c>
      <c r="BT13" s="212">
        <v>1.695514</v>
      </c>
      <c r="BU13" s="212">
        <v>1.650766</v>
      </c>
      <c r="BV13" s="212">
        <v>1.8288139999999999</v>
      </c>
      <c r="BW13" s="212">
        <v>1.6743380000000001</v>
      </c>
      <c r="BX13" s="212">
        <v>1.6452519999999999</v>
      </c>
      <c r="BY13" s="212">
        <v>1.6369899999999999</v>
      </c>
      <c r="BZ13" s="212">
        <v>1.885707</v>
      </c>
      <c r="CA13" s="212">
        <v>1.8246089999999999</v>
      </c>
      <c r="CB13" s="212">
        <v>1.836991</v>
      </c>
      <c r="CC13" s="212">
        <v>1.783717</v>
      </c>
      <c r="CD13" s="212">
        <v>1.7845789999999999</v>
      </c>
      <c r="CE13" s="212">
        <v>1.7351319999999999</v>
      </c>
      <c r="CF13" s="212">
        <v>1.0706519999999999</v>
      </c>
      <c r="CG13" s="212">
        <v>1.257782</v>
      </c>
      <c r="CH13" s="212">
        <v>1.266761</v>
      </c>
      <c r="CI13" s="212">
        <v>2.764923</v>
      </c>
      <c r="CJ13" s="212">
        <v>1.027674</v>
      </c>
      <c r="CK13" s="212">
        <v>1.1142240000000001</v>
      </c>
      <c r="CL13" s="212">
        <v>0.71839299999999995</v>
      </c>
      <c r="CM13" s="212">
        <v>3.1784859999999999</v>
      </c>
      <c r="CN13" s="212">
        <v>1.993053</v>
      </c>
      <c r="CO13" s="212">
        <v>1.0393330000000001</v>
      </c>
      <c r="CP13" s="212">
        <v>1.0159990000000001</v>
      </c>
      <c r="CQ13" s="212">
        <v>1.235188</v>
      </c>
      <c r="CR13" s="212">
        <v>13.471551</v>
      </c>
      <c r="CS13" s="212">
        <v>4.1991839999999998</v>
      </c>
      <c r="CT13" s="212">
        <v>1.9400630000000001</v>
      </c>
      <c r="CU13" s="212">
        <v>5.0989979999999999</v>
      </c>
      <c r="CV13" s="212">
        <v>9.0354939999999999</v>
      </c>
      <c r="CW13" s="212" t="s">
        <v>830</v>
      </c>
      <c r="CX13" s="212">
        <v>1.1797002129</v>
      </c>
      <c r="CY13" s="212">
        <v>1.9803863387</v>
      </c>
      <c r="CZ13" s="212">
        <v>1.1284402009000001</v>
      </c>
      <c r="DA13" s="212">
        <v>13.997645869999999</v>
      </c>
      <c r="DB13" s="212">
        <v>1.06115</v>
      </c>
      <c r="DC13" s="212">
        <v>1.0523499999999999</v>
      </c>
      <c r="DD13" s="212">
        <v>1.853048</v>
      </c>
      <c r="DE13" s="212">
        <v>1.8193809999999999</v>
      </c>
      <c r="DF13" s="212">
        <v>1.718205</v>
      </c>
      <c r="DG13" s="212">
        <v>1.01908993</v>
      </c>
      <c r="DH13" s="212">
        <v>121.04948288999999</v>
      </c>
      <c r="DI13" s="212">
        <v>0.25138005000000002</v>
      </c>
      <c r="DJ13" s="212">
        <v>2.0109647000000002</v>
      </c>
      <c r="DK13" s="212">
        <v>1.88445146</v>
      </c>
      <c r="DL13" s="212">
        <v>146991.00239000001</v>
      </c>
      <c r="DM13" s="212">
        <v>312.13860579999999</v>
      </c>
      <c r="DN13" s="212">
        <v>17.713659100000001</v>
      </c>
      <c r="DO13" s="212" t="s">
        <v>830</v>
      </c>
      <c r="DP13" s="212">
        <v>18133017.039000001</v>
      </c>
      <c r="DQ13" s="212">
        <v>1.6147644999999999</v>
      </c>
      <c r="DR13" s="212">
        <v>14.300774799999999</v>
      </c>
      <c r="DS13" s="212">
        <v>20.914065799999999</v>
      </c>
      <c r="DT13" s="212">
        <v>1.7669923000000001</v>
      </c>
      <c r="DU13" s="212">
        <v>1.1592003</v>
      </c>
      <c r="DV13" s="212">
        <v>1634.4761059</v>
      </c>
      <c r="DW13" s="212">
        <v>23174.157655999999</v>
      </c>
      <c r="DX13" s="212">
        <v>0.82611039799999997</v>
      </c>
      <c r="DY13" s="212">
        <v>11.075619</v>
      </c>
      <c r="DZ13" s="212">
        <v>219.00013000000001</v>
      </c>
      <c r="EA13" s="212">
        <v>17.568209</v>
      </c>
      <c r="EB13" s="212">
        <v>20.212056</v>
      </c>
      <c r="EC13" s="212">
        <v>19.139975</v>
      </c>
      <c r="ED13" s="212">
        <v>2175.5033020000001</v>
      </c>
      <c r="EE13" s="212">
        <v>22.292010999999999</v>
      </c>
      <c r="EF13" s="212">
        <v>33.373233999999997</v>
      </c>
      <c r="EG13" s="212">
        <v>1.4260079999999999</v>
      </c>
      <c r="EH13" s="212">
        <v>0.67517870000000002</v>
      </c>
      <c r="EI13" s="212">
        <v>1.1599440000000001</v>
      </c>
      <c r="EJ13" s="212">
        <v>1.91905159</v>
      </c>
      <c r="EK13" s="212">
        <v>1.5939354999999999</v>
      </c>
      <c r="EL13" s="212">
        <v>2.6759556</v>
      </c>
      <c r="EM13">
        <v>1.26530554</v>
      </c>
      <c r="EN13">
        <v>2.2178494999999998</v>
      </c>
      <c r="EO13">
        <v>1.3585001000000001</v>
      </c>
      <c r="EP13">
        <v>252.73147900000001</v>
      </c>
      <c r="EQ13">
        <v>182.64353</v>
      </c>
      <c r="ER13">
        <v>15.668067799999999</v>
      </c>
      <c r="ES13">
        <v>14.086251499999999</v>
      </c>
      <c r="ET13">
        <v>8.5908496999999997</v>
      </c>
      <c r="EU13">
        <v>188.14571169999999</v>
      </c>
      <c r="EV13">
        <v>121.2621331</v>
      </c>
      <c r="EW13">
        <v>17.210602900000001</v>
      </c>
      <c r="EX13">
        <v>99.641002999999998</v>
      </c>
      <c r="EY13">
        <v>2.6567940000000001</v>
      </c>
      <c r="EZ13">
        <v>2244.5402961</v>
      </c>
      <c r="FA13" s="223">
        <v>8.2044589999999999</v>
      </c>
      <c r="FB13" s="223">
        <v>1.0973706999999999</v>
      </c>
      <c r="FC13" s="223">
        <v>1.9389436</v>
      </c>
      <c r="FD13">
        <v>2.7581810999999998</v>
      </c>
      <c r="FE13">
        <v>1.2032916</v>
      </c>
      <c r="FF13">
        <v>1.6011899000000001</v>
      </c>
      <c r="FG13">
        <v>0.85712582000000004</v>
      </c>
      <c r="FH13">
        <v>1.10646003</v>
      </c>
      <c r="FI13">
        <v>0.83961083999999997</v>
      </c>
      <c r="FJ13">
        <v>104.58328783</v>
      </c>
    </row>
    <row r="14" spans="1:166" x14ac:dyDescent="0.3">
      <c r="A14" s="223">
        <v>13</v>
      </c>
      <c r="B14" s="315">
        <v>42328</v>
      </c>
      <c r="C14" s="212">
        <v>1018157.9743</v>
      </c>
      <c r="D14" s="212">
        <v>104.61235255</v>
      </c>
      <c r="E14" s="212">
        <v>1.4709018</v>
      </c>
      <c r="F14" s="212">
        <v>7.2496314000000002</v>
      </c>
      <c r="G14" s="212">
        <v>4.4679310517999999</v>
      </c>
      <c r="H14" s="212">
        <v>4.2921727399999998</v>
      </c>
      <c r="I14" s="212">
        <v>1.0826569530000001</v>
      </c>
      <c r="J14" s="212">
        <v>4.2483599999999999</v>
      </c>
      <c r="K14" s="212">
        <v>3.0302639999999998</v>
      </c>
      <c r="L14" s="212">
        <v>10.358775680999999</v>
      </c>
      <c r="M14" s="212">
        <v>1.0071388720000001</v>
      </c>
      <c r="N14" s="212">
        <v>1.3418186620000001</v>
      </c>
      <c r="O14" s="212">
        <v>1.9196662790000001</v>
      </c>
      <c r="P14" s="212">
        <v>1.2696134889999999</v>
      </c>
      <c r="Q14" s="212">
        <v>1.509755</v>
      </c>
      <c r="R14" s="212">
        <v>1.69195696</v>
      </c>
      <c r="S14" s="212">
        <v>11.830829</v>
      </c>
      <c r="T14" s="212">
        <v>2.8551446189999998</v>
      </c>
      <c r="U14" s="212">
        <v>3.2188389850000001</v>
      </c>
      <c r="V14" s="212">
        <v>1.5882701829999999</v>
      </c>
      <c r="W14" s="212">
        <v>1.32009943</v>
      </c>
      <c r="X14" s="212">
        <v>3.3092684270000001</v>
      </c>
      <c r="Y14" s="212">
        <v>1.8002530000000001</v>
      </c>
      <c r="Z14" s="212">
        <v>1.5714399999999999</v>
      </c>
      <c r="AA14" s="212">
        <v>1.278370134</v>
      </c>
      <c r="AB14" s="212">
        <v>1.0914410910000001</v>
      </c>
      <c r="AC14" s="212">
        <v>1.100446182</v>
      </c>
      <c r="AD14" s="212">
        <v>1.2736908419999999</v>
      </c>
      <c r="AE14" s="212">
        <v>1.271634943</v>
      </c>
      <c r="AF14" s="212">
        <v>1.2402708419999999</v>
      </c>
      <c r="AG14" s="212">
        <v>9.0291261299999999</v>
      </c>
      <c r="AH14" s="212">
        <v>1.70675474</v>
      </c>
      <c r="AI14" s="212">
        <v>3.6660689999999998</v>
      </c>
      <c r="AJ14" s="212">
        <v>2.3159360000000002</v>
      </c>
      <c r="AK14" s="212">
        <v>188.89461521000001</v>
      </c>
      <c r="AL14" s="212">
        <v>1.0298342</v>
      </c>
      <c r="AM14" s="212">
        <v>1.8543472000000001</v>
      </c>
      <c r="AN14" s="212">
        <v>8.3542880999999998</v>
      </c>
      <c r="AO14" s="212">
        <v>1.7072182</v>
      </c>
      <c r="AP14" s="212">
        <v>1.7015678000000001</v>
      </c>
      <c r="AQ14" s="212">
        <v>2.3695968999999999</v>
      </c>
      <c r="AR14" s="212">
        <v>8.3243878000000002</v>
      </c>
      <c r="AS14" s="212">
        <v>385.3256561</v>
      </c>
      <c r="AT14" s="212">
        <v>1.2160324</v>
      </c>
      <c r="AU14" s="212">
        <v>2.9318878000000002</v>
      </c>
      <c r="AV14" s="212">
        <v>2.5070036</v>
      </c>
      <c r="AW14" s="212">
        <v>1.5520757999999999</v>
      </c>
      <c r="AX14" s="212">
        <v>1.1720128000000001</v>
      </c>
      <c r="AY14" s="212">
        <v>2.4753400999999999</v>
      </c>
      <c r="AZ14" s="212" t="s">
        <v>830</v>
      </c>
      <c r="BA14" s="212">
        <v>1.8258320939999999</v>
      </c>
      <c r="BB14" s="212">
        <v>2.3675139000000001</v>
      </c>
      <c r="BC14" s="212">
        <v>2.9097409999999999</v>
      </c>
      <c r="BD14" s="212">
        <v>1.053196</v>
      </c>
      <c r="BE14" s="212">
        <v>1.037204</v>
      </c>
      <c r="BF14" s="212">
        <v>1.0268029999999999</v>
      </c>
      <c r="BG14" s="212">
        <v>1.048473</v>
      </c>
      <c r="BH14" s="212">
        <v>1.0327980000000001</v>
      </c>
      <c r="BI14" s="212">
        <v>1.1741900000000001</v>
      </c>
      <c r="BJ14" s="212">
        <v>1.059869</v>
      </c>
      <c r="BK14" s="212">
        <v>1.1505350000000001</v>
      </c>
      <c r="BL14" s="212">
        <v>1.1684509999999999</v>
      </c>
      <c r="BM14" s="212">
        <v>1.167505</v>
      </c>
      <c r="BN14" s="212">
        <v>1.050022</v>
      </c>
      <c r="BO14" s="212">
        <v>1.144509</v>
      </c>
      <c r="BP14" s="212">
        <v>2.556584</v>
      </c>
      <c r="BQ14" s="212">
        <v>1.332087</v>
      </c>
      <c r="BR14" s="212">
        <v>1.400854</v>
      </c>
      <c r="BS14" s="212">
        <v>1.254378</v>
      </c>
      <c r="BT14" s="212">
        <v>1.696682</v>
      </c>
      <c r="BU14" s="212">
        <v>1.6522380000000001</v>
      </c>
      <c r="BV14" s="212">
        <v>1.831064</v>
      </c>
      <c r="BW14" s="212">
        <v>1.675467</v>
      </c>
      <c r="BX14" s="212">
        <v>1.646936</v>
      </c>
      <c r="BY14" s="212">
        <v>1.6381110000000001</v>
      </c>
      <c r="BZ14" s="212">
        <v>1.8871549999999999</v>
      </c>
      <c r="CA14" s="212">
        <v>1.82605</v>
      </c>
      <c r="CB14" s="212">
        <v>1.839655</v>
      </c>
      <c r="CC14" s="212">
        <v>1.7847839999999999</v>
      </c>
      <c r="CD14" s="212">
        <v>1.7856460000000001</v>
      </c>
      <c r="CE14" s="212">
        <v>1.736194</v>
      </c>
      <c r="CF14" s="212">
        <v>1.07134</v>
      </c>
      <c r="CG14" s="212">
        <v>1.2584420000000001</v>
      </c>
      <c r="CH14" s="212">
        <v>1.2674190000000001</v>
      </c>
      <c r="CI14" s="212">
        <v>2.7663540000000002</v>
      </c>
      <c r="CJ14" s="212">
        <v>1.0276639999999999</v>
      </c>
      <c r="CK14" s="212">
        <v>1.114223</v>
      </c>
      <c r="CL14" s="212">
        <v>0.71837300000000004</v>
      </c>
      <c r="CM14" s="212">
        <v>3.1779860000000002</v>
      </c>
      <c r="CN14" s="212">
        <v>1.993052</v>
      </c>
      <c r="CO14" s="212">
        <v>1.039344</v>
      </c>
      <c r="CP14" s="212">
        <v>1.0160640000000001</v>
      </c>
      <c r="CQ14" s="212">
        <v>1.23583</v>
      </c>
      <c r="CR14" s="212">
        <v>13.477805999999999</v>
      </c>
      <c r="CS14" s="212">
        <v>4.2011799999999999</v>
      </c>
      <c r="CT14" s="212">
        <v>1.942239</v>
      </c>
      <c r="CU14" s="212">
        <v>5.1006619999999998</v>
      </c>
      <c r="CV14" s="212">
        <v>9.0396929999999998</v>
      </c>
      <c r="CW14" s="212" t="s">
        <v>830</v>
      </c>
      <c r="CX14" s="212">
        <v>1.1803149504999999</v>
      </c>
      <c r="CY14" s="212">
        <v>1.9925315727999999</v>
      </c>
      <c r="CZ14" s="212">
        <v>1.1290294051</v>
      </c>
      <c r="DA14" s="212">
        <v>14.004725465</v>
      </c>
      <c r="DB14" s="212">
        <v>1.062173</v>
      </c>
      <c r="DC14" s="212">
        <v>1.0533980000000001</v>
      </c>
      <c r="DD14" s="212">
        <v>1.8548750000000001</v>
      </c>
      <c r="DE14" s="212">
        <v>1.821194</v>
      </c>
      <c r="DF14" s="212">
        <v>1.7190970000000001</v>
      </c>
      <c r="DG14" s="212">
        <v>1.0198501799999999</v>
      </c>
      <c r="DH14" s="212">
        <v>121.12129636</v>
      </c>
      <c r="DI14" s="212">
        <v>0.25145146000000002</v>
      </c>
      <c r="DJ14" s="212">
        <v>2.0118942</v>
      </c>
      <c r="DK14" s="212">
        <v>1.8851577500000001</v>
      </c>
      <c r="DL14" s="212">
        <v>147087.45827999999</v>
      </c>
      <c r="DM14" s="212">
        <v>312.3046081</v>
      </c>
      <c r="DN14" s="212">
        <v>17.724629100000001</v>
      </c>
      <c r="DO14" s="212" t="s">
        <v>830</v>
      </c>
      <c r="DP14" s="212">
        <v>18131783.372000001</v>
      </c>
      <c r="DQ14" s="212">
        <v>1.6146883000000001</v>
      </c>
      <c r="DR14" s="212">
        <v>14.307858899999999</v>
      </c>
      <c r="DS14" s="212">
        <v>20.925322600000001</v>
      </c>
      <c r="DT14" s="212">
        <v>1.7677700000000001</v>
      </c>
      <c r="DU14" s="212">
        <v>1.1591381999999999</v>
      </c>
      <c r="DV14" s="212">
        <v>1635.4162827</v>
      </c>
      <c r="DW14" s="212">
        <v>23171.138060000001</v>
      </c>
      <c r="DX14" s="212">
        <v>0.82674208800000004</v>
      </c>
      <c r="DY14" s="212">
        <v>11.074745999999999</v>
      </c>
      <c r="DZ14" s="212">
        <v>219.116142</v>
      </c>
      <c r="EA14" s="212">
        <v>17.577573000000001</v>
      </c>
      <c r="EB14" s="212">
        <v>20.231862</v>
      </c>
      <c r="EC14" s="212">
        <v>19.159081</v>
      </c>
      <c r="ED14" s="212">
        <v>2176.6268279999999</v>
      </c>
      <c r="EE14" s="212">
        <v>22.311723000000001</v>
      </c>
      <c r="EF14" s="212">
        <v>33.390546000000001</v>
      </c>
      <c r="EG14" s="212">
        <v>1.4260486999999999</v>
      </c>
      <c r="EH14" s="212">
        <v>0.67598990000000003</v>
      </c>
      <c r="EI14" s="212">
        <v>1.1608959999999999</v>
      </c>
      <c r="EJ14" s="212">
        <v>1.92316244</v>
      </c>
      <c r="EK14" s="212">
        <v>1.5945805</v>
      </c>
      <c r="EL14" s="212">
        <v>2.6770387000000002</v>
      </c>
      <c r="EM14">
        <v>1.26547096</v>
      </c>
      <c r="EN14">
        <v>2.2201353699999999</v>
      </c>
      <c r="EO14">
        <v>1.3591323</v>
      </c>
      <c r="EP14">
        <v>252.895456</v>
      </c>
      <c r="EQ14">
        <v>182.82312200000001</v>
      </c>
      <c r="ER14">
        <v>15.6838409</v>
      </c>
      <c r="ES14">
        <v>14.100411899999999</v>
      </c>
      <c r="ET14">
        <v>8.5953634999999995</v>
      </c>
      <c r="EU14">
        <v>188.33327850000001</v>
      </c>
      <c r="EV14">
        <v>121.25328210000001</v>
      </c>
      <c r="EW14">
        <v>17.219305500000001</v>
      </c>
      <c r="EX14">
        <v>99.690208999999996</v>
      </c>
      <c r="EY14">
        <v>2.6564611</v>
      </c>
      <c r="EZ14">
        <v>2245.6709823000001</v>
      </c>
      <c r="FA14" s="223">
        <v>8.2079719999999998</v>
      </c>
      <c r="FB14" s="223">
        <v>1.0972321</v>
      </c>
      <c r="FC14" s="223">
        <v>1.9408616000000001</v>
      </c>
      <c r="FD14">
        <v>2.7595801</v>
      </c>
      <c r="FE14">
        <v>1.2039245000000001</v>
      </c>
      <c r="FF14">
        <v>1.6020650000000001</v>
      </c>
      <c r="FG14">
        <v>0.85706260000000001</v>
      </c>
      <c r="FH14">
        <v>1.10752293</v>
      </c>
      <c r="FI14">
        <v>0.83954403</v>
      </c>
      <c r="FJ14">
        <v>105.59412857</v>
      </c>
    </row>
    <row r="15" spans="1:166" x14ac:dyDescent="0.3">
      <c r="A15" s="223">
        <v>14</v>
      </c>
      <c r="B15" s="315">
        <v>42331</v>
      </c>
      <c r="C15" s="212">
        <v>1018091.7524999999</v>
      </c>
      <c r="D15" s="212">
        <v>104.70458819</v>
      </c>
      <c r="E15" s="212">
        <v>1.4721077</v>
      </c>
      <c r="F15" s="212">
        <v>7.2608689999999996</v>
      </c>
      <c r="G15" s="212">
        <v>4.4709232553999998</v>
      </c>
      <c r="H15" s="212">
        <v>4.3463899399999999</v>
      </c>
      <c r="I15" s="212">
        <v>1.082483737</v>
      </c>
      <c r="J15" s="212">
        <v>4.250534</v>
      </c>
      <c r="K15" s="212">
        <v>3.0313720000000002</v>
      </c>
      <c r="L15" s="212">
        <v>10.363314229</v>
      </c>
      <c r="M15" s="212">
        <v>1.00963636</v>
      </c>
      <c r="N15" s="212">
        <v>1.3428551520000001</v>
      </c>
      <c r="O15" s="212">
        <v>1.9204980899999999</v>
      </c>
      <c r="P15" s="212">
        <v>1.2706074629999999</v>
      </c>
      <c r="Q15" s="212">
        <v>1.510502</v>
      </c>
      <c r="R15" s="212">
        <v>1.6942469659999999</v>
      </c>
      <c r="S15" s="212">
        <v>11.845473999999999</v>
      </c>
      <c r="T15" s="212">
        <v>2.8558455509999998</v>
      </c>
      <c r="U15" s="212">
        <v>3.2197986749999998</v>
      </c>
      <c r="V15" s="212">
        <v>1.587811767</v>
      </c>
      <c r="W15" s="212">
        <v>1.3213167219999999</v>
      </c>
      <c r="X15" s="212">
        <v>3.314868825</v>
      </c>
      <c r="Y15" s="212">
        <v>1.8015060000000001</v>
      </c>
      <c r="Z15" s="212">
        <v>1.5722719999999999</v>
      </c>
      <c r="AA15" s="212">
        <v>1.279696347</v>
      </c>
      <c r="AB15" s="212">
        <v>1.09252247</v>
      </c>
      <c r="AC15" s="212">
        <v>1.101707679</v>
      </c>
      <c r="AD15" s="212">
        <v>1.274526595</v>
      </c>
      <c r="AE15" s="212">
        <v>1.2724702640000001</v>
      </c>
      <c r="AF15" s="212">
        <v>1.2410602019999999</v>
      </c>
      <c r="AG15" s="212">
        <v>9.0337472549999998</v>
      </c>
      <c r="AH15" s="212">
        <v>1.7082366950000001</v>
      </c>
      <c r="AI15" s="212">
        <v>3.6681270000000001</v>
      </c>
      <c r="AJ15" s="212">
        <v>2.3169979999999999</v>
      </c>
      <c r="AK15" s="212">
        <v>189.09497668</v>
      </c>
      <c r="AL15" s="212">
        <v>1.0311423</v>
      </c>
      <c r="AM15" s="212">
        <v>1.8549108999999999</v>
      </c>
      <c r="AN15" s="212">
        <v>8.3586706</v>
      </c>
      <c r="AO15" s="212">
        <v>1.7081043</v>
      </c>
      <c r="AP15" s="212">
        <v>1.7024474999999999</v>
      </c>
      <c r="AQ15" s="212">
        <v>2.3708206999999999</v>
      </c>
      <c r="AR15" s="212">
        <v>8.3287081000000001</v>
      </c>
      <c r="AS15" s="212">
        <v>385.4075823</v>
      </c>
      <c r="AT15" s="212">
        <v>1.2082641000000001</v>
      </c>
      <c r="AU15" s="212">
        <v>2.9333212999999998</v>
      </c>
      <c r="AV15" s="212">
        <v>2.5074629000000002</v>
      </c>
      <c r="AW15" s="212">
        <v>1.5516099000000001</v>
      </c>
      <c r="AX15" s="212">
        <v>1.1734359999999999</v>
      </c>
      <c r="AY15" s="212">
        <v>2.4777399999999998</v>
      </c>
      <c r="AZ15" s="212" t="s">
        <v>830</v>
      </c>
      <c r="BA15" s="212">
        <v>1.8267671539999999</v>
      </c>
      <c r="BB15" s="212">
        <v>2.3685312999999999</v>
      </c>
      <c r="BC15" s="212">
        <v>2.9115609999999998</v>
      </c>
      <c r="BD15" s="212">
        <v>1.0541370000000001</v>
      </c>
      <c r="BE15" s="212">
        <v>1.0381309999999999</v>
      </c>
      <c r="BF15" s="212">
        <v>1.0277210000000001</v>
      </c>
      <c r="BG15" s="212">
        <v>1.04941</v>
      </c>
      <c r="BH15" s="212">
        <v>1.0337209999999999</v>
      </c>
      <c r="BI15" s="212">
        <v>1.1749620000000001</v>
      </c>
      <c r="BJ15" s="212">
        <v>1.0615479999999999</v>
      </c>
      <c r="BK15" s="212">
        <v>1.1521140000000001</v>
      </c>
      <c r="BL15" s="212">
        <v>1.169216</v>
      </c>
      <c r="BM15" s="212">
        <v>1.168274</v>
      </c>
      <c r="BN15" s="212">
        <v>1.0494730000000001</v>
      </c>
      <c r="BO15" s="212">
        <v>1.144245</v>
      </c>
      <c r="BP15" s="212">
        <v>2.5579149999999999</v>
      </c>
      <c r="BQ15" s="212">
        <v>1.3327420000000001</v>
      </c>
      <c r="BR15" s="212">
        <v>1.4027259999999999</v>
      </c>
      <c r="BS15" s="212">
        <v>1.253924</v>
      </c>
      <c r="BT15" s="212">
        <v>1.698426</v>
      </c>
      <c r="BU15" s="212">
        <v>1.6533059999999999</v>
      </c>
      <c r="BV15" s="212">
        <v>1.832182</v>
      </c>
      <c r="BW15" s="212">
        <v>1.6765859999999999</v>
      </c>
      <c r="BX15" s="212">
        <v>1.6480570000000001</v>
      </c>
      <c r="BY15" s="212">
        <v>1.639138</v>
      </c>
      <c r="BZ15" s="212">
        <v>1.8883430000000001</v>
      </c>
      <c r="CA15" s="212">
        <v>1.8271660000000001</v>
      </c>
      <c r="CB15" s="212">
        <v>1.840846</v>
      </c>
      <c r="CC15" s="212">
        <v>1.785852</v>
      </c>
      <c r="CD15" s="212">
        <v>1.7867139999999999</v>
      </c>
      <c r="CE15" s="212">
        <v>1.737236</v>
      </c>
      <c r="CF15" s="212">
        <v>1.0720810000000001</v>
      </c>
      <c r="CG15" s="212">
        <v>1.2616210000000001</v>
      </c>
      <c r="CH15" s="212">
        <v>1.269803</v>
      </c>
      <c r="CI15" s="212">
        <v>2.7681079999999998</v>
      </c>
      <c r="CJ15" s="212">
        <v>1.0280830000000001</v>
      </c>
      <c r="CK15" s="212">
        <v>1.1146780000000001</v>
      </c>
      <c r="CL15" s="212">
        <v>0.71820099999999998</v>
      </c>
      <c r="CM15" s="212">
        <v>3.1784680000000001</v>
      </c>
      <c r="CN15" s="212">
        <v>1.992243</v>
      </c>
      <c r="CO15" s="212">
        <v>1.036089</v>
      </c>
      <c r="CP15" s="212">
        <v>1.005098</v>
      </c>
      <c r="CQ15" s="212">
        <v>1.2364710000000001</v>
      </c>
      <c r="CR15" s="212">
        <v>13.484059999999999</v>
      </c>
      <c r="CS15" s="212">
        <v>4.203246</v>
      </c>
      <c r="CT15" s="212">
        <v>1.9422330000000001</v>
      </c>
      <c r="CU15" s="212">
        <v>5.1023269999999998</v>
      </c>
      <c r="CV15" s="212">
        <v>9.0438860000000005</v>
      </c>
      <c r="CW15" s="212" t="s">
        <v>830</v>
      </c>
      <c r="CX15" s="212">
        <v>1.1809304849</v>
      </c>
      <c r="CY15" s="212">
        <v>1.993822274</v>
      </c>
      <c r="CZ15" s="212">
        <v>1.1297393292</v>
      </c>
      <c r="DA15" s="212">
        <v>14.011813409</v>
      </c>
      <c r="DB15" s="212">
        <v>1.0631219999999999</v>
      </c>
      <c r="DC15" s="212">
        <v>1.0550660000000001</v>
      </c>
      <c r="DD15" s="212">
        <v>1.8572409999999999</v>
      </c>
      <c r="DE15" s="212">
        <v>1.821553</v>
      </c>
      <c r="DF15" s="212">
        <v>1.7203349999999999</v>
      </c>
      <c r="DG15" s="212">
        <v>1.02143842</v>
      </c>
      <c r="DH15" s="212">
        <v>121.19314953999999</v>
      </c>
      <c r="DI15" s="212">
        <v>0.25152704999999997</v>
      </c>
      <c r="DJ15" s="212">
        <v>2.0128208999999999</v>
      </c>
      <c r="DK15" s="212">
        <v>1.88178231</v>
      </c>
      <c r="DL15" s="212">
        <v>147183.97748</v>
      </c>
      <c r="DM15" s="212">
        <v>312.47601529999997</v>
      </c>
      <c r="DN15" s="212">
        <v>17.735611800000001</v>
      </c>
      <c r="DO15" s="212" t="s">
        <v>830</v>
      </c>
      <c r="DP15" s="212">
        <v>18130594.059</v>
      </c>
      <c r="DQ15" s="212">
        <v>1.6159294</v>
      </c>
      <c r="DR15" s="212">
        <v>14.3149465</v>
      </c>
      <c r="DS15" s="212">
        <v>20.936411499999998</v>
      </c>
      <c r="DT15" s="212">
        <v>1.769801</v>
      </c>
      <c r="DU15" s="212">
        <v>1.1590876000000001</v>
      </c>
      <c r="DV15" s="212">
        <v>1636.3587805</v>
      </c>
      <c r="DW15" s="212">
        <v>23168.120814999998</v>
      </c>
      <c r="DX15" s="212">
        <v>0.82701283699999995</v>
      </c>
      <c r="DY15" s="212">
        <v>11.068027000000001</v>
      </c>
      <c r="DZ15" s="212">
        <v>219.235985</v>
      </c>
      <c r="EA15" s="212">
        <v>17.607282000000001</v>
      </c>
      <c r="EB15" s="212">
        <v>20.256737000000001</v>
      </c>
      <c r="EC15" s="212">
        <v>19.165320999999999</v>
      </c>
      <c r="ED15" s="212">
        <v>2177.7747629999999</v>
      </c>
      <c r="EE15" s="212">
        <v>22.323440000000002</v>
      </c>
      <c r="EF15" s="212">
        <v>33.407876999999999</v>
      </c>
      <c r="EG15" s="212">
        <v>1.4344901000000001</v>
      </c>
      <c r="EH15" s="212">
        <v>0.66990959999999999</v>
      </c>
      <c r="EI15" s="212">
        <v>1.1590677</v>
      </c>
      <c r="EJ15" s="212">
        <v>1.9245310799999999</v>
      </c>
      <c r="EK15" s="212">
        <v>1.5916440999999999</v>
      </c>
      <c r="EL15" s="212">
        <v>2.6721115000000002</v>
      </c>
      <c r="EM15">
        <v>1.2656374500000001</v>
      </c>
      <c r="EN15">
        <v>2.2216679500000001</v>
      </c>
      <c r="EO15">
        <v>1.3597581999999999</v>
      </c>
      <c r="EP15">
        <v>253.03701699999999</v>
      </c>
      <c r="EQ15">
        <v>182.890625</v>
      </c>
      <c r="ER15">
        <v>15.7033226</v>
      </c>
      <c r="ES15">
        <v>14.1050696</v>
      </c>
      <c r="ET15">
        <v>8.5999081000000004</v>
      </c>
      <c r="EU15">
        <v>188.393901</v>
      </c>
      <c r="EV15">
        <v>121.99277739999999</v>
      </c>
      <c r="EW15">
        <v>17.231204000000002</v>
      </c>
      <c r="EX15">
        <v>99.7397706</v>
      </c>
      <c r="EY15">
        <v>2.7514596999999998</v>
      </c>
      <c r="EZ15">
        <v>2246.8201290000002</v>
      </c>
      <c r="FA15" s="223">
        <v>8.2114949999999993</v>
      </c>
      <c r="FB15" s="223">
        <v>1.0952533</v>
      </c>
      <c r="FC15" s="223">
        <v>1.9413480999999999</v>
      </c>
      <c r="FD15">
        <v>2.7609762999999998</v>
      </c>
      <c r="FE15">
        <v>1.2047688000000001</v>
      </c>
      <c r="FF15">
        <v>1.6048168</v>
      </c>
      <c r="FG15">
        <v>0.85676660999999998</v>
      </c>
      <c r="FH15">
        <v>1.1069721400000001</v>
      </c>
      <c r="FI15">
        <v>0.83947722999999996</v>
      </c>
      <c r="FJ15">
        <v>105.69705718</v>
      </c>
    </row>
    <row r="16" spans="1:166" x14ac:dyDescent="0.3">
      <c r="A16" s="223">
        <v>15</v>
      </c>
      <c r="B16" s="315">
        <v>42332</v>
      </c>
      <c r="C16" s="212">
        <v>1018025.5337</v>
      </c>
      <c r="D16" s="212">
        <v>104.70049852</v>
      </c>
      <c r="E16" s="212">
        <v>1.4685614</v>
      </c>
      <c r="F16" s="212">
        <v>7.2491212999999997</v>
      </c>
      <c r="G16" s="212">
        <v>4.4728757968000004</v>
      </c>
      <c r="H16" s="212">
        <v>4.315472701</v>
      </c>
      <c r="I16" s="212">
        <v>1.0834843540000001</v>
      </c>
      <c r="J16" s="212">
        <v>4.2527109999999997</v>
      </c>
      <c r="K16" s="212">
        <v>3.0324779999999998</v>
      </c>
      <c r="L16" s="212">
        <v>10.36770385</v>
      </c>
      <c r="M16" s="212">
        <v>1.013812224</v>
      </c>
      <c r="N16" s="212">
        <v>1.340359232</v>
      </c>
      <c r="O16" s="212">
        <v>1.9215506149999999</v>
      </c>
      <c r="P16" s="212">
        <v>1.264676243</v>
      </c>
      <c r="Q16" s="212">
        <v>1.5112429999999999</v>
      </c>
      <c r="R16" s="212">
        <v>1.6896002459999999</v>
      </c>
      <c r="S16" s="212">
        <v>11.810855</v>
      </c>
      <c r="T16" s="212">
        <v>2.8409286260000002</v>
      </c>
      <c r="U16" s="212">
        <v>3.2029323700000001</v>
      </c>
      <c r="V16" s="212">
        <v>1.577203586</v>
      </c>
      <c r="W16" s="212">
        <v>1.3188983030000001</v>
      </c>
      <c r="X16" s="212">
        <v>3.3127806639999999</v>
      </c>
      <c r="Y16" s="212">
        <v>1.802046</v>
      </c>
      <c r="Z16" s="212">
        <v>1.5730789999999999</v>
      </c>
      <c r="AA16" s="212">
        <v>1.272032611</v>
      </c>
      <c r="AB16" s="212">
        <v>1.091393974</v>
      </c>
      <c r="AC16" s="212">
        <v>1.098964668</v>
      </c>
      <c r="AD16" s="212">
        <v>1.2753628939999999</v>
      </c>
      <c r="AE16" s="212">
        <v>1.273306107</v>
      </c>
      <c r="AF16" s="212">
        <v>1.2346232269999999</v>
      </c>
      <c r="AG16" s="212">
        <v>9.0383376210000002</v>
      </c>
      <c r="AH16" s="212">
        <v>1.707589491</v>
      </c>
      <c r="AI16" s="212">
        <v>3.66947</v>
      </c>
      <c r="AJ16" s="212">
        <v>2.305018</v>
      </c>
      <c r="AK16" s="212">
        <v>188.86503200999999</v>
      </c>
      <c r="AL16" s="212">
        <v>1.0265069</v>
      </c>
      <c r="AM16" s="212">
        <v>1.8452899</v>
      </c>
      <c r="AN16" s="212">
        <v>8.3630335000000002</v>
      </c>
      <c r="AO16" s="212">
        <v>1.7097016</v>
      </c>
      <c r="AP16" s="212">
        <v>1.7040306999999999</v>
      </c>
      <c r="AQ16" s="212">
        <v>2.3720430000000001</v>
      </c>
      <c r="AR16" s="212">
        <v>8.3330307000000001</v>
      </c>
      <c r="AS16" s="212">
        <v>386.54908940000001</v>
      </c>
      <c r="AT16" s="212">
        <v>1.2059318999999999</v>
      </c>
      <c r="AU16" s="212">
        <v>2.9347555000000001</v>
      </c>
      <c r="AV16" s="212">
        <v>2.4946055999999999</v>
      </c>
      <c r="AW16" s="212">
        <v>1.5411946999999999</v>
      </c>
      <c r="AX16" s="212">
        <v>1.1700736</v>
      </c>
      <c r="AY16" s="212">
        <v>2.4731437999999999</v>
      </c>
      <c r="AZ16" s="212" t="s">
        <v>830</v>
      </c>
      <c r="BA16" s="212">
        <v>1.827691401</v>
      </c>
      <c r="BB16" s="212">
        <v>2.3561839999999998</v>
      </c>
      <c r="BC16" s="212">
        <v>2.9128020000000001</v>
      </c>
      <c r="BD16" s="212">
        <v>1.0535209999999999</v>
      </c>
      <c r="BE16" s="212">
        <v>1.0375239999999999</v>
      </c>
      <c r="BF16" s="212">
        <v>1.027121</v>
      </c>
      <c r="BG16" s="212">
        <v>1.0487979999999999</v>
      </c>
      <c r="BH16" s="212">
        <v>1.033118</v>
      </c>
      <c r="BI16" s="212">
        <v>1.175735</v>
      </c>
      <c r="BJ16" s="212">
        <v>1.057542</v>
      </c>
      <c r="BK16" s="212">
        <v>1.1465510000000001</v>
      </c>
      <c r="BL16" s="212">
        <v>1.1699820000000001</v>
      </c>
      <c r="BM16" s="212">
        <v>1.169044</v>
      </c>
      <c r="BN16" s="212">
        <v>1.043261</v>
      </c>
      <c r="BO16" s="212">
        <v>1.1340330000000001</v>
      </c>
      <c r="BP16" s="212">
        <v>2.5592679999999999</v>
      </c>
      <c r="BQ16" s="212">
        <v>1.3333980000000001</v>
      </c>
      <c r="BR16" s="212">
        <v>1.3988350000000001</v>
      </c>
      <c r="BS16" s="212">
        <v>1.2453129999999999</v>
      </c>
      <c r="BT16" s="212">
        <v>1.695228</v>
      </c>
      <c r="BU16" s="212">
        <v>1.6543749999999999</v>
      </c>
      <c r="BV16" s="212">
        <v>1.8332999999999999</v>
      </c>
      <c r="BW16" s="212">
        <v>1.6777070000000001</v>
      </c>
      <c r="BX16" s="212">
        <v>1.649179</v>
      </c>
      <c r="BY16" s="212">
        <v>1.6401650000000001</v>
      </c>
      <c r="BZ16" s="212">
        <v>1.889532</v>
      </c>
      <c r="CA16" s="212">
        <v>1.828282</v>
      </c>
      <c r="CB16" s="212">
        <v>1.8420380000000001</v>
      </c>
      <c r="CC16" s="212">
        <v>1.7869200000000001</v>
      </c>
      <c r="CD16" s="212">
        <v>1.7877829999999999</v>
      </c>
      <c r="CE16" s="212">
        <v>1.7383230000000001</v>
      </c>
      <c r="CF16" s="212">
        <v>1.0728230000000001</v>
      </c>
      <c r="CG16" s="212">
        <v>1.260348</v>
      </c>
      <c r="CH16" s="212">
        <v>1.269102</v>
      </c>
      <c r="CI16" s="212">
        <v>2.769225</v>
      </c>
      <c r="CJ16" s="212">
        <v>1.030211</v>
      </c>
      <c r="CK16" s="212">
        <v>1.117014</v>
      </c>
      <c r="CL16" s="212">
        <v>0.71928599999999998</v>
      </c>
      <c r="CM16" s="212">
        <v>3.186572</v>
      </c>
      <c r="CN16" s="212">
        <v>1.97963</v>
      </c>
      <c r="CO16" s="212">
        <v>1.037849</v>
      </c>
      <c r="CP16" s="212">
        <v>1.0063880000000001</v>
      </c>
      <c r="CQ16" s="212">
        <v>1.237114</v>
      </c>
      <c r="CR16" s="212">
        <v>13.490320000000001</v>
      </c>
      <c r="CS16" s="212">
        <v>4.2051850000000002</v>
      </c>
      <c r="CT16" s="212">
        <v>1.934186</v>
      </c>
      <c r="CU16" s="212">
        <v>5.103993</v>
      </c>
      <c r="CV16" s="212">
        <v>9.0480909999999994</v>
      </c>
      <c r="CW16" s="212" t="s">
        <v>830</v>
      </c>
      <c r="CX16" s="212">
        <v>1.1815375467</v>
      </c>
      <c r="CY16" s="212">
        <v>1.9945101585</v>
      </c>
      <c r="CZ16" s="212">
        <v>1.1301464408999999</v>
      </c>
      <c r="DA16" s="212">
        <v>14.018924116999999</v>
      </c>
      <c r="DB16" s="212">
        <v>1.0625009999999999</v>
      </c>
      <c r="DC16" s="212">
        <v>1.051085</v>
      </c>
      <c r="DD16" s="212">
        <v>1.8514649999999999</v>
      </c>
      <c r="DE16" s="212">
        <v>1.8114319999999999</v>
      </c>
      <c r="DF16" s="212">
        <v>1.720818</v>
      </c>
      <c r="DG16" s="212">
        <v>1.0193175400000001</v>
      </c>
      <c r="DH16" s="212">
        <v>121.26505696</v>
      </c>
      <c r="DI16" s="212">
        <v>0.25150941999999998</v>
      </c>
      <c r="DJ16" s="212">
        <v>2.0137556999999999</v>
      </c>
      <c r="DK16" s="212">
        <v>1.88156228</v>
      </c>
      <c r="DL16" s="212">
        <v>147280.55976999999</v>
      </c>
      <c r="DM16" s="212">
        <v>312.64188560000002</v>
      </c>
      <c r="DN16" s="212">
        <v>17.705714799999999</v>
      </c>
      <c r="DO16" s="212" t="s">
        <v>830</v>
      </c>
      <c r="DP16" s="212">
        <v>18129450.953000002</v>
      </c>
      <c r="DQ16" s="212">
        <v>1.6072489000000001</v>
      </c>
      <c r="DR16" s="212">
        <v>14.3220384</v>
      </c>
      <c r="DS16" s="212">
        <v>20.947524099999999</v>
      </c>
      <c r="DT16" s="212">
        <v>1.7651701</v>
      </c>
      <c r="DU16" s="212">
        <v>1.1586563999999999</v>
      </c>
      <c r="DV16" s="212">
        <v>1637.3002346000001</v>
      </c>
      <c r="DW16" s="212">
        <v>23165.101640000001</v>
      </c>
      <c r="DX16" s="212">
        <v>0.82207462099999995</v>
      </c>
      <c r="DY16" s="212">
        <v>11.084015000000001</v>
      </c>
      <c r="DZ16" s="212">
        <v>219.30517900000001</v>
      </c>
      <c r="EA16" s="212">
        <v>17.596177000000001</v>
      </c>
      <c r="EB16" s="212">
        <v>20.198101999999999</v>
      </c>
      <c r="EC16" s="212">
        <v>19.064955999999999</v>
      </c>
      <c r="ED16" s="212">
        <v>2178.9119890000002</v>
      </c>
      <c r="EE16" s="212">
        <v>22.338673</v>
      </c>
      <c r="EF16" s="212">
        <v>33.425217000000004</v>
      </c>
      <c r="EG16" s="212">
        <v>1.4279881999999999</v>
      </c>
      <c r="EH16" s="212">
        <v>0.66965830000000004</v>
      </c>
      <c r="EI16" s="212">
        <v>1.1566802</v>
      </c>
      <c r="EJ16" s="212">
        <v>1.9259007100000001</v>
      </c>
      <c r="EK16" s="212">
        <v>1.5921159</v>
      </c>
      <c r="EL16" s="212">
        <v>2.6729039000000001</v>
      </c>
      <c r="EM16">
        <v>1.2658029399999999</v>
      </c>
      <c r="EN16">
        <v>2.22320158</v>
      </c>
      <c r="EO16">
        <v>1.3604012000000001</v>
      </c>
      <c r="EP16">
        <v>252.796504</v>
      </c>
      <c r="EQ16">
        <v>182.128682</v>
      </c>
      <c r="ER16">
        <v>15.657757200000001</v>
      </c>
      <c r="ES16">
        <v>14.0311632</v>
      </c>
      <c r="ET16">
        <v>8.6044218000000008</v>
      </c>
      <c r="EU16">
        <v>187.4050143</v>
      </c>
      <c r="EV16">
        <v>122.0540495</v>
      </c>
      <c r="EW16">
        <v>17.236275800000001</v>
      </c>
      <c r="EX16">
        <v>99.788970500000005</v>
      </c>
      <c r="EY16">
        <v>2.9191720000000001</v>
      </c>
      <c r="EZ16">
        <v>2247.9560584000001</v>
      </c>
      <c r="FA16" s="223">
        <v>8.2150130000000008</v>
      </c>
      <c r="FB16" s="223">
        <v>1.0958397</v>
      </c>
      <c r="FC16" s="223">
        <v>1.931764</v>
      </c>
      <c r="FD16">
        <v>2.7623764999999998</v>
      </c>
      <c r="FE16">
        <v>1.2051114000000001</v>
      </c>
      <c r="FF16">
        <v>1.6036889999999999</v>
      </c>
      <c r="FG16">
        <v>0.85548884999999997</v>
      </c>
      <c r="FH16">
        <v>1.10670036</v>
      </c>
      <c r="FI16">
        <v>0.83941043999999998</v>
      </c>
      <c r="FJ16">
        <v>105.80191929</v>
      </c>
    </row>
    <row r="17" spans="1:166" x14ac:dyDescent="0.3">
      <c r="A17" s="223">
        <v>16</v>
      </c>
      <c r="B17" s="315">
        <v>42333</v>
      </c>
      <c r="C17" s="212">
        <v>1017959.3246000001</v>
      </c>
      <c r="D17" s="212">
        <v>104.69640990000001</v>
      </c>
      <c r="E17" s="212">
        <v>1.464429</v>
      </c>
      <c r="F17" s="212">
        <v>7.2389884999999996</v>
      </c>
      <c r="G17" s="212">
        <v>4.4508043892</v>
      </c>
      <c r="H17" s="212">
        <v>4.2267091560000001</v>
      </c>
      <c r="I17" s="212">
        <v>1.0692379620000001</v>
      </c>
      <c r="J17" s="212">
        <v>4.2548880000000002</v>
      </c>
      <c r="K17" s="212">
        <v>3.0335960000000002</v>
      </c>
      <c r="L17" s="212">
        <v>10.371964093000001</v>
      </c>
      <c r="M17" s="212">
        <v>0.99065780999999997</v>
      </c>
      <c r="N17" s="212">
        <v>1.3137708109999999</v>
      </c>
      <c r="O17" s="212">
        <v>1.920656044</v>
      </c>
      <c r="P17" s="212">
        <v>1.2566679629999999</v>
      </c>
      <c r="Q17" s="212">
        <v>1.511973</v>
      </c>
      <c r="R17" s="212">
        <v>1.6857470000000001</v>
      </c>
      <c r="S17" s="212">
        <v>11.778679</v>
      </c>
      <c r="T17" s="212">
        <v>2.8162765360000002</v>
      </c>
      <c r="U17" s="212">
        <v>3.1753821790000001</v>
      </c>
      <c r="V17" s="212">
        <v>1.5577749169999999</v>
      </c>
      <c r="W17" s="212">
        <v>1.313777191</v>
      </c>
      <c r="X17" s="212">
        <v>3.3033992369999998</v>
      </c>
      <c r="Y17" s="212">
        <v>1.8028470000000001</v>
      </c>
      <c r="Z17" s="212">
        <v>1.5738620000000001</v>
      </c>
      <c r="AA17" s="212">
        <v>1.260555586</v>
      </c>
      <c r="AB17" s="212">
        <v>1.0908956620000001</v>
      </c>
      <c r="AC17" s="212">
        <v>1.0960570030000001</v>
      </c>
      <c r="AD17" s="212">
        <v>1.276199751</v>
      </c>
      <c r="AE17" s="212">
        <v>1.274142536</v>
      </c>
      <c r="AF17" s="212">
        <v>1.2243584670000001</v>
      </c>
      <c r="AG17" s="212">
        <v>9.0429448180000005</v>
      </c>
      <c r="AH17" s="212">
        <v>1.7076512100000001</v>
      </c>
      <c r="AI17" s="212">
        <v>3.670757</v>
      </c>
      <c r="AJ17" s="212">
        <v>2.2866960000000001</v>
      </c>
      <c r="AK17" s="212">
        <v>188.57135589000001</v>
      </c>
      <c r="AL17" s="212">
        <v>1.0226675000000001</v>
      </c>
      <c r="AM17" s="212">
        <v>1.8294385</v>
      </c>
      <c r="AN17" s="212">
        <v>8.3674812999999997</v>
      </c>
      <c r="AO17" s="212">
        <v>1.7099154000000001</v>
      </c>
      <c r="AP17" s="212">
        <v>1.7042215999999999</v>
      </c>
      <c r="AQ17" s="212">
        <v>2.3732668000000001</v>
      </c>
      <c r="AR17" s="212">
        <v>8.3373550999999999</v>
      </c>
      <c r="AS17" s="212">
        <v>375.18302549999999</v>
      </c>
      <c r="AT17" s="212">
        <v>1.1904516000000001</v>
      </c>
      <c r="AU17" s="212">
        <v>2.9361904000000001</v>
      </c>
      <c r="AV17" s="212">
        <v>2.4738593</v>
      </c>
      <c r="AW17" s="212">
        <v>1.5223803</v>
      </c>
      <c r="AX17" s="212">
        <v>1.1666289999999999</v>
      </c>
      <c r="AY17" s="212">
        <v>2.4633823000000001</v>
      </c>
      <c r="AZ17" s="212" t="s">
        <v>830</v>
      </c>
      <c r="BA17" s="212">
        <v>1.8286265859999999</v>
      </c>
      <c r="BB17" s="212">
        <v>2.3361418</v>
      </c>
      <c r="BC17" s="212">
        <v>2.9138839999999999</v>
      </c>
      <c r="BD17" s="212">
        <v>1.0535159999999999</v>
      </c>
      <c r="BE17" s="212">
        <v>1.03752</v>
      </c>
      <c r="BF17" s="212">
        <v>1.0271159999999999</v>
      </c>
      <c r="BG17" s="212">
        <v>1.048794</v>
      </c>
      <c r="BH17" s="212">
        <v>1.0331140000000001</v>
      </c>
      <c r="BI17" s="212">
        <v>1.176507</v>
      </c>
      <c r="BJ17" s="212">
        <v>1.054135</v>
      </c>
      <c r="BK17" s="212">
        <v>1.1394340000000001</v>
      </c>
      <c r="BL17" s="212">
        <v>1.170749</v>
      </c>
      <c r="BM17" s="212">
        <v>1.1698139999999999</v>
      </c>
      <c r="BN17" s="212">
        <v>1.034168</v>
      </c>
      <c r="BO17" s="212">
        <v>1.118803</v>
      </c>
      <c r="BP17" s="212">
        <v>2.5606239999999998</v>
      </c>
      <c r="BQ17" s="212">
        <v>1.3340529999999999</v>
      </c>
      <c r="BR17" s="212">
        <v>1.395559</v>
      </c>
      <c r="BS17" s="212">
        <v>1.229336</v>
      </c>
      <c r="BT17" s="212">
        <v>1.6883459999999999</v>
      </c>
      <c r="BU17" s="212">
        <v>1.6554439999999999</v>
      </c>
      <c r="BV17" s="212">
        <v>1.834419</v>
      </c>
      <c r="BW17" s="212">
        <v>1.6788270000000001</v>
      </c>
      <c r="BX17" s="212">
        <v>1.650301</v>
      </c>
      <c r="BY17" s="212">
        <v>1.6411929999999999</v>
      </c>
      <c r="BZ17" s="212">
        <v>1.8907210000000001</v>
      </c>
      <c r="CA17" s="212">
        <v>1.8293999999999999</v>
      </c>
      <c r="CB17" s="212">
        <v>1.8432310000000001</v>
      </c>
      <c r="CC17" s="212">
        <v>1.7879890000000001</v>
      </c>
      <c r="CD17" s="212">
        <v>1.7888520000000001</v>
      </c>
      <c r="CE17" s="212">
        <v>1.7394099999999999</v>
      </c>
      <c r="CF17" s="212">
        <v>1.073566</v>
      </c>
      <c r="CG17" s="212">
        <v>1.2536529999999999</v>
      </c>
      <c r="CH17" s="212">
        <v>1.265245</v>
      </c>
      <c r="CI17" s="212">
        <v>2.770216</v>
      </c>
      <c r="CJ17" s="212">
        <v>1.0009889999999999</v>
      </c>
      <c r="CK17" s="212">
        <v>1.0853379999999999</v>
      </c>
      <c r="CL17" s="212">
        <v>0.70025400000000004</v>
      </c>
      <c r="CM17" s="212">
        <v>3.0936729999999999</v>
      </c>
      <c r="CN17" s="212">
        <v>2.00597</v>
      </c>
      <c r="CO17" s="212">
        <v>1.0161089999999999</v>
      </c>
      <c r="CP17" s="212">
        <v>0.99608300000000005</v>
      </c>
      <c r="CQ17" s="212">
        <v>1.2377560000000001</v>
      </c>
      <c r="CR17" s="212">
        <v>13.496649</v>
      </c>
      <c r="CS17" s="212">
        <v>4.2070939999999997</v>
      </c>
      <c r="CT17" s="212">
        <v>1.9196949999999999</v>
      </c>
      <c r="CU17" s="212">
        <v>5.1056569999999999</v>
      </c>
      <c r="CV17" s="212">
        <v>9.0523349999999994</v>
      </c>
      <c r="CW17" s="212" t="s">
        <v>830</v>
      </c>
      <c r="CX17" s="212">
        <v>1.1821543229</v>
      </c>
      <c r="CY17" s="212">
        <v>1.9845809498</v>
      </c>
      <c r="CZ17" s="212">
        <v>1.130668934</v>
      </c>
      <c r="DA17" s="212">
        <v>14.026024235</v>
      </c>
      <c r="DB17" s="212">
        <v>1.062497</v>
      </c>
      <c r="DC17" s="212">
        <v>1.0476989999999999</v>
      </c>
      <c r="DD17" s="212">
        <v>1.8460650000000001</v>
      </c>
      <c r="DE17" s="212">
        <v>1.7942149999999999</v>
      </c>
      <c r="DF17" s="212">
        <v>1.721581</v>
      </c>
      <c r="DG17" s="212">
        <v>1.0147383000000001</v>
      </c>
      <c r="DH17" s="212">
        <v>121.3370115</v>
      </c>
      <c r="DI17" s="212">
        <v>0.25144444999999999</v>
      </c>
      <c r="DJ17" s="212">
        <v>2.0146866999999999</v>
      </c>
      <c r="DK17" s="212">
        <v>1.8816522</v>
      </c>
      <c r="DL17" s="212">
        <v>147377.20561</v>
      </c>
      <c r="DM17" s="212">
        <v>312.48058129999998</v>
      </c>
      <c r="DN17" s="212">
        <v>17.716695999999999</v>
      </c>
      <c r="DO17" s="212" t="s">
        <v>830</v>
      </c>
      <c r="DP17" s="212">
        <v>18128263.441</v>
      </c>
      <c r="DQ17" s="212">
        <v>1.6076847999999999</v>
      </c>
      <c r="DR17" s="212">
        <v>14.3291307</v>
      </c>
      <c r="DS17" s="212">
        <v>20.958452600000001</v>
      </c>
      <c r="DT17" s="212">
        <v>1.7622850999999999</v>
      </c>
      <c r="DU17" s="212">
        <v>1.1456470000000001</v>
      </c>
      <c r="DV17" s="212">
        <v>1638.1692072999999</v>
      </c>
      <c r="DW17" s="212">
        <v>23153.053265999999</v>
      </c>
      <c r="DX17" s="212">
        <v>0.81607595899999996</v>
      </c>
      <c r="DY17" s="212">
        <v>10.806653000000001</v>
      </c>
      <c r="DZ17" s="212">
        <v>219.30491900000001</v>
      </c>
      <c r="EA17" s="212">
        <v>17.546140000000001</v>
      </c>
      <c r="EB17" s="212">
        <v>20.144268</v>
      </c>
      <c r="EC17" s="212">
        <v>18.902262</v>
      </c>
      <c r="ED17" s="212">
        <v>2180.0710909999998</v>
      </c>
      <c r="EE17" s="212">
        <v>22.345189000000001</v>
      </c>
      <c r="EF17" s="212">
        <v>33.442568000000001</v>
      </c>
      <c r="EG17" s="212">
        <v>1.4263372999999999</v>
      </c>
      <c r="EH17" s="212">
        <v>0.66910219999999998</v>
      </c>
      <c r="EI17" s="212">
        <v>1.1525783000000001</v>
      </c>
      <c r="EJ17" s="212">
        <v>1.9272713100000001</v>
      </c>
      <c r="EK17" s="212">
        <v>1.5924910999999999</v>
      </c>
      <c r="EL17" s="212">
        <v>2.6735342000000002</v>
      </c>
      <c r="EM17">
        <v>1.2657933400000001</v>
      </c>
      <c r="EN17">
        <v>2.2247362599999998</v>
      </c>
      <c r="EO17">
        <v>1.3610355000000001</v>
      </c>
      <c r="EP17">
        <v>252.64271199999999</v>
      </c>
      <c r="EQ17">
        <v>180.820705</v>
      </c>
      <c r="ER17">
        <v>15.615925000000001</v>
      </c>
      <c r="ES17">
        <v>13.9112429</v>
      </c>
      <c r="ET17">
        <v>8.6089857999999992</v>
      </c>
      <c r="EU17">
        <v>185.8014522</v>
      </c>
      <c r="EV17">
        <v>120.82790199999999</v>
      </c>
      <c r="EW17">
        <v>17.243825600000001</v>
      </c>
      <c r="EX17">
        <v>99.838750700000006</v>
      </c>
      <c r="EY17">
        <v>2.6983031999999998</v>
      </c>
      <c r="EZ17">
        <v>2249.1140943</v>
      </c>
      <c r="FA17" s="223">
        <v>8.2185500000000005</v>
      </c>
      <c r="FB17" s="223">
        <v>1.0673112</v>
      </c>
      <c r="FC17" s="223">
        <v>1.9164437000000001</v>
      </c>
      <c r="FD17">
        <v>2.7637784999999999</v>
      </c>
      <c r="FE17">
        <v>1.2056112000000001</v>
      </c>
      <c r="FF17">
        <v>1.5991717999999999</v>
      </c>
      <c r="FG17">
        <v>0.84045566999999999</v>
      </c>
      <c r="FH17">
        <v>1.1061063</v>
      </c>
      <c r="FI17">
        <v>0.83934366000000005</v>
      </c>
      <c r="FJ17">
        <v>105.16292660000001</v>
      </c>
    </row>
    <row r="18" spans="1:166" x14ac:dyDescent="0.3">
      <c r="A18" s="223">
        <v>17</v>
      </c>
      <c r="B18" s="315">
        <v>42334</v>
      </c>
      <c r="C18" s="212">
        <v>1017893.1202</v>
      </c>
      <c r="D18" s="212">
        <v>104.69232229000001</v>
      </c>
      <c r="E18" s="212">
        <v>1.4588612999999999</v>
      </c>
      <c r="F18" s="212">
        <v>7.2534096000000003</v>
      </c>
      <c r="G18" s="212">
        <v>4.4146332677000002</v>
      </c>
      <c r="H18" s="212">
        <v>4.2957397090000002</v>
      </c>
      <c r="I18" s="212">
        <v>1.0644262980000001</v>
      </c>
      <c r="J18" s="212">
        <v>4.257066</v>
      </c>
      <c r="K18" s="212">
        <v>3.034694</v>
      </c>
      <c r="L18" s="212">
        <v>10.376325015999999</v>
      </c>
      <c r="M18" s="212">
        <v>0.99757862600000002</v>
      </c>
      <c r="N18" s="212">
        <v>1.3187428400000001</v>
      </c>
      <c r="O18" s="212">
        <v>1.9225067579999999</v>
      </c>
      <c r="P18" s="212">
        <v>1.2475100589999999</v>
      </c>
      <c r="Q18" s="212">
        <v>1.512713</v>
      </c>
      <c r="R18" s="212">
        <v>1.677298672</v>
      </c>
      <c r="S18" s="212">
        <v>11.717181999999999</v>
      </c>
      <c r="T18" s="212">
        <v>2.80102407</v>
      </c>
      <c r="U18" s="212">
        <v>3.1585309389999998</v>
      </c>
      <c r="V18" s="212">
        <v>1.549469446</v>
      </c>
      <c r="W18" s="212">
        <v>1.3108280960000001</v>
      </c>
      <c r="X18" s="212">
        <v>3.2974168069999998</v>
      </c>
      <c r="Y18" s="212">
        <v>1.803213</v>
      </c>
      <c r="Z18" s="212">
        <v>1.574665</v>
      </c>
      <c r="AA18" s="212">
        <v>1.2511966640000001</v>
      </c>
      <c r="AB18" s="212">
        <v>1.088596092</v>
      </c>
      <c r="AC18" s="212">
        <v>1.091328222</v>
      </c>
      <c r="AD18" s="212">
        <v>1.2770371519999999</v>
      </c>
      <c r="AE18" s="212">
        <v>1.2749794839999999</v>
      </c>
      <c r="AF18" s="212">
        <v>1.215899311</v>
      </c>
      <c r="AG18" s="212">
        <v>9.0475577529999995</v>
      </c>
      <c r="AH18" s="212">
        <v>1.7058619719999999</v>
      </c>
      <c r="AI18" s="212">
        <v>3.671735</v>
      </c>
      <c r="AJ18" s="212">
        <v>2.2736320000000001</v>
      </c>
      <c r="AK18" s="212">
        <v>188.19897176000001</v>
      </c>
      <c r="AL18" s="212">
        <v>1.0146875</v>
      </c>
      <c r="AM18" s="212">
        <v>1.8195577999999999</v>
      </c>
      <c r="AN18" s="212">
        <v>8.3719310999999994</v>
      </c>
      <c r="AO18" s="212">
        <v>1.7104841</v>
      </c>
      <c r="AP18" s="212">
        <v>1.7047787999999999</v>
      </c>
      <c r="AQ18" s="212">
        <v>2.3744909999999999</v>
      </c>
      <c r="AR18" s="212">
        <v>8.3416583000000006</v>
      </c>
      <c r="AS18" s="212">
        <v>377.43809540000001</v>
      </c>
      <c r="AT18" s="212">
        <v>1.1950102</v>
      </c>
      <c r="AU18" s="212">
        <v>2.9376177999999999</v>
      </c>
      <c r="AV18" s="212">
        <v>2.4606460000000001</v>
      </c>
      <c r="AW18" s="212">
        <v>1.5141926000000001</v>
      </c>
      <c r="AX18" s="212">
        <v>1.1603091000000001</v>
      </c>
      <c r="AY18" s="212">
        <v>2.4573724000000001</v>
      </c>
      <c r="AZ18" s="212" t="s">
        <v>830</v>
      </c>
      <c r="BA18" s="212">
        <v>1.8295638110000001</v>
      </c>
      <c r="BB18" s="212">
        <v>2.3230420000000001</v>
      </c>
      <c r="BC18" s="212">
        <v>2.9148510000000001</v>
      </c>
      <c r="BD18" s="212">
        <v>1.0520579999999999</v>
      </c>
      <c r="BE18" s="212">
        <v>1.0360830000000001</v>
      </c>
      <c r="BF18" s="212">
        <v>1.0256940000000001</v>
      </c>
      <c r="BG18" s="212">
        <v>1.0473429999999999</v>
      </c>
      <c r="BH18" s="212">
        <v>1.031687</v>
      </c>
      <c r="BI18" s="212">
        <v>1.177281</v>
      </c>
      <c r="BJ18" s="212">
        <v>1.0472239999999999</v>
      </c>
      <c r="BK18" s="212">
        <v>1.1298140000000001</v>
      </c>
      <c r="BL18" s="212">
        <v>1.171516</v>
      </c>
      <c r="BM18" s="212">
        <v>1.170585</v>
      </c>
      <c r="BN18" s="212">
        <v>1.0263420000000001</v>
      </c>
      <c r="BO18" s="212">
        <v>1.113953</v>
      </c>
      <c r="BP18" s="212">
        <v>2.5619909999999999</v>
      </c>
      <c r="BQ18" s="212">
        <v>1.3347089999999999</v>
      </c>
      <c r="BR18" s="212">
        <v>1.388565</v>
      </c>
      <c r="BS18" s="212">
        <v>1.222558</v>
      </c>
      <c r="BT18" s="212">
        <v>1.6840459999999999</v>
      </c>
      <c r="BU18" s="212">
        <v>1.656515</v>
      </c>
      <c r="BV18" s="212">
        <v>1.835539</v>
      </c>
      <c r="BW18" s="212">
        <v>1.6799489999999999</v>
      </c>
      <c r="BX18" s="212">
        <v>1.6514249999999999</v>
      </c>
      <c r="BY18" s="212">
        <v>1.6422220000000001</v>
      </c>
      <c r="BZ18" s="212">
        <v>1.8919109999999999</v>
      </c>
      <c r="CA18" s="212">
        <v>1.8305180000000001</v>
      </c>
      <c r="CB18" s="212">
        <v>1.844425</v>
      </c>
      <c r="CC18" s="212">
        <v>1.7890779999999999</v>
      </c>
      <c r="CD18" s="212">
        <v>1.7899419999999999</v>
      </c>
      <c r="CE18" s="212">
        <v>1.740499</v>
      </c>
      <c r="CF18" s="212">
        <v>1.074309</v>
      </c>
      <c r="CG18" s="212">
        <v>1.249636</v>
      </c>
      <c r="CH18" s="212">
        <v>1.262745</v>
      </c>
      <c r="CI18" s="212">
        <v>2.77108</v>
      </c>
      <c r="CJ18" s="212">
        <v>1.006956</v>
      </c>
      <c r="CK18" s="212">
        <v>1.091798</v>
      </c>
      <c r="CL18" s="212">
        <v>0.704789</v>
      </c>
      <c r="CM18" s="212">
        <v>3.1116320000000002</v>
      </c>
      <c r="CN18" s="212">
        <v>2.0058250000000002</v>
      </c>
      <c r="CO18" s="212">
        <v>1.031987</v>
      </c>
      <c r="CP18" s="212">
        <v>1.0065409999999999</v>
      </c>
      <c r="CQ18" s="212">
        <v>1.238402</v>
      </c>
      <c r="CR18" s="212">
        <v>13.503050999999999</v>
      </c>
      <c r="CS18" s="212">
        <v>4.2089980000000002</v>
      </c>
      <c r="CT18" s="212">
        <v>1.912601</v>
      </c>
      <c r="CU18" s="212">
        <v>5.1073449999999996</v>
      </c>
      <c r="CV18" s="212">
        <v>9.0566200000000006</v>
      </c>
      <c r="CW18" s="212" t="s">
        <v>830</v>
      </c>
      <c r="CX18" s="212">
        <v>1.1827713861</v>
      </c>
      <c r="CY18" s="212">
        <v>1.9680937542000001</v>
      </c>
      <c r="CZ18" s="212">
        <v>1.1310163015000001</v>
      </c>
      <c r="DA18" s="212">
        <v>14.033040652</v>
      </c>
      <c r="DB18" s="212">
        <v>1.061026</v>
      </c>
      <c r="DC18" s="212">
        <v>1.0408299999999999</v>
      </c>
      <c r="DD18" s="212">
        <v>1.835874</v>
      </c>
      <c r="DE18" s="212">
        <v>1.7843089999999999</v>
      </c>
      <c r="DF18" s="212">
        <v>1.721873</v>
      </c>
      <c r="DG18" s="212">
        <v>1.01074665</v>
      </c>
      <c r="DH18" s="212">
        <v>121.40912947</v>
      </c>
      <c r="DI18" s="212">
        <v>0.25138170999999998</v>
      </c>
      <c r="DJ18" s="212">
        <v>2.0156201</v>
      </c>
      <c r="DK18" s="212">
        <v>1.8815513800000001</v>
      </c>
      <c r="DL18" s="212">
        <v>147473.91476000001</v>
      </c>
      <c r="DM18" s="212">
        <v>312.64608980000003</v>
      </c>
      <c r="DN18" s="212">
        <v>17.727685999999999</v>
      </c>
      <c r="DO18" s="212" t="s">
        <v>830</v>
      </c>
      <c r="DP18" s="212">
        <v>18127076.013999999</v>
      </c>
      <c r="DQ18" s="212">
        <v>1.6310049</v>
      </c>
      <c r="DR18" s="212">
        <v>14.335368600000001</v>
      </c>
      <c r="DS18" s="212">
        <v>20.964609599999999</v>
      </c>
      <c r="DT18" s="212">
        <v>1.7547575</v>
      </c>
      <c r="DU18" s="212">
        <v>1.1406641</v>
      </c>
      <c r="DV18" s="212">
        <v>1639.1153586999999</v>
      </c>
      <c r="DW18" s="212">
        <v>23150.039487999999</v>
      </c>
      <c r="DX18" s="212">
        <v>0.82234330499999997</v>
      </c>
      <c r="DY18" s="212">
        <v>10.869507</v>
      </c>
      <c r="DZ18" s="212">
        <v>219.37148999999999</v>
      </c>
      <c r="EA18" s="212">
        <v>17.514230999999999</v>
      </c>
      <c r="EB18" s="212">
        <v>20.038947</v>
      </c>
      <c r="EC18" s="212">
        <v>18.799958</v>
      </c>
      <c r="ED18" s="212">
        <v>2181.1835639999999</v>
      </c>
      <c r="EE18" s="212">
        <v>22.355150999999999</v>
      </c>
      <c r="EF18" s="212">
        <v>33.459927</v>
      </c>
      <c r="EG18" s="212">
        <v>1.4440820999999999</v>
      </c>
      <c r="EH18" s="212">
        <v>0.66869100000000004</v>
      </c>
      <c r="EI18" s="212">
        <v>1.1510176999999999</v>
      </c>
      <c r="EJ18" s="212">
        <v>1.9286428799999999</v>
      </c>
      <c r="EK18" s="212">
        <v>1.5940608000000001</v>
      </c>
      <c r="EL18" s="212">
        <v>2.6762291</v>
      </c>
      <c r="EM18">
        <v>1.26580078</v>
      </c>
      <c r="EN18">
        <v>2.2262719999999998</v>
      </c>
      <c r="EO18">
        <v>1.3616801999999999</v>
      </c>
      <c r="EP18">
        <v>252.37465900000001</v>
      </c>
      <c r="EQ18">
        <v>179.96867800000001</v>
      </c>
      <c r="ER18">
        <v>15.5340816</v>
      </c>
      <c r="ES18">
        <v>13.8358288</v>
      </c>
      <c r="ET18">
        <v>8.6135613000000006</v>
      </c>
      <c r="EU18">
        <v>184.79244560000001</v>
      </c>
      <c r="EV18">
        <v>121.26269979999999</v>
      </c>
      <c r="EW18">
        <v>17.247179500000001</v>
      </c>
      <c r="EX18">
        <v>99.888667799999993</v>
      </c>
      <c r="EY18">
        <v>2.7094782999999998</v>
      </c>
      <c r="EZ18">
        <v>2250.2791720999999</v>
      </c>
      <c r="FA18" s="223">
        <v>8.2220809999999993</v>
      </c>
      <c r="FB18" s="223">
        <v>1.0777763</v>
      </c>
      <c r="FC18" s="223">
        <v>1.9065074</v>
      </c>
      <c r="FD18">
        <v>2.7651819999999998</v>
      </c>
      <c r="FE18">
        <v>1.2058101999999999</v>
      </c>
      <c r="FF18">
        <v>1.5962354999999999</v>
      </c>
      <c r="FG18">
        <v>0.84503563999999998</v>
      </c>
      <c r="FH18">
        <v>1.1054250299999999</v>
      </c>
      <c r="FI18">
        <v>0.83927257</v>
      </c>
      <c r="FJ18">
        <v>104.20840563</v>
      </c>
    </row>
    <row r="19" spans="1:166" x14ac:dyDescent="0.3">
      <c r="A19" s="223">
        <v>18</v>
      </c>
      <c r="B19" s="315">
        <v>42335</v>
      </c>
      <c r="C19" s="212">
        <v>1017824.912</v>
      </c>
      <c r="D19" s="212">
        <v>104.68823575</v>
      </c>
      <c r="E19" s="212">
        <v>1.4560275</v>
      </c>
      <c r="F19" s="212">
        <v>7.2273255000000001</v>
      </c>
      <c r="G19" s="212">
        <v>4.3942559554000002</v>
      </c>
      <c r="H19" s="212">
        <v>4.196699175</v>
      </c>
      <c r="I19" s="212">
        <v>1.0429851859999999</v>
      </c>
      <c r="J19" s="212">
        <v>4.2592449999999999</v>
      </c>
      <c r="K19" s="212">
        <v>3.035809</v>
      </c>
      <c r="L19" s="212">
        <v>10.380697003</v>
      </c>
      <c r="M19" s="212">
        <v>0.97722015600000001</v>
      </c>
      <c r="N19" s="212">
        <v>1.2883613330000001</v>
      </c>
      <c r="O19" s="212">
        <v>1.9198230700000001</v>
      </c>
      <c r="P19" s="212">
        <v>1.242233337</v>
      </c>
      <c r="Q19" s="212">
        <v>1.513442</v>
      </c>
      <c r="R19" s="212">
        <v>1.67524863</v>
      </c>
      <c r="S19" s="212">
        <v>11.699581</v>
      </c>
      <c r="T19" s="212">
        <v>2.7833511240000002</v>
      </c>
      <c r="U19" s="212">
        <v>3.1386837480000001</v>
      </c>
      <c r="V19" s="212">
        <v>1.535046618</v>
      </c>
      <c r="W19" s="212">
        <v>1.3065050149999999</v>
      </c>
      <c r="X19" s="212">
        <v>3.2864478720000001</v>
      </c>
      <c r="Y19" s="212">
        <v>1.803804</v>
      </c>
      <c r="Z19" s="212">
        <v>1.575469</v>
      </c>
      <c r="AA19" s="212">
        <v>1.242967406</v>
      </c>
      <c r="AB19" s="212">
        <v>1.088731836</v>
      </c>
      <c r="AC19" s="212">
        <v>1.0898481289999999</v>
      </c>
      <c r="AD19" s="212">
        <v>1.277875114</v>
      </c>
      <c r="AE19" s="212">
        <v>1.275817025</v>
      </c>
      <c r="AF19" s="212">
        <v>1.2088123770000001</v>
      </c>
      <c r="AG19" s="212">
        <v>9.0521825699999994</v>
      </c>
      <c r="AH19" s="212">
        <v>1.7065446440000001</v>
      </c>
      <c r="AI19" s="212">
        <v>3.6732459999999998</v>
      </c>
      <c r="AJ19" s="212">
        <v>2.2607759999999999</v>
      </c>
      <c r="AK19" s="212">
        <v>188.01795529</v>
      </c>
      <c r="AL19" s="212">
        <v>1.0119914000000001</v>
      </c>
      <c r="AM19" s="212">
        <v>1.8081512</v>
      </c>
      <c r="AN19" s="212">
        <v>8.3762045999999994</v>
      </c>
      <c r="AO19" s="212">
        <v>1.7100711</v>
      </c>
      <c r="AP19" s="212">
        <v>1.7044299999999999</v>
      </c>
      <c r="AQ19" s="212">
        <v>2.3757172</v>
      </c>
      <c r="AR19" s="212">
        <v>8.3460114999999995</v>
      </c>
      <c r="AS19" s="212">
        <v>367.25071350000002</v>
      </c>
      <c r="AT19" s="212">
        <v>1.176498</v>
      </c>
      <c r="AU19" s="212">
        <v>2.9390626000000002</v>
      </c>
      <c r="AV19" s="212">
        <v>2.4458022000000001</v>
      </c>
      <c r="AW19" s="212">
        <v>1.5002222999999999</v>
      </c>
      <c r="AX19" s="212">
        <v>1.1582843</v>
      </c>
      <c r="AY19" s="212">
        <v>2.4492267999999999</v>
      </c>
      <c r="AZ19" s="212" t="s">
        <v>830</v>
      </c>
      <c r="BA19" s="212">
        <v>1.8305000170000001</v>
      </c>
      <c r="BB19" s="212">
        <v>2.3084717000000001</v>
      </c>
      <c r="BC19" s="212">
        <v>2.9158119999999998</v>
      </c>
      <c r="BD19" s="212">
        <v>1.052529</v>
      </c>
      <c r="BE19" s="212">
        <v>1.0365470000000001</v>
      </c>
      <c r="BF19" s="212">
        <v>1.0261530000000001</v>
      </c>
      <c r="BG19" s="212">
        <v>1.0478130000000001</v>
      </c>
      <c r="BH19" s="212">
        <v>1.0321480000000001</v>
      </c>
      <c r="BI19" s="212">
        <v>1.1780550000000001</v>
      </c>
      <c r="BJ19" s="212">
        <v>1.0452710000000001</v>
      </c>
      <c r="BK19" s="212">
        <v>1.1257839999999999</v>
      </c>
      <c r="BL19" s="212">
        <v>1.172283</v>
      </c>
      <c r="BM19" s="212">
        <v>1.1713560000000001</v>
      </c>
      <c r="BN19" s="212">
        <v>1.019004</v>
      </c>
      <c r="BO19" s="212">
        <v>1.1034949999999999</v>
      </c>
      <c r="BP19" s="212">
        <v>2.563231</v>
      </c>
      <c r="BQ19" s="212">
        <v>1.3353660000000001</v>
      </c>
      <c r="BR19" s="212">
        <v>1.3868480000000001</v>
      </c>
      <c r="BS19" s="212">
        <v>1.2109460000000001</v>
      </c>
      <c r="BT19" s="212">
        <v>1.6784209999999999</v>
      </c>
      <c r="BU19" s="212">
        <v>1.6579109999999999</v>
      </c>
      <c r="BV19" s="212">
        <v>1.836659</v>
      </c>
      <c r="BW19" s="212">
        <v>1.6810400000000001</v>
      </c>
      <c r="BX19" s="212">
        <v>1.6531370000000001</v>
      </c>
      <c r="BY19" s="212">
        <v>1.6439790000000001</v>
      </c>
      <c r="BZ19" s="212">
        <v>1.8929800000000001</v>
      </c>
      <c r="CA19" s="212">
        <v>1.831636</v>
      </c>
      <c r="CB19" s="212">
        <v>1.8456189999999999</v>
      </c>
      <c r="CC19" s="212">
        <v>1.79017</v>
      </c>
      <c r="CD19" s="212">
        <v>1.7910330000000001</v>
      </c>
      <c r="CE19" s="212">
        <v>1.741536</v>
      </c>
      <c r="CF19" s="212">
        <v>1.0805089999999999</v>
      </c>
      <c r="CG19" s="212">
        <v>1.242861</v>
      </c>
      <c r="CH19" s="212">
        <v>1.2586999999999999</v>
      </c>
      <c r="CI19" s="212">
        <v>2.7719269999999998</v>
      </c>
      <c r="CJ19" s="212">
        <v>0.98093200000000003</v>
      </c>
      <c r="CK19" s="212">
        <v>1.063588</v>
      </c>
      <c r="CL19" s="212">
        <v>0.68767500000000004</v>
      </c>
      <c r="CM19" s="212">
        <v>3.028632</v>
      </c>
      <c r="CN19" s="212">
        <v>2.0188269999999999</v>
      </c>
      <c r="CO19" s="212">
        <v>1.0170140000000001</v>
      </c>
      <c r="CP19" s="212">
        <v>1.0018959999999999</v>
      </c>
      <c r="CQ19" s="212">
        <v>1.2390460000000001</v>
      </c>
      <c r="CR19" s="212">
        <v>13.509389000000001</v>
      </c>
      <c r="CS19" s="212">
        <v>4.2099060000000001</v>
      </c>
      <c r="CT19" s="212">
        <v>1.902188</v>
      </c>
      <c r="CU19" s="212">
        <v>5.1090350000000004</v>
      </c>
      <c r="CV19" s="212">
        <v>9.060829</v>
      </c>
      <c r="CW19" s="212" t="s">
        <v>830</v>
      </c>
      <c r="CX19" s="212">
        <v>1.1833885457</v>
      </c>
      <c r="CY19" s="212">
        <v>1.9584278925</v>
      </c>
      <c r="CZ19" s="212">
        <v>1.1314543936000001</v>
      </c>
      <c r="DA19" s="212">
        <v>14.040121836999999</v>
      </c>
      <c r="DB19" s="212">
        <v>1.061501</v>
      </c>
      <c r="DC19" s="212">
        <v>1.038889</v>
      </c>
      <c r="DD19" s="212">
        <v>1.8329359999999999</v>
      </c>
      <c r="DE19" s="212">
        <v>1.772354</v>
      </c>
      <c r="DF19" s="212">
        <v>1.7224159999999999</v>
      </c>
      <c r="DG19" s="212">
        <v>1.0046398299999999</v>
      </c>
      <c r="DH19" s="212">
        <v>120.99871019</v>
      </c>
      <c r="DI19" s="212">
        <v>0.25134678999999999</v>
      </c>
      <c r="DJ19" s="212">
        <v>2.0165516999999999</v>
      </c>
      <c r="DK19" s="212">
        <v>1.88116478</v>
      </c>
      <c r="DL19" s="212">
        <v>147570.68744000001</v>
      </c>
      <c r="DM19" s="212">
        <v>312.80816920000001</v>
      </c>
      <c r="DN19" s="212">
        <v>17.738700999999999</v>
      </c>
      <c r="DO19" s="212" t="s">
        <v>830</v>
      </c>
      <c r="DP19" s="212">
        <v>18125888.851</v>
      </c>
      <c r="DQ19" s="212">
        <v>1.6035324</v>
      </c>
      <c r="DR19" s="212">
        <v>14.336196599999999</v>
      </c>
      <c r="DS19" s="212">
        <v>20.975616599999999</v>
      </c>
      <c r="DT19" s="212">
        <v>1.7527956</v>
      </c>
      <c r="DU19" s="212">
        <v>1.1178172</v>
      </c>
      <c r="DV19" s="212">
        <v>1640.0622272999999</v>
      </c>
      <c r="DW19" s="212">
        <v>23147.026022999999</v>
      </c>
      <c r="DX19" s="212">
        <v>0.81520649099999998</v>
      </c>
      <c r="DY19" s="212">
        <v>10.619071999999999</v>
      </c>
      <c r="DZ19" s="212">
        <v>219.42056099999999</v>
      </c>
      <c r="EA19" s="212">
        <v>17.456022000000001</v>
      </c>
      <c r="EB19" s="212">
        <v>20.009301000000001</v>
      </c>
      <c r="EC19" s="212">
        <v>18.682265000000001</v>
      </c>
      <c r="ED19" s="212">
        <v>2182.3563829999998</v>
      </c>
      <c r="EE19" s="212">
        <v>22.359998000000001</v>
      </c>
      <c r="EF19" s="212">
        <v>33.477324000000003</v>
      </c>
      <c r="EG19" s="212">
        <v>1.4454479</v>
      </c>
      <c r="EH19" s="212">
        <v>0.66843969999999997</v>
      </c>
      <c r="EI19" s="212">
        <v>1.1478965999999999</v>
      </c>
      <c r="EJ19" s="212">
        <v>1.9300154300000001</v>
      </c>
      <c r="EK19" s="212">
        <v>1.5926073999999999</v>
      </c>
      <c r="EL19" s="212">
        <v>2.6737391000000001</v>
      </c>
      <c r="EM19">
        <v>1.2659686800000001</v>
      </c>
      <c r="EN19">
        <v>2.2278088</v>
      </c>
      <c r="EO19">
        <v>1.3623217999999999</v>
      </c>
      <c r="EP19">
        <v>252.29146900000001</v>
      </c>
      <c r="EQ19">
        <v>179.02408199999999</v>
      </c>
      <c r="ER19">
        <v>15.5110958</v>
      </c>
      <c r="ES19">
        <v>13.749049100000001</v>
      </c>
      <c r="ET19">
        <v>8.6181382000000006</v>
      </c>
      <c r="EU19">
        <v>183.6316176</v>
      </c>
      <c r="EV19">
        <v>119.5505442</v>
      </c>
      <c r="EW19">
        <v>17.2527097</v>
      </c>
      <c r="EX19">
        <v>99.938598400000004</v>
      </c>
      <c r="EY19">
        <v>2.6059917000000001</v>
      </c>
      <c r="EZ19">
        <v>2251.5366282999998</v>
      </c>
      <c r="FA19" s="223">
        <v>8.2256280000000004</v>
      </c>
      <c r="FB19" s="223">
        <v>1.0517566</v>
      </c>
      <c r="FC19" s="223">
        <v>1.8950484999999999</v>
      </c>
      <c r="FD19">
        <v>2.7665869999999999</v>
      </c>
      <c r="FE19">
        <v>1.2062058</v>
      </c>
      <c r="FF19">
        <v>1.5908985</v>
      </c>
      <c r="FG19">
        <v>0.83300879000000005</v>
      </c>
      <c r="FH19">
        <v>1.1026567700000001</v>
      </c>
      <c r="FI19">
        <v>0.83920689000000004</v>
      </c>
      <c r="FJ19">
        <v>103.42913833</v>
      </c>
    </row>
    <row r="20" spans="1:166" x14ac:dyDescent="0.3">
      <c r="A20" s="223">
        <v>19</v>
      </c>
      <c r="B20" s="315">
        <v>42338</v>
      </c>
      <c r="C20" s="212">
        <v>1017759.169</v>
      </c>
      <c r="D20" s="212">
        <v>104.76261495999999</v>
      </c>
      <c r="E20" s="212">
        <v>1.4556682000000001</v>
      </c>
      <c r="F20" s="212">
        <v>7.1008848000000002</v>
      </c>
      <c r="G20" s="212">
        <v>4.3684985625000001</v>
      </c>
      <c r="H20" s="212">
        <v>3.9976111570000001</v>
      </c>
      <c r="I20" s="212">
        <v>1.0278406200000001</v>
      </c>
      <c r="J20" s="212">
        <v>4.2614260000000002</v>
      </c>
      <c r="K20" s="212">
        <v>3.0369229999999998</v>
      </c>
      <c r="L20" s="212">
        <v>10.384297887000001</v>
      </c>
      <c r="M20" s="212">
        <v>0.96130096700000001</v>
      </c>
      <c r="N20" s="212">
        <v>1.2604174269999999</v>
      </c>
      <c r="O20" s="212">
        <v>1.918633284</v>
      </c>
      <c r="P20" s="212">
        <v>1.241834237</v>
      </c>
      <c r="Q20" s="212">
        <v>1.514192</v>
      </c>
      <c r="R20" s="212">
        <v>1.67493878</v>
      </c>
      <c r="S20" s="212">
        <v>11.698159</v>
      </c>
      <c r="T20" s="212">
        <v>2.7799285299999998</v>
      </c>
      <c r="U20" s="212">
        <v>3.1345182469999999</v>
      </c>
      <c r="V20" s="212">
        <v>1.531862815</v>
      </c>
      <c r="W20" s="212">
        <v>1.305955854</v>
      </c>
      <c r="X20" s="212">
        <v>3.2850919799999998</v>
      </c>
      <c r="Y20" s="212">
        <v>1.804522</v>
      </c>
      <c r="Z20" s="212">
        <v>1.5761270000000001</v>
      </c>
      <c r="AA20" s="212">
        <v>1.2416933910000001</v>
      </c>
      <c r="AB20" s="212">
        <v>1.0890942240000001</v>
      </c>
      <c r="AC20" s="212">
        <v>1.089885349</v>
      </c>
      <c r="AD20" s="212">
        <v>1.278713623</v>
      </c>
      <c r="AE20" s="212">
        <v>1.2766550800000001</v>
      </c>
      <c r="AF20" s="212">
        <v>1.2070772700000001</v>
      </c>
      <c r="AG20" s="212">
        <v>9.0558646990000007</v>
      </c>
      <c r="AH20" s="212">
        <v>1.7071433229999999</v>
      </c>
      <c r="AI20" s="212">
        <v>3.6750539999999998</v>
      </c>
      <c r="AJ20" s="212">
        <v>2.2582360000000001</v>
      </c>
      <c r="AK20" s="212">
        <v>188.02142756999999</v>
      </c>
      <c r="AL20" s="212">
        <v>1.0116444</v>
      </c>
      <c r="AM20" s="212">
        <v>1.8057755</v>
      </c>
      <c r="AN20" s="212">
        <v>8.3806282000000003</v>
      </c>
      <c r="AO20" s="212">
        <v>1.7103423</v>
      </c>
      <c r="AP20" s="212">
        <v>1.7046908999999999</v>
      </c>
      <c r="AQ20" s="212">
        <v>2.3769404999999999</v>
      </c>
      <c r="AR20" s="212">
        <v>8.3503430999999999</v>
      </c>
      <c r="AS20" s="212">
        <v>361.27533319999998</v>
      </c>
      <c r="AT20" s="212">
        <v>1.172048</v>
      </c>
      <c r="AU20" s="212">
        <v>2.9404998</v>
      </c>
      <c r="AV20" s="212">
        <v>2.4428282000000001</v>
      </c>
      <c r="AW20" s="212">
        <v>1.4970566000000001</v>
      </c>
      <c r="AX20" s="212">
        <v>1.1580493999999999</v>
      </c>
      <c r="AY20" s="212">
        <v>2.4483505000000001</v>
      </c>
      <c r="AZ20" s="212" t="s">
        <v>830</v>
      </c>
      <c r="BA20" s="212">
        <v>1.8314484680000001</v>
      </c>
      <c r="BB20" s="212">
        <v>2.3057058000000001</v>
      </c>
      <c r="BC20" s="212">
        <v>2.9171119999999999</v>
      </c>
      <c r="BD20" s="212">
        <v>1.052978</v>
      </c>
      <c r="BE20" s="212">
        <v>1.0369889999999999</v>
      </c>
      <c r="BF20" s="212">
        <v>1.026591</v>
      </c>
      <c r="BG20" s="212">
        <v>1.0482590000000001</v>
      </c>
      <c r="BH20" s="212">
        <v>1.0325880000000001</v>
      </c>
      <c r="BI20" s="212">
        <v>1.1788289999999999</v>
      </c>
      <c r="BJ20" s="212">
        <v>1.045015</v>
      </c>
      <c r="BK20" s="212">
        <v>1.1254310000000001</v>
      </c>
      <c r="BL20" s="212">
        <v>1.1730510000000001</v>
      </c>
      <c r="BM20" s="212">
        <v>1.1721280000000001</v>
      </c>
      <c r="BN20" s="212">
        <v>1.0153570000000001</v>
      </c>
      <c r="BO20" s="212">
        <v>1.1019099999999999</v>
      </c>
      <c r="BP20" s="212">
        <v>2.5645829999999998</v>
      </c>
      <c r="BQ20" s="212">
        <v>1.336022</v>
      </c>
      <c r="BR20" s="212">
        <v>1.3867259999999999</v>
      </c>
      <c r="BS20" s="212">
        <v>1.2086950000000001</v>
      </c>
      <c r="BT20" s="212">
        <v>1.6777120000000001</v>
      </c>
      <c r="BU20" s="212">
        <v>1.658982</v>
      </c>
      <c r="BV20" s="212">
        <v>1.8377810000000001</v>
      </c>
      <c r="BW20" s="212">
        <v>1.6821630000000001</v>
      </c>
      <c r="BX20" s="212">
        <v>1.6542600000000001</v>
      </c>
      <c r="BY20" s="212">
        <v>1.6450070000000001</v>
      </c>
      <c r="BZ20" s="212">
        <v>1.8941730000000001</v>
      </c>
      <c r="CA20" s="212">
        <v>1.8327560000000001</v>
      </c>
      <c r="CB20" s="212">
        <v>1.846814</v>
      </c>
      <c r="CC20" s="212">
        <v>1.7912619999999999</v>
      </c>
      <c r="CD20" s="212">
        <v>1.792125</v>
      </c>
      <c r="CE20" s="212">
        <v>1.742626</v>
      </c>
      <c r="CF20" s="212">
        <v>1.081248</v>
      </c>
      <c r="CG20" s="212">
        <v>1.2416609999999999</v>
      </c>
      <c r="CH20" s="212">
        <v>1.258154</v>
      </c>
      <c r="CI20" s="212">
        <v>2.773155</v>
      </c>
      <c r="CJ20" s="212">
        <v>0.96642600000000001</v>
      </c>
      <c r="CK20" s="212">
        <v>1.0478369999999999</v>
      </c>
      <c r="CL20" s="212">
        <v>0.67567500000000003</v>
      </c>
      <c r="CM20" s="212">
        <v>2.9800939999999998</v>
      </c>
      <c r="CN20" s="212">
        <v>2.07741</v>
      </c>
      <c r="CO20" s="212">
        <v>1.0045500000000001</v>
      </c>
      <c r="CP20" s="212">
        <v>0.99517199999999995</v>
      </c>
      <c r="CQ20" s="212">
        <v>1.239689</v>
      </c>
      <c r="CR20" s="212">
        <v>13.515725</v>
      </c>
      <c r="CS20" s="212">
        <v>4.2118650000000004</v>
      </c>
      <c r="CT20" s="212">
        <v>1.8998429999999999</v>
      </c>
      <c r="CU20" s="212">
        <v>5.1107019999999999</v>
      </c>
      <c r="CV20" s="212">
        <v>9.0650320000000004</v>
      </c>
      <c r="CW20" s="212">
        <v>934.92041147999998</v>
      </c>
      <c r="CX20" s="212">
        <v>1.1840059311</v>
      </c>
      <c r="CY20" s="212">
        <v>1.9464710529</v>
      </c>
      <c r="CZ20" s="212">
        <v>1.1319467137000001</v>
      </c>
      <c r="DA20" s="212">
        <v>14.047218098</v>
      </c>
      <c r="DB20" s="212">
        <v>1.0619540000000001</v>
      </c>
      <c r="DC20" s="212">
        <v>1.0386359999999999</v>
      </c>
      <c r="DD20" s="212">
        <v>1.8329150000000001</v>
      </c>
      <c r="DE20" s="212">
        <v>1.7701910000000001</v>
      </c>
      <c r="DF20" s="212">
        <v>1.7230909999999999</v>
      </c>
      <c r="DG20" s="212">
        <v>1.00408381</v>
      </c>
      <c r="DH20" s="212">
        <v>121.55444595</v>
      </c>
      <c r="DI20" s="212">
        <v>0.25130931000000001</v>
      </c>
      <c r="DJ20" s="212">
        <v>2.0174832999999999</v>
      </c>
      <c r="DK20" s="212">
        <v>1.8790024999999999</v>
      </c>
      <c r="DL20" s="212">
        <v>147667.52343999999</v>
      </c>
      <c r="DM20" s="212">
        <v>308.6481028</v>
      </c>
      <c r="DN20" s="212">
        <v>17.456415799999998</v>
      </c>
      <c r="DO20" s="212">
        <v>66.97</v>
      </c>
      <c r="DP20" s="212">
        <v>18124701.765999999</v>
      </c>
      <c r="DQ20" s="212">
        <v>1.5712074</v>
      </c>
      <c r="DR20" s="212">
        <v>14.343664800000001</v>
      </c>
      <c r="DS20" s="212">
        <v>20.986350300000002</v>
      </c>
      <c r="DT20" s="212">
        <v>1.7518551</v>
      </c>
      <c r="DU20" s="212">
        <v>1.097761</v>
      </c>
      <c r="DV20" s="212">
        <v>1641.0415367000001</v>
      </c>
      <c r="DW20" s="212">
        <v>23144.053179999999</v>
      </c>
      <c r="DX20" s="212">
        <v>0.80458872800000003</v>
      </c>
      <c r="DY20" s="212">
        <v>10.456318</v>
      </c>
      <c r="DZ20" s="212">
        <v>219.53082499999999</v>
      </c>
      <c r="EA20" s="212">
        <v>17.448771000000001</v>
      </c>
      <c r="EB20" s="212">
        <v>20.006958999999998</v>
      </c>
      <c r="EC20" s="212">
        <v>18.657879999999999</v>
      </c>
      <c r="ED20" s="212">
        <v>2183.5297289999999</v>
      </c>
      <c r="EE20" s="212">
        <v>22.367388999999999</v>
      </c>
      <c r="EF20" s="212">
        <v>33.494701999999997</v>
      </c>
      <c r="EG20" s="212">
        <v>1.4429761999999999</v>
      </c>
      <c r="EH20" s="212">
        <v>0.63245479999999998</v>
      </c>
      <c r="EI20" s="212">
        <v>1.1349243</v>
      </c>
      <c r="EJ20" s="212">
        <v>1.91215194</v>
      </c>
      <c r="EK20" s="212">
        <v>1.5946163</v>
      </c>
      <c r="EL20" s="212">
        <v>2.6771123999999999</v>
      </c>
      <c r="EM20">
        <v>1.26612707</v>
      </c>
      <c r="EN20">
        <v>2.22934666</v>
      </c>
      <c r="EO20">
        <v>1.3643102</v>
      </c>
      <c r="EP20">
        <v>252.82426000000001</v>
      </c>
      <c r="EQ20">
        <v>178.838176</v>
      </c>
      <c r="ER20">
        <v>15.5092645</v>
      </c>
      <c r="ES20">
        <v>13.731084900000001</v>
      </c>
      <c r="ET20">
        <v>8.6232982000000007</v>
      </c>
      <c r="EU20">
        <v>183.39008870000001</v>
      </c>
      <c r="EV20">
        <v>118.54790939999999</v>
      </c>
      <c r="EW20">
        <v>17.259437699999999</v>
      </c>
      <c r="EX20">
        <v>99.995293099999998</v>
      </c>
      <c r="EY20">
        <v>2.6282611999999999</v>
      </c>
      <c r="EZ20">
        <v>2252.8766384</v>
      </c>
      <c r="FA20" s="223">
        <v>8.2291740000000004</v>
      </c>
      <c r="FB20" s="223">
        <v>1.0369695000000001</v>
      </c>
      <c r="FC20" s="223">
        <v>1.8928666000000001</v>
      </c>
      <c r="FD20">
        <v>2.7681138000000001</v>
      </c>
      <c r="FE20">
        <v>1.2066133000000001</v>
      </c>
      <c r="FF20">
        <v>1.5903301000000001</v>
      </c>
      <c r="FG20">
        <v>0.82121180999999999</v>
      </c>
      <c r="FH20">
        <v>1.10465535</v>
      </c>
      <c r="FI20">
        <v>0.83914809000000001</v>
      </c>
      <c r="FJ20">
        <v>102.74333738</v>
      </c>
    </row>
    <row r="21" spans="1:166" x14ac:dyDescent="0.3">
      <c r="A21" s="223">
        <v>20</v>
      </c>
      <c r="B21" s="315">
        <v>42339</v>
      </c>
      <c r="C21" s="212">
        <v>1017694.2036</v>
      </c>
      <c r="D21" s="212">
        <v>104.75522015999999</v>
      </c>
      <c r="E21" s="212">
        <v>1.458472</v>
      </c>
      <c r="F21" s="212">
        <v>7.0769044000000001</v>
      </c>
      <c r="G21" s="212">
        <v>4.3643075635999997</v>
      </c>
      <c r="H21" s="212">
        <v>3.956518542</v>
      </c>
      <c r="I21" s="212">
        <v>1.033794576</v>
      </c>
      <c r="J21" s="212">
        <v>4.2636260000000004</v>
      </c>
      <c r="K21" s="212">
        <v>3.0380400000000001</v>
      </c>
      <c r="L21" s="212">
        <v>10.388990790999999</v>
      </c>
      <c r="M21" s="212">
        <v>0.959400896</v>
      </c>
      <c r="N21" s="212">
        <v>1.2630619729999999</v>
      </c>
      <c r="O21" s="212">
        <v>1.9183271260000001</v>
      </c>
      <c r="P21" s="212">
        <v>1.2447762609999999</v>
      </c>
      <c r="Q21" s="212">
        <v>1.5148269999999999</v>
      </c>
      <c r="R21" s="212">
        <v>1.6777380770000001</v>
      </c>
      <c r="S21" s="212">
        <v>11.719670000000001</v>
      </c>
      <c r="T21" s="212">
        <v>2.7881358779999998</v>
      </c>
      <c r="U21" s="212">
        <v>3.1438536300000002</v>
      </c>
      <c r="V21" s="212">
        <v>1.537426792</v>
      </c>
      <c r="W21" s="212">
        <v>1.3088184190000001</v>
      </c>
      <c r="X21" s="212">
        <v>3.2935445200000002</v>
      </c>
      <c r="Y21" s="212">
        <v>1.8055239999999999</v>
      </c>
      <c r="Z21" s="212">
        <v>1.576989</v>
      </c>
      <c r="AA21" s="212">
        <v>1.2468132009999999</v>
      </c>
      <c r="AB21" s="212">
        <v>1.0904228469999999</v>
      </c>
      <c r="AC21" s="212">
        <v>1.0918810249999999</v>
      </c>
      <c r="AD21" s="212">
        <v>1.2795529990000001</v>
      </c>
      <c r="AE21" s="212">
        <v>1.277494806</v>
      </c>
      <c r="AF21" s="212">
        <v>1.211235144</v>
      </c>
      <c r="AG21" s="212">
        <v>9.0605198070000004</v>
      </c>
      <c r="AH21" s="212">
        <v>1.708857174</v>
      </c>
      <c r="AI21" s="212">
        <v>3.677136</v>
      </c>
      <c r="AJ21" s="212">
        <v>2.2647249999999999</v>
      </c>
      <c r="AK21" s="212">
        <v>188.25778012000001</v>
      </c>
      <c r="AL21" s="212">
        <v>1.0138303</v>
      </c>
      <c r="AM21" s="212">
        <v>1.8110987000000001</v>
      </c>
      <c r="AN21" s="212">
        <v>8.3844429999999992</v>
      </c>
      <c r="AO21" s="212">
        <v>1.7106621</v>
      </c>
      <c r="AP21" s="212">
        <v>1.7050346999999999</v>
      </c>
      <c r="AQ21" s="212">
        <v>2.3781674000000002</v>
      </c>
      <c r="AR21" s="212">
        <v>8.3546762999999995</v>
      </c>
      <c r="AS21" s="212">
        <v>360.65561270000001</v>
      </c>
      <c r="AT21" s="212">
        <v>1.1635745</v>
      </c>
      <c r="AU21" s="212">
        <v>2.9419377999999998</v>
      </c>
      <c r="AV21" s="212">
        <v>2.4498251999999998</v>
      </c>
      <c r="AW21" s="212">
        <v>1.5026185000000001</v>
      </c>
      <c r="AX21" s="212">
        <v>1.1602002</v>
      </c>
      <c r="AY21" s="212">
        <v>2.453665</v>
      </c>
      <c r="AZ21" s="212" t="s">
        <v>830</v>
      </c>
      <c r="BA21" s="212">
        <v>1.832405683</v>
      </c>
      <c r="BB21" s="212">
        <v>2.3128909000000002</v>
      </c>
      <c r="BC21" s="212">
        <v>2.9188869999999998</v>
      </c>
      <c r="BD21" s="212">
        <v>1.054157</v>
      </c>
      <c r="BE21" s="212">
        <v>1.0381499999999999</v>
      </c>
      <c r="BF21" s="212">
        <v>1.027741</v>
      </c>
      <c r="BG21" s="212">
        <v>1.0494330000000001</v>
      </c>
      <c r="BH21" s="212">
        <v>1.033744</v>
      </c>
      <c r="BI21" s="212">
        <v>1.1796040000000001</v>
      </c>
      <c r="BJ21" s="212">
        <v>1.046937</v>
      </c>
      <c r="BK21" s="212">
        <v>1.1287670000000001</v>
      </c>
      <c r="BL21" s="212">
        <v>1.1738200000000001</v>
      </c>
      <c r="BM21" s="212">
        <v>1.1729000000000001</v>
      </c>
      <c r="BN21" s="212">
        <v>1.0189699999999999</v>
      </c>
      <c r="BO21" s="212">
        <v>1.1075619999999999</v>
      </c>
      <c r="BP21" s="212">
        <v>2.5659269999999998</v>
      </c>
      <c r="BQ21" s="212">
        <v>1.336679</v>
      </c>
      <c r="BR21" s="212">
        <v>1.388995</v>
      </c>
      <c r="BS21" s="212">
        <v>1.213039</v>
      </c>
      <c r="BT21" s="212">
        <v>1.6812830000000001</v>
      </c>
      <c r="BU21" s="212">
        <v>1.660053</v>
      </c>
      <c r="BV21" s="212">
        <v>1.838903</v>
      </c>
      <c r="BW21" s="212">
        <v>1.683244</v>
      </c>
      <c r="BX21" s="212">
        <v>1.655383</v>
      </c>
      <c r="BY21" s="212">
        <v>1.6461619999999999</v>
      </c>
      <c r="BZ21" s="212">
        <v>1.895367</v>
      </c>
      <c r="CA21" s="212">
        <v>1.8338760000000001</v>
      </c>
      <c r="CB21" s="212">
        <v>1.8480099999999999</v>
      </c>
      <c r="CC21" s="212">
        <v>1.7923549999999999</v>
      </c>
      <c r="CD21" s="212">
        <v>1.7932170000000001</v>
      </c>
      <c r="CE21" s="212">
        <v>1.743716</v>
      </c>
      <c r="CF21" s="212">
        <v>1.081987</v>
      </c>
      <c r="CG21" s="212">
        <v>1.2461530000000001</v>
      </c>
      <c r="CH21" s="212">
        <v>1.2612159999999999</v>
      </c>
      <c r="CI21" s="212">
        <v>2.7749009999999998</v>
      </c>
      <c r="CJ21" s="212">
        <v>0.96151699999999996</v>
      </c>
      <c r="CK21" s="212">
        <v>1.0426280000000001</v>
      </c>
      <c r="CL21" s="212">
        <v>0.67484500000000003</v>
      </c>
      <c r="CM21" s="212">
        <v>2.9724089999999999</v>
      </c>
      <c r="CN21" s="212">
        <v>2.0640109999999998</v>
      </c>
      <c r="CO21" s="212">
        <v>1.0107680000000001</v>
      </c>
      <c r="CP21" s="212">
        <v>0.99585900000000005</v>
      </c>
      <c r="CQ21" s="212">
        <v>1.2403360000000001</v>
      </c>
      <c r="CR21" s="212">
        <v>13.522109</v>
      </c>
      <c r="CS21" s="212">
        <v>4.2139350000000002</v>
      </c>
      <c r="CT21" s="212">
        <v>1.9046609999999999</v>
      </c>
      <c r="CU21" s="212">
        <v>5.1123710000000004</v>
      </c>
      <c r="CV21" s="212">
        <v>9.0692599999999999</v>
      </c>
      <c r="CW21" s="212" t="s">
        <v>830</v>
      </c>
      <c r="CX21" s="212">
        <v>1.1846524407000001</v>
      </c>
      <c r="CY21" s="212">
        <v>1.944366679</v>
      </c>
      <c r="CZ21" s="212">
        <v>1.1325638730000001</v>
      </c>
      <c r="DA21" s="212">
        <v>14.054652243</v>
      </c>
      <c r="DB21" s="212">
        <v>1.0631440000000001</v>
      </c>
      <c r="DC21" s="212">
        <v>1.040546</v>
      </c>
      <c r="DD21" s="212">
        <v>1.836149</v>
      </c>
      <c r="DE21" s="212">
        <v>1.775352</v>
      </c>
      <c r="DF21" s="212">
        <v>1.7240629999999999</v>
      </c>
      <c r="DG21" s="212">
        <v>1.0049734800000001</v>
      </c>
      <c r="DH21" s="212">
        <v>121.6279412</v>
      </c>
      <c r="DI21" s="212">
        <v>0.25174075000000001</v>
      </c>
      <c r="DJ21" s="212">
        <v>2.0184183</v>
      </c>
      <c r="DK21" s="212">
        <v>1.8795903700000001</v>
      </c>
      <c r="DL21" s="212">
        <v>147764.42319999999</v>
      </c>
      <c r="DM21" s="212">
        <v>313.5982085</v>
      </c>
      <c r="DN21" s="212">
        <v>17.533580000000001</v>
      </c>
      <c r="DO21" s="212" t="s">
        <v>830</v>
      </c>
      <c r="DP21" s="212">
        <v>18123514.537999999</v>
      </c>
      <c r="DQ21" s="212">
        <v>1.5360699</v>
      </c>
      <c r="DR21" s="212">
        <v>14.3509045</v>
      </c>
      <c r="DS21" s="212">
        <v>20.997434699999999</v>
      </c>
      <c r="DT21" s="212">
        <v>1.7548121999999999</v>
      </c>
      <c r="DU21" s="212">
        <v>1.0992440999999999</v>
      </c>
      <c r="DV21" s="212">
        <v>1641.9859352000001</v>
      </c>
      <c r="DW21" s="212">
        <v>23140.726251</v>
      </c>
      <c r="DX21" s="212">
        <v>0.79705902699999998</v>
      </c>
      <c r="DY21" s="212">
        <v>10.464403000000001</v>
      </c>
      <c r="DZ21" s="212">
        <v>219.65905699999999</v>
      </c>
      <c r="EA21" s="212">
        <v>17.493288</v>
      </c>
      <c r="EB21" s="212">
        <v>20.043714000000001</v>
      </c>
      <c r="EC21" s="212">
        <v>18.713512000000001</v>
      </c>
      <c r="ED21" s="212">
        <v>2184.6924779999999</v>
      </c>
      <c r="EE21" s="212">
        <v>22.376387000000001</v>
      </c>
      <c r="EF21" s="212">
        <v>33.512090000000001</v>
      </c>
      <c r="EG21" s="212">
        <v>1.4360136999999999</v>
      </c>
      <c r="EH21" s="212">
        <v>0.63262130000000005</v>
      </c>
      <c r="EI21" s="212">
        <v>1.1393367999999999</v>
      </c>
      <c r="EJ21" s="212">
        <v>1.9125494000000001</v>
      </c>
      <c r="EK21" s="212">
        <v>1.5955931999999999</v>
      </c>
      <c r="EL21" s="212">
        <v>2.6787521000000001</v>
      </c>
      <c r="EM21">
        <v>1.26629397</v>
      </c>
      <c r="EN21">
        <v>2.2308855799999998</v>
      </c>
      <c r="EO21">
        <v>1.3644453000000001</v>
      </c>
      <c r="EP21">
        <v>253.048034</v>
      </c>
      <c r="EQ21">
        <v>179.346645</v>
      </c>
      <c r="ER21">
        <v>15.5379383</v>
      </c>
      <c r="ES21">
        <v>13.772136100000001</v>
      </c>
      <c r="ET21">
        <v>8.6278430999999998</v>
      </c>
      <c r="EU21">
        <v>183.9369149</v>
      </c>
      <c r="EV21">
        <v>118.3512052</v>
      </c>
      <c r="EW21">
        <v>17.268985799999999</v>
      </c>
      <c r="EX21">
        <v>100.0448447</v>
      </c>
      <c r="EY21">
        <v>2.5807924</v>
      </c>
      <c r="EZ21">
        <v>2254.0367590999999</v>
      </c>
      <c r="FA21" s="223">
        <v>8.2327139999999996</v>
      </c>
      <c r="FB21" s="223">
        <v>1.0403948000000001</v>
      </c>
      <c r="FC21" s="223">
        <v>1.8981479999999999</v>
      </c>
      <c r="FD21">
        <v>2.7695352999999998</v>
      </c>
      <c r="FE21">
        <v>1.2073309999999999</v>
      </c>
      <c r="FF21">
        <v>1.5943711</v>
      </c>
      <c r="FG21">
        <v>0.82161870000000004</v>
      </c>
      <c r="FH21">
        <v>1.1078648200000001</v>
      </c>
      <c r="FI21">
        <v>0.83908815999999997</v>
      </c>
      <c r="FJ21">
        <v>102.63347646</v>
      </c>
    </row>
    <row r="22" spans="1:166" x14ac:dyDescent="0.3">
      <c r="A22" s="223">
        <v>21</v>
      </c>
      <c r="B22" s="315">
        <v>42340</v>
      </c>
      <c r="C22" s="212">
        <v>1017630.5000999999</v>
      </c>
      <c r="D22" s="212">
        <v>104.75116847</v>
      </c>
      <c r="E22" s="212">
        <v>1.4615767</v>
      </c>
      <c r="F22" s="212">
        <v>7.0760430000000003</v>
      </c>
      <c r="G22" s="212">
        <v>4.3816055141000003</v>
      </c>
      <c r="H22" s="212">
        <v>3.9403817569999999</v>
      </c>
      <c r="I22" s="212">
        <v>1.0257962860000001</v>
      </c>
      <c r="J22" s="212">
        <v>4.2658100000000001</v>
      </c>
      <c r="K22" s="212">
        <v>3.0391499999999998</v>
      </c>
      <c r="L22" s="212">
        <v>10.393720082</v>
      </c>
      <c r="M22" s="212">
        <v>0.957380711</v>
      </c>
      <c r="N22" s="212">
        <v>1.262468567</v>
      </c>
      <c r="O22" s="212">
        <v>1.919479599</v>
      </c>
      <c r="P22" s="212">
        <v>1.2498811889999999</v>
      </c>
      <c r="Q22" s="212">
        <v>1.5155829999999999</v>
      </c>
      <c r="R22" s="212">
        <v>1.6814241459999999</v>
      </c>
      <c r="S22" s="212">
        <v>11.748502999999999</v>
      </c>
      <c r="T22" s="212">
        <v>2.7992948329999998</v>
      </c>
      <c r="U22" s="212">
        <v>3.156498912</v>
      </c>
      <c r="V22" s="212">
        <v>1.545171031</v>
      </c>
      <c r="W22" s="212">
        <v>1.311981155</v>
      </c>
      <c r="X22" s="212">
        <v>3.301531357</v>
      </c>
      <c r="Y22" s="212">
        <v>1.8067120000000001</v>
      </c>
      <c r="Z22" s="212">
        <v>1.5778540000000001</v>
      </c>
      <c r="AA22" s="212">
        <v>1.2519878129999999</v>
      </c>
      <c r="AB22" s="212">
        <v>1.091696708</v>
      </c>
      <c r="AC22" s="212">
        <v>1.0944282080000001</v>
      </c>
      <c r="AD22" s="212">
        <v>1.280392647</v>
      </c>
      <c r="AE22" s="212">
        <v>1.2783340919999999</v>
      </c>
      <c r="AF22" s="212">
        <v>1.21700074</v>
      </c>
      <c r="AG22" s="212">
        <v>9.0651704009999996</v>
      </c>
      <c r="AH22" s="212">
        <v>1.710297049</v>
      </c>
      <c r="AI22" s="212">
        <v>3.679338</v>
      </c>
      <c r="AJ22" s="212">
        <v>2.2736269999999998</v>
      </c>
      <c r="AK22" s="212">
        <v>188.50101064</v>
      </c>
      <c r="AL22" s="212">
        <v>1.0171912999999999</v>
      </c>
      <c r="AM22" s="212">
        <v>1.8184195000000001</v>
      </c>
      <c r="AN22" s="212">
        <v>8.3890153999999999</v>
      </c>
      <c r="AO22" s="212">
        <v>1.7118119999999999</v>
      </c>
      <c r="AP22" s="212">
        <v>1.7061694000000001</v>
      </c>
      <c r="AQ22" s="212">
        <v>2.3794010999999999</v>
      </c>
      <c r="AR22" s="212">
        <v>8.3590377</v>
      </c>
      <c r="AS22" s="212">
        <v>359.62686159999998</v>
      </c>
      <c r="AT22" s="212">
        <v>1.1633</v>
      </c>
      <c r="AU22" s="212">
        <v>2.9433848</v>
      </c>
      <c r="AV22" s="212">
        <v>2.4592906999999999</v>
      </c>
      <c r="AW22" s="212">
        <v>1.509693</v>
      </c>
      <c r="AX22" s="212">
        <v>1.1633844</v>
      </c>
      <c r="AY22" s="212">
        <v>2.4596353999999998</v>
      </c>
      <c r="AZ22" s="212" t="s">
        <v>830</v>
      </c>
      <c r="BA22" s="212">
        <v>1.8333507179999999</v>
      </c>
      <c r="BB22" s="212">
        <v>2.3216624000000001</v>
      </c>
      <c r="BC22" s="212">
        <v>2.920703</v>
      </c>
      <c r="BD22" s="212">
        <v>1.055115</v>
      </c>
      <c r="BE22" s="212">
        <v>1.039093</v>
      </c>
      <c r="BF22" s="212">
        <v>1.0286740000000001</v>
      </c>
      <c r="BG22" s="212">
        <v>1.050386</v>
      </c>
      <c r="BH22" s="212">
        <v>1.0346820000000001</v>
      </c>
      <c r="BI22" s="212">
        <v>1.18038</v>
      </c>
      <c r="BJ22" s="212">
        <v>1.0498400000000001</v>
      </c>
      <c r="BK22" s="212">
        <v>1.1338429999999999</v>
      </c>
      <c r="BL22" s="212">
        <v>1.1745890000000001</v>
      </c>
      <c r="BM22" s="212">
        <v>1.173673</v>
      </c>
      <c r="BN22" s="212">
        <v>1.0236890000000001</v>
      </c>
      <c r="BO22" s="212">
        <v>1.111275</v>
      </c>
      <c r="BP22" s="212">
        <v>2.5672630000000001</v>
      </c>
      <c r="BQ22" s="212">
        <v>1.337337</v>
      </c>
      <c r="BR22" s="212">
        <v>1.392026</v>
      </c>
      <c r="BS22" s="212">
        <v>1.2189639999999999</v>
      </c>
      <c r="BT22" s="212">
        <v>1.685397</v>
      </c>
      <c r="BU22" s="212">
        <v>1.661125</v>
      </c>
      <c r="BV22" s="212">
        <v>1.840025</v>
      </c>
      <c r="BW22" s="212">
        <v>1.6843250000000001</v>
      </c>
      <c r="BX22" s="212">
        <v>1.6565080000000001</v>
      </c>
      <c r="BY22" s="212">
        <v>1.6473180000000001</v>
      </c>
      <c r="BZ22" s="212">
        <v>1.8965609999999999</v>
      </c>
      <c r="CA22" s="212">
        <v>1.834997</v>
      </c>
      <c r="CB22" s="212">
        <v>1.849207</v>
      </c>
      <c r="CC22" s="212">
        <v>1.7934490000000001</v>
      </c>
      <c r="CD22" s="212">
        <v>1.7943100000000001</v>
      </c>
      <c r="CE22" s="212">
        <v>1.7448079999999999</v>
      </c>
      <c r="CF22" s="212">
        <v>1.082727</v>
      </c>
      <c r="CG22" s="212">
        <v>1.2504329999999999</v>
      </c>
      <c r="CH22" s="212">
        <v>1.264178</v>
      </c>
      <c r="CI22" s="212">
        <v>2.7766700000000002</v>
      </c>
      <c r="CJ22" s="212">
        <v>0.96001999999999998</v>
      </c>
      <c r="CK22" s="212">
        <v>1.0409679999999999</v>
      </c>
      <c r="CL22" s="212">
        <v>0.67094399999999998</v>
      </c>
      <c r="CM22" s="212">
        <v>2.9644379999999999</v>
      </c>
      <c r="CN22" s="212">
        <v>2.0590670000000002</v>
      </c>
      <c r="CO22" s="212">
        <v>1.007298</v>
      </c>
      <c r="CP22" s="212">
        <v>0.98793500000000001</v>
      </c>
      <c r="CQ22" s="212">
        <v>1.24098</v>
      </c>
      <c r="CR22" s="212">
        <v>13.528457</v>
      </c>
      <c r="CS22" s="212">
        <v>4.2160000000000002</v>
      </c>
      <c r="CT22" s="212">
        <v>1.9113819999999999</v>
      </c>
      <c r="CU22" s="212">
        <v>5.1140379999999999</v>
      </c>
      <c r="CV22" s="212">
        <v>9.0734739999999992</v>
      </c>
      <c r="CW22" s="212" t="s">
        <v>830</v>
      </c>
      <c r="CX22" s="212">
        <v>1.1852775362000001</v>
      </c>
      <c r="CY22" s="212">
        <v>1.9500998114999999</v>
      </c>
      <c r="CZ22" s="212">
        <v>1.1332503245000001</v>
      </c>
      <c r="DA22" s="212">
        <v>14.062579706999999</v>
      </c>
      <c r="DB22" s="212">
        <v>1.0641099999999999</v>
      </c>
      <c r="DC22" s="212">
        <v>1.043431</v>
      </c>
      <c r="DD22" s="212">
        <v>1.8406</v>
      </c>
      <c r="DE22" s="212">
        <v>1.7823690000000001</v>
      </c>
      <c r="DF22" s="212">
        <v>1.7252110000000001</v>
      </c>
      <c r="DG22" s="212">
        <v>1.0077761599999999</v>
      </c>
      <c r="DH22" s="212">
        <v>121.70012471</v>
      </c>
      <c r="DI22" s="212">
        <v>0.25171990999999999</v>
      </c>
      <c r="DJ22" s="212">
        <v>2.0193561999999998</v>
      </c>
      <c r="DK22" s="212">
        <v>1.88005054</v>
      </c>
      <c r="DL22" s="212">
        <v>147861.38649999999</v>
      </c>
      <c r="DM22" s="212">
        <v>313.37893789999998</v>
      </c>
      <c r="DN22" s="212">
        <v>17.544709300000001</v>
      </c>
      <c r="DO22" s="212" t="s">
        <v>830</v>
      </c>
      <c r="DP22" s="212">
        <v>18122327.386999998</v>
      </c>
      <c r="DQ22" s="212">
        <v>1.5461604</v>
      </c>
      <c r="DR22" s="212">
        <v>14.3580255</v>
      </c>
      <c r="DS22" s="212">
        <v>21.008813499999999</v>
      </c>
      <c r="DT22" s="212">
        <v>1.7579359000000001</v>
      </c>
      <c r="DU22" s="212">
        <v>1.094419</v>
      </c>
      <c r="DV22" s="212">
        <v>1642.9254295999999</v>
      </c>
      <c r="DW22" s="212">
        <v>23137.851232000001</v>
      </c>
      <c r="DX22" s="212">
        <v>0.79655887199999997</v>
      </c>
      <c r="DY22" s="212">
        <v>10.435178000000001</v>
      </c>
      <c r="DZ22" s="212">
        <v>219.80877899999999</v>
      </c>
      <c r="EA22" s="212">
        <v>17.535869999999999</v>
      </c>
      <c r="EB22" s="212">
        <v>20.092855</v>
      </c>
      <c r="EC22" s="212">
        <v>18.788754999999998</v>
      </c>
      <c r="ED22" s="212">
        <v>2185.8384970000002</v>
      </c>
      <c r="EE22" s="212">
        <v>22.38898</v>
      </c>
      <c r="EF22" s="212">
        <v>33.529522</v>
      </c>
      <c r="EG22" s="212">
        <v>1.4224378</v>
      </c>
      <c r="EH22" s="212">
        <v>0.63280570000000003</v>
      </c>
      <c r="EI22" s="212">
        <v>1.14137</v>
      </c>
      <c r="EJ22" s="212">
        <v>1.9137195899999999</v>
      </c>
      <c r="EK22" s="212">
        <v>1.5942494</v>
      </c>
      <c r="EL22" s="212">
        <v>2.6764969999999999</v>
      </c>
      <c r="EM22">
        <v>1.2767276700000001</v>
      </c>
      <c r="EN22">
        <v>2.2324255700000002</v>
      </c>
      <c r="EO22">
        <v>1.3650449</v>
      </c>
      <c r="EP22">
        <v>253.285312</v>
      </c>
      <c r="EQ22">
        <v>180.002364</v>
      </c>
      <c r="ER22">
        <v>15.576232299999999</v>
      </c>
      <c r="ES22">
        <v>13.828090599999999</v>
      </c>
      <c r="ET22">
        <v>8.6323722000000007</v>
      </c>
      <c r="EU22">
        <v>184.67114319999999</v>
      </c>
      <c r="EV22">
        <v>118.75068659999999</v>
      </c>
      <c r="EW22">
        <v>17.280134199999999</v>
      </c>
      <c r="EX22">
        <v>100.09456520000001</v>
      </c>
      <c r="EY22">
        <v>2.6449389999999999</v>
      </c>
      <c r="EZ22">
        <v>2255.1827653999999</v>
      </c>
      <c r="FA22" s="223">
        <v>8.2363300000000006</v>
      </c>
      <c r="FB22" s="223">
        <v>1.0373872</v>
      </c>
      <c r="FC22" s="223">
        <v>1.9056675000000001</v>
      </c>
      <c r="FD22">
        <v>2.7709470999999999</v>
      </c>
      <c r="FE22">
        <v>1.2081392</v>
      </c>
      <c r="FF22">
        <v>1.5983970999999999</v>
      </c>
      <c r="FG22">
        <v>0.81932855000000004</v>
      </c>
      <c r="FH22">
        <v>1.10825307</v>
      </c>
      <c r="FI22">
        <v>0.83902639999999995</v>
      </c>
      <c r="FJ22">
        <v>103.05262033</v>
      </c>
    </row>
    <row r="23" spans="1:166" x14ac:dyDescent="0.3">
      <c r="A23" s="223">
        <v>22</v>
      </c>
      <c r="B23" s="315">
        <v>42341</v>
      </c>
      <c r="C23" s="212">
        <v>1017565.5473</v>
      </c>
      <c r="D23" s="212">
        <v>104.73530158</v>
      </c>
      <c r="E23" s="212">
        <v>1.4612148</v>
      </c>
      <c r="F23" s="212">
        <v>7.2253584000000002</v>
      </c>
      <c r="G23" s="212">
        <v>4.3975136223</v>
      </c>
      <c r="H23" s="212">
        <v>4.1546933560000001</v>
      </c>
      <c r="I23" s="212">
        <v>1.0482251</v>
      </c>
      <c r="J23" s="212">
        <v>4.2679939999999998</v>
      </c>
      <c r="K23" s="212">
        <v>3.0402550000000002</v>
      </c>
      <c r="L23" s="212">
        <v>10.398289573</v>
      </c>
      <c r="M23" s="212">
        <v>0.98328844699999995</v>
      </c>
      <c r="N23" s="212">
        <v>1.3001466189999999</v>
      </c>
      <c r="O23" s="212">
        <v>1.9201805949999999</v>
      </c>
      <c r="P23" s="212">
        <v>1.248468176</v>
      </c>
      <c r="Q23" s="212">
        <v>1.5163359999999999</v>
      </c>
      <c r="R23" s="212">
        <v>1.6814169269999999</v>
      </c>
      <c r="S23" s="212">
        <v>11.746032</v>
      </c>
      <c r="T23" s="212">
        <v>2.7969066009999999</v>
      </c>
      <c r="U23" s="212">
        <v>3.1541303030000001</v>
      </c>
      <c r="V23" s="212">
        <v>1.543490305</v>
      </c>
      <c r="W23" s="212">
        <v>1.3116398760000001</v>
      </c>
      <c r="X23" s="212">
        <v>3.299841384</v>
      </c>
      <c r="Y23" s="212">
        <v>1.8075019999999999</v>
      </c>
      <c r="Z23" s="212">
        <v>1.5786899999999999</v>
      </c>
      <c r="AA23" s="212">
        <v>1.250031018</v>
      </c>
      <c r="AB23" s="212">
        <v>1.0921448570000001</v>
      </c>
      <c r="AC23" s="212">
        <v>1.0943525569999999</v>
      </c>
      <c r="AD23" s="212">
        <v>1.281232854</v>
      </c>
      <c r="AE23" s="212">
        <v>1.2791739550000001</v>
      </c>
      <c r="AF23" s="212">
        <v>1.215294654</v>
      </c>
      <c r="AG23" s="212">
        <v>9.0698659859999999</v>
      </c>
      <c r="AH23" s="212">
        <v>1.711123172</v>
      </c>
      <c r="AI23" s="212">
        <v>3.6810619999999998</v>
      </c>
      <c r="AJ23" s="212">
        <v>2.271916</v>
      </c>
      <c r="AK23" s="212">
        <v>188.49969023</v>
      </c>
      <c r="AL23" s="212">
        <v>1.0161581</v>
      </c>
      <c r="AM23" s="212">
        <v>1.8169713000000001</v>
      </c>
      <c r="AN23" s="212">
        <v>8.3934238000000008</v>
      </c>
      <c r="AO23" s="212">
        <v>1.7131430999999999</v>
      </c>
      <c r="AP23" s="212">
        <v>1.7074947</v>
      </c>
      <c r="AQ23" s="212">
        <v>2.3806286999999999</v>
      </c>
      <c r="AR23" s="212">
        <v>8.3633764999999993</v>
      </c>
      <c r="AS23" s="212">
        <v>371.46459659999999</v>
      </c>
      <c r="AT23" s="212">
        <v>1.1829653</v>
      </c>
      <c r="AU23" s="212">
        <v>2.9448235</v>
      </c>
      <c r="AV23" s="212">
        <v>2.4572918000000001</v>
      </c>
      <c r="AW23" s="212">
        <v>1.5072873</v>
      </c>
      <c r="AX23" s="212">
        <v>1.1631381000000001</v>
      </c>
      <c r="AY23" s="212">
        <v>2.458799</v>
      </c>
      <c r="AZ23" s="212" t="s">
        <v>830</v>
      </c>
      <c r="BA23" s="212">
        <v>1.8342975450000001</v>
      </c>
      <c r="BB23" s="212">
        <v>2.3196640999999998</v>
      </c>
      <c r="BC23" s="212">
        <v>2.92198</v>
      </c>
      <c r="BD23" s="212">
        <v>1.05562</v>
      </c>
      <c r="BE23" s="212">
        <v>1.0395909999999999</v>
      </c>
      <c r="BF23" s="212">
        <v>1.0291669999999999</v>
      </c>
      <c r="BG23" s="212">
        <v>1.0508900000000001</v>
      </c>
      <c r="BH23" s="212">
        <v>1.0351779999999999</v>
      </c>
      <c r="BI23" s="212">
        <v>1.1811560000000001</v>
      </c>
      <c r="BJ23" s="212">
        <v>1.049825</v>
      </c>
      <c r="BK23" s="212">
        <v>1.1329469999999999</v>
      </c>
      <c r="BL23" s="212">
        <v>1.175359</v>
      </c>
      <c r="BM23" s="212">
        <v>1.1744460000000001</v>
      </c>
      <c r="BN23" s="212">
        <v>1.0231669999999999</v>
      </c>
      <c r="BO23" s="212">
        <v>1.1102160000000001</v>
      </c>
      <c r="BP23" s="212">
        <v>2.568619</v>
      </c>
      <c r="BQ23" s="212">
        <v>1.3379939999999999</v>
      </c>
      <c r="BR23" s="212">
        <v>1.392109</v>
      </c>
      <c r="BS23" s="212">
        <v>1.217735</v>
      </c>
      <c r="BT23" s="212">
        <v>1.684815</v>
      </c>
      <c r="BU23" s="212">
        <v>1.6621969999999999</v>
      </c>
      <c r="BV23" s="212">
        <v>1.8411489999999999</v>
      </c>
      <c r="BW23" s="212">
        <v>1.685408</v>
      </c>
      <c r="BX23" s="212">
        <v>1.6576329999999999</v>
      </c>
      <c r="BY23" s="212">
        <v>1.6484749999999999</v>
      </c>
      <c r="BZ23" s="212">
        <v>1.8977569999999999</v>
      </c>
      <c r="CA23" s="212">
        <v>1.8361190000000001</v>
      </c>
      <c r="CB23" s="212">
        <v>1.8504039999999999</v>
      </c>
      <c r="CC23" s="212">
        <v>1.7945439999999999</v>
      </c>
      <c r="CD23" s="212">
        <v>1.795404</v>
      </c>
      <c r="CE23" s="212">
        <v>1.7459</v>
      </c>
      <c r="CF23" s="212">
        <v>1.083467</v>
      </c>
      <c r="CG23" s="212">
        <v>1.249031</v>
      </c>
      <c r="CH23" s="212">
        <v>1.2635339999999999</v>
      </c>
      <c r="CI23" s="212">
        <v>2.777857</v>
      </c>
      <c r="CJ23" s="212">
        <v>0.99051400000000001</v>
      </c>
      <c r="CK23" s="212">
        <v>1.0740270000000001</v>
      </c>
      <c r="CL23" s="212">
        <v>0.69366000000000005</v>
      </c>
      <c r="CM23" s="212">
        <v>3.060038</v>
      </c>
      <c r="CN23" s="212">
        <v>1.9762200000000001</v>
      </c>
      <c r="CO23" s="212">
        <v>1.03017</v>
      </c>
      <c r="CP23" s="212">
        <v>0.99747799999999998</v>
      </c>
      <c r="CQ23" s="212">
        <v>1.241625</v>
      </c>
      <c r="CR23" s="212">
        <v>13.534815999999999</v>
      </c>
      <c r="CS23" s="212">
        <v>4.217981</v>
      </c>
      <c r="CT23" s="212">
        <v>1.9104989999999999</v>
      </c>
      <c r="CU23" s="212">
        <v>5.1157069999999996</v>
      </c>
      <c r="CV23" s="212">
        <v>9.0776880000000002</v>
      </c>
      <c r="CW23" s="212" t="s">
        <v>830</v>
      </c>
      <c r="CX23" s="212">
        <v>1.1858962068000001</v>
      </c>
      <c r="CY23" s="212">
        <v>1.9576446394</v>
      </c>
      <c r="CZ23" s="212">
        <v>1.1337789254999999</v>
      </c>
      <c r="DA23" s="212">
        <v>14.069738889</v>
      </c>
      <c r="DB23" s="212">
        <v>1.0646199999999999</v>
      </c>
      <c r="DC23" s="212">
        <v>1.043417</v>
      </c>
      <c r="DD23" s="212">
        <v>1.8403830000000001</v>
      </c>
      <c r="DE23" s="212">
        <v>1.7810239999999999</v>
      </c>
      <c r="DF23" s="212">
        <v>1.725959</v>
      </c>
      <c r="DG23" s="212">
        <v>1.0072614600000001</v>
      </c>
      <c r="DH23" s="212">
        <v>121.77253878</v>
      </c>
      <c r="DI23" s="212">
        <v>0.25175948999999997</v>
      </c>
      <c r="DJ23" s="212">
        <v>2.0202901</v>
      </c>
      <c r="DK23" s="212">
        <v>1.8807506300000001</v>
      </c>
      <c r="DL23" s="212">
        <v>147958.41334</v>
      </c>
      <c r="DM23" s="212">
        <v>315.59020650000002</v>
      </c>
      <c r="DN23" s="212">
        <v>17.599082800000001</v>
      </c>
      <c r="DO23" s="212" t="s">
        <v>830</v>
      </c>
      <c r="DP23" s="212">
        <v>18121140.313999999</v>
      </c>
      <c r="DQ23" s="212">
        <v>1.5743780999999999</v>
      </c>
      <c r="DR23" s="212">
        <v>14.365125600000001</v>
      </c>
      <c r="DS23" s="212">
        <v>21.020092200000001</v>
      </c>
      <c r="DT23" s="212">
        <v>1.7570498000000001</v>
      </c>
      <c r="DU23" s="212">
        <v>1.1263970000000001</v>
      </c>
      <c r="DV23" s="212">
        <v>1643.6666722</v>
      </c>
      <c r="DW23" s="212">
        <v>23134.959985000001</v>
      </c>
      <c r="DX23" s="212">
        <v>0.80307386800000002</v>
      </c>
      <c r="DY23" s="212">
        <v>10.732239</v>
      </c>
      <c r="DZ23" s="212">
        <v>219.90793300000001</v>
      </c>
      <c r="EA23" s="212">
        <v>17.527007999999999</v>
      </c>
      <c r="EB23" s="212">
        <v>20.088622999999998</v>
      </c>
      <c r="EC23" s="212">
        <v>18.774170999999999</v>
      </c>
      <c r="ED23" s="212">
        <v>2186.975508</v>
      </c>
      <c r="EE23" s="212">
        <v>22.403791999999999</v>
      </c>
      <c r="EF23" s="212">
        <v>33.546925000000002</v>
      </c>
      <c r="EG23" s="212">
        <v>1.4110370000000001</v>
      </c>
      <c r="EH23" s="212">
        <v>0.63301260000000004</v>
      </c>
      <c r="EI23" s="212">
        <v>1.1410975000000001</v>
      </c>
      <c r="EJ23" s="212">
        <v>1.9149981300000001</v>
      </c>
      <c r="EK23" s="212">
        <v>1.5977598</v>
      </c>
      <c r="EL23" s="212">
        <v>2.6823907999999999</v>
      </c>
      <c r="EM23">
        <v>1.27686849</v>
      </c>
      <c r="EN23">
        <v>2.23396661</v>
      </c>
      <c r="EO23">
        <v>1.3656839000000001</v>
      </c>
      <c r="EP23">
        <v>252.91979900000001</v>
      </c>
      <c r="EQ23">
        <v>179.85780099999999</v>
      </c>
      <c r="ER23">
        <v>15.5730565</v>
      </c>
      <c r="ES23">
        <v>13.8175554</v>
      </c>
      <c r="ET23">
        <v>8.6368886000000007</v>
      </c>
      <c r="EU23">
        <v>184.52876359999999</v>
      </c>
      <c r="EV23">
        <v>120.4303491</v>
      </c>
      <c r="EW23">
        <v>17.2876364</v>
      </c>
      <c r="EX23">
        <v>100.1439256</v>
      </c>
      <c r="EY23">
        <v>2.7370063999999998</v>
      </c>
      <c r="EZ23">
        <v>2256.3238827999999</v>
      </c>
      <c r="FA23" s="223">
        <v>8.2398869999999995</v>
      </c>
      <c r="FB23" s="223">
        <v>1.0719589</v>
      </c>
      <c r="FC23" s="223">
        <v>1.9042298</v>
      </c>
      <c r="FD23">
        <v>2.7723683000000001</v>
      </c>
      <c r="FE23">
        <v>1.2086441999999999</v>
      </c>
      <c r="FF23">
        <v>1.5974663</v>
      </c>
      <c r="FG23">
        <v>0.83547037000000002</v>
      </c>
      <c r="FH23">
        <v>1.1112403900000001</v>
      </c>
      <c r="FI23">
        <v>0.83896614999999997</v>
      </c>
      <c r="FJ23">
        <v>103.47633754</v>
      </c>
    </row>
    <row r="24" spans="1:166" x14ac:dyDescent="0.3">
      <c r="A24" s="223">
        <v>23</v>
      </c>
      <c r="B24" s="315">
        <v>42342</v>
      </c>
      <c r="C24" s="212">
        <v>1017500.5919</v>
      </c>
      <c r="D24" s="212">
        <v>104.73088697999999</v>
      </c>
      <c r="E24" s="212">
        <v>1.3836333999999999</v>
      </c>
      <c r="F24" s="212">
        <v>7.1786643000000003</v>
      </c>
      <c r="G24" s="212">
        <v>4.3944380276999997</v>
      </c>
      <c r="H24" s="212">
        <v>4.0859340959999999</v>
      </c>
      <c r="I24" s="212">
        <v>1.0369283549999999</v>
      </c>
      <c r="J24" s="212">
        <v>4.2702</v>
      </c>
      <c r="K24" s="212">
        <v>3.041366</v>
      </c>
      <c r="L24" s="212">
        <v>10.402963137</v>
      </c>
      <c r="M24" s="212">
        <v>0.96401023799999996</v>
      </c>
      <c r="N24" s="212">
        <v>1.2760901410000001</v>
      </c>
      <c r="O24" s="212">
        <v>1.9208556189999999</v>
      </c>
      <c r="P24" s="212">
        <v>1.250469718</v>
      </c>
      <c r="Q24" s="212">
        <v>1.5170920000000001</v>
      </c>
      <c r="R24" s="212">
        <v>1.6826291630000001</v>
      </c>
      <c r="S24" s="212">
        <v>11.756925000000001</v>
      </c>
      <c r="T24" s="212">
        <v>2.8002511449999998</v>
      </c>
      <c r="U24" s="212">
        <v>3.158079109</v>
      </c>
      <c r="V24" s="212">
        <v>1.5457026169999999</v>
      </c>
      <c r="W24" s="212">
        <v>1.3129346209999999</v>
      </c>
      <c r="X24" s="212">
        <v>3.303143817</v>
      </c>
      <c r="Y24" s="212">
        <v>1.8084009999999999</v>
      </c>
      <c r="Z24" s="212">
        <v>1.5795440000000001</v>
      </c>
      <c r="AA24" s="212">
        <v>1.252888883</v>
      </c>
      <c r="AB24" s="212">
        <v>1.0928529979999999</v>
      </c>
      <c r="AC24" s="212">
        <v>1.095371374</v>
      </c>
      <c r="AD24" s="212">
        <v>1.282073609</v>
      </c>
      <c r="AE24" s="212">
        <v>1.2800143479999999</v>
      </c>
      <c r="AF24" s="212">
        <v>1.2179333670000001</v>
      </c>
      <c r="AG24" s="212">
        <v>9.0745515989999994</v>
      </c>
      <c r="AH24" s="212">
        <v>1.712172147</v>
      </c>
      <c r="AI24" s="212">
        <v>3.6830029999999998</v>
      </c>
      <c r="AJ24" s="212">
        <v>2.2748029999999999</v>
      </c>
      <c r="AK24" s="212">
        <v>188.63238554</v>
      </c>
      <c r="AL24" s="212">
        <v>1.0175597999999999</v>
      </c>
      <c r="AM24" s="212">
        <v>1.8193144000000001</v>
      </c>
      <c r="AN24" s="212">
        <v>8.3978804</v>
      </c>
      <c r="AO24" s="212">
        <v>1.7139055000000001</v>
      </c>
      <c r="AP24" s="212">
        <v>1.7082554000000001</v>
      </c>
      <c r="AQ24" s="212">
        <v>2.3818568</v>
      </c>
      <c r="AR24" s="212">
        <v>8.3677174000000001</v>
      </c>
      <c r="AS24" s="212">
        <v>363.20309609999998</v>
      </c>
      <c r="AT24" s="212">
        <v>1.1681121000000001</v>
      </c>
      <c r="AU24" s="212">
        <v>2.9462630000000001</v>
      </c>
      <c r="AV24" s="212">
        <v>2.4603508000000001</v>
      </c>
      <c r="AW24" s="212">
        <v>1.5092901000000001</v>
      </c>
      <c r="AX24" s="212">
        <v>1.1642174999999999</v>
      </c>
      <c r="AY24" s="212">
        <v>2.4612002999999998</v>
      </c>
      <c r="AZ24" s="212" t="s">
        <v>830</v>
      </c>
      <c r="BA24" s="212">
        <v>1.8352420519999999</v>
      </c>
      <c r="BB24" s="212">
        <v>2.3228393000000001</v>
      </c>
      <c r="BC24" s="212">
        <v>2.9234969999999998</v>
      </c>
      <c r="BD24" s="212">
        <v>1.0562990000000001</v>
      </c>
      <c r="BE24" s="212">
        <v>1.04026</v>
      </c>
      <c r="BF24" s="212">
        <v>1.0298290000000001</v>
      </c>
      <c r="BG24" s="212">
        <v>1.0515650000000001</v>
      </c>
      <c r="BH24" s="212">
        <v>1.0358430000000001</v>
      </c>
      <c r="BI24" s="212">
        <v>1.181932</v>
      </c>
      <c r="BJ24" s="212">
        <v>1.05054</v>
      </c>
      <c r="BK24" s="212">
        <v>1.1345419999999999</v>
      </c>
      <c r="BL24" s="212">
        <v>1.176129</v>
      </c>
      <c r="BM24" s="212">
        <v>1.1752199999999999</v>
      </c>
      <c r="BN24" s="212">
        <v>1.025485</v>
      </c>
      <c r="BO24" s="212">
        <v>1.1117159999999999</v>
      </c>
      <c r="BP24" s="212">
        <v>2.5699809999999998</v>
      </c>
      <c r="BQ24" s="212">
        <v>1.338652</v>
      </c>
      <c r="BR24" s="212">
        <v>1.3930880000000001</v>
      </c>
      <c r="BS24" s="212">
        <v>1.2193890000000001</v>
      </c>
      <c r="BT24" s="212">
        <v>1.6864619999999999</v>
      </c>
      <c r="BU24" s="212">
        <v>1.661713</v>
      </c>
      <c r="BV24" s="212">
        <v>1.842273</v>
      </c>
      <c r="BW24" s="212">
        <v>1.6864730000000001</v>
      </c>
      <c r="BX24" s="212">
        <v>1.6573519999999999</v>
      </c>
      <c r="BY24" s="212">
        <v>1.647886</v>
      </c>
      <c r="BZ24" s="212">
        <v>1.8988849999999999</v>
      </c>
      <c r="CA24" s="212">
        <v>1.8372409999999999</v>
      </c>
      <c r="CB24" s="212">
        <v>1.8516030000000001</v>
      </c>
      <c r="CC24" s="212">
        <v>1.795639</v>
      </c>
      <c r="CD24" s="212">
        <v>1.7964979999999999</v>
      </c>
      <c r="CE24" s="212">
        <v>1.746963</v>
      </c>
      <c r="CF24" s="212">
        <v>1.0711139999999999</v>
      </c>
      <c r="CG24" s="212">
        <v>1.2506280000000001</v>
      </c>
      <c r="CH24" s="212">
        <v>1.264753</v>
      </c>
      <c r="CI24" s="212">
        <v>2.7793030000000001</v>
      </c>
      <c r="CJ24" s="212">
        <v>0.96939600000000004</v>
      </c>
      <c r="CK24" s="212">
        <v>1.051134</v>
      </c>
      <c r="CL24" s="212">
        <v>0.68001299999999998</v>
      </c>
      <c r="CM24" s="212">
        <v>2.9928270000000001</v>
      </c>
      <c r="CN24" s="212">
        <v>2.0021580000000001</v>
      </c>
      <c r="CO24" s="212">
        <v>1.008297</v>
      </c>
      <c r="CP24" s="212">
        <v>0.98905600000000005</v>
      </c>
      <c r="CQ24" s="212">
        <v>1.242272</v>
      </c>
      <c r="CR24" s="212">
        <v>13.541176999999999</v>
      </c>
      <c r="CS24" s="212">
        <v>4.2199920000000004</v>
      </c>
      <c r="CT24" s="212">
        <v>1.9102380000000001</v>
      </c>
      <c r="CU24" s="212">
        <v>5.1173760000000001</v>
      </c>
      <c r="CV24" s="212">
        <v>9.0819139999999994</v>
      </c>
      <c r="CW24" s="212" t="s">
        <v>830</v>
      </c>
      <c r="CX24" s="212">
        <v>1.1865146191</v>
      </c>
      <c r="CY24" s="212">
        <v>1.9562354592</v>
      </c>
      <c r="CZ24" s="212">
        <v>1.1343562644</v>
      </c>
      <c r="DA24" s="212">
        <v>14.076866844</v>
      </c>
      <c r="DB24" s="212">
        <v>1.0653049999999999</v>
      </c>
      <c r="DC24" s="212">
        <v>1.0441279999999999</v>
      </c>
      <c r="DD24" s="212">
        <v>1.842017</v>
      </c>
      <c r="DE24" s="212">
        <v>1.78329</v>
      </c>
      <c r="DF24" s="212">
        <v>1.726823</v>
      </c>
      <c r="DG24" s="212">
        <v>1.0083235500000001</v>
      </c>
      <c r="DH24" s="212">
        <v>121.84455461</v>
      </c>
      <c r="DI24" s="212">
        <v>0.25181516999999998</v>
      </c>
      <c r="DJ24" s="212">
        <v>2.0213698999999998</v>
      </c>
      <c r="DK24" s="212">
        <v>1.8809646</v>
      </c>
      <c r="DL24" s="212">
        <v>148055.50393000001</v>
      </c>
      <c r="DM24" s="212">
        <v>315.75604520000002</v>
      </c>
      <c r="DN24" s="212">
        <v>17.595445699999999</v>
      </c>
      <c r="DO24" s="212" t="s">
        <v>830</v>
      </c>
      <c r="DP24" s="212">
        <v>18119953.318999998</v>
      </c>
      <c r="DQ24" s="212">
        <v>1.5665614999999999</v>
      </c>
      <c r="DR24" s="212">
        <v>14.3722447</v>
      </c>
      <c r="DS24" s="212">
        <v>21.0313099</v>
      </c>
      <c r="DT24" s="212">
        <v>1.757995</v>
      </c>
      <c r="DU24" s="212">
        <v>1.1094305</v>
      </c>
      <c r="DV24" s="212">
        <v>1644.4117771000001</v>
      </c>
      <c r="DW24" s="212">
        <v>23132.072991000001</v>
      </c>
      <c r="DX24" s="212">
        <v>0.80344230699999997</v>
      </c>
      <c r="DY24" s="212">
        <v>10.515396000000001</v>
      </c>
      <c r="DZ24" s="212">
        <v>220.030205</v>
      </c>
      <c r="EA24" s="212">
        <v>17.544640999999999</v>
      </c>
      <c r="EB24" s="212">
        <v>20.107057999999999</v>
      </c>
      <c r="EC24" s="212">
        <v>18.797637999999999</v>
      </c>
      <c r="ED24" s="212">
        <v>2188.0897869999999</v>
      </c>
      <c r="EE24" s="212">
        <v>22.413761999999998</v>
      </c>
      <c r="EF24" s="212">
        <v>33.564337000000002</v>
      </c>
      <c r="EG24" s="212">
        <v>1.4135663000000001</v>
      </c>
      <c r="EH24" s="212">
        <v>0.63321950000000005</v>
      </c>
      <c r="EI24" s="212">
        <v>1.1421243000000001</v>
      </c>
      <c r="EJ24" s="212">
        <v>1.9182236699999999</v>
      </c>
      <c r="EK24" s="212">
        <v>1.5972659</v>
      </c>
      <c r="EL24" s="212">
        <v>2.6815622000000001</v>
      </c>
      <c r="EM24">
        <v>1.27701167</v>
      </c>
      <c r="EN24">
        <v>2.23550871</v>
      </c>
      <c r="EO24">
        <v>1.3657093</v>
      </c>
      <c r="EP24">
        <v>253.17379800000001</v>
      </c>
      <c r="EQ24">
        <v>180.09540100000001</v>
      </c>
      <c r="ER24">
        <v>15.587522699999999</v>
      </c>
      <c r="ES24">
        <v>13.834928400000001</v>
      </c>
      <c r="ET24">
        <v>8.6414492000000003</v>
      </c>
      <c r="EU24">
        <v>184.75914710000001</v>
      </c>
      <c r="EV24">
        <v>119.0336528</v>
      </c>
      <c r="EW24">
        <v>17.296104700000001</v>
      </c>
      <c r="EX24">
        <v>100.1936305</v>
      </c>
      <c r="EY24">
        <v>2.5500430999999999</v>
      </c>
      <c r="EZ24">
        <v>2257.4346848</v>
      </c>
      <c r="FA24" s="223">
        <v>8.2434189999999994</v>
      </c>
      <c r="FB24" s="223">
        <v>1.0533683</v>
      </c>
      <c r="FC24" s="223">
        <v>1.9066041</v>
      </c>
      <c r="FD24">
        <v>2.7737744000000002</v>
      </c>
      <c r="FE24">
        <v>1.2092828</v>
      </c>
      <c r="FF24">
        <v>1.5992390000000001</v>
      </c>
      <c r="FG24">
        <v>0.82095408000000003</v>
      </c>
      <c r="FH24">
        <v>1.11163799</v>
      </c>
      <c r="FI24">
        <v>0.83890821000000004</v>
      </c>
      <c r="FJ24">
        <v>103.30998196</v>
      </c>
    </row>
    <row r="25" spans="1:166" x14ac:dyDescent="0.3">
      <c r="A25" s="223">
        <v>24</v>
      </c>
      <c r="B25" s="315">
        <v>42345</v>
      </c>
      <c r="C25" s="212">
        <v>1017435.6274</v>
      </c>
      <c r="D25" s="212">
        <v>104.73714683999999</v>
      </c>
      <c r="E25" s="212">
        <v>1.3847149999999999</v>
      </c>
      <c r="F25" s="212">
        <v>7.1884961000000001</v>
      </c>
      <c r="G25" s="212">
        <v>4.3993464270000002</v>
      </c>
      <c r="H25" s="212">
        <v>4.097037619</v>
      </c>
      <c r="I25" s="212">
        <v>1.0425211569999999</v>
      </c>
      <c r="J25" s="212">
        <v>4.2723849999999999</v>
      </c>
      <c r="K25" s="212">
        <v>3.042481</v>
      </c>
      <c r="L25" s="212">
        <v>10.407644810000001</v>
      </c>
      <c r="M25" s="212">
        <v>0.96393638500000001</v>
      </c>
      <c r="N25" s="212">
        <v>1.2788744830000001</v>
      </c>
      <c r="O25" s="212">
        <v>1.921425714</v>
      </c>
      <c r="P25" s="212">
        <v>1.2511139469999999</v>
      </c>
      <c r="Q25" s="212">
        <v>1.517863</v>
      </c>
      <c r="R25" s="212">
        <v>1.685066717</v>
      </c>
      <c r="S25" s="212">
        <v>11.769667999999999</v>
      </c>
      <c r="T25" s="212">
        <v>2.8012642589999999</v>
      </c>
      <c r="U25" s="212">
        <v>3.1593977620000002</v>
      </c>
      <c r="V25" s="212">
        <v>1.545652901</v>
      </c>
      <c r="W25" s="212">
        <v>1.3130258079999999</v>
      </c>
      <c r="X25" s="212">
        <v>3.3018725629999999</v>
      </c>
      <c r="Y25" s="212">
        <v>1.809488</v>
      </c>
      <c r="Z25" s="212">
        <v>1.580395</v>
      </c>
      <c r="AA25" s="212">
        <v>1.2531064080000001</v>
      </c>
      <c r="AB25" s="212">
        <v>1.094222942</v>
      </c>
      <c r="AC25" s="212">
        <v>1.096598411</v>
      </c>
      <c r="AD25" s="212">
        <v>1.2829149200000001</v>
      </c>
      <c r="AE25" s="212">
        <v>1.2808553309999999</v>
      </c>
      <c r="AF25" s="212">
        <v>1.218189717</v>
      </c>
      <c r="AG25" s="212">
        <v>9.0792987929999995</v>
      </c>
      <c r="AH25" s="212">
        <v>1.714018008</v>
      </c>
      <c r="AI25" s="212">
        <v>3.684901</v>
      </c>
      <c r="AJ25" s="212">
        <v>2.2757049999999999</v>
      </c>
      <c r="AK25" s="212">
        <v>188.80505432000001</v>
      </c>
      <c r="AL25" s="212">
        <v>1.0181182</v>
      </c>
      <c r="AM25" s="212">
        <v>1.8201338</v>
      </c>
      <c r="AN25" s="212">
        <v>8.4023205999999995</v>
      </c>
      <c r="AO25" s="212">
        <v>1.7147680000000001</v>
      </c>
      <c r="AP25" s="212">
        <v>1.7091136</v>
      </c>
      <c r="AQ25" s="212">
        <v>2.3830893999999998</v>
      </c>
      <c r="AR25" s="212">
        <v>8.3720607999999999</v>
      </c>
      <c r="AS25" s="212">
        <v>362.10183369999999</v>
      </c>
      <c r="AT25" s="212">
        <v>1.1691616</v>
      </c>
      <c r="AU25" s="212">
        <v>2.9477020999999999</v>
      </c>
      <c r="AV25" s="212">
        <v>2.4614807999999999</v>
      </c>
      <c r="AW25" s="212">
        <v>1.5092205999999999</v>
      </c>
      <c r="AX25" s="212">
        <v>1.165511</v>
      </c>
      <c r="AY25" s="212">
        <v>2.461589</v>
      </c>
      <c r="AZ25" s="212" t="s">
        <v>830</v>
      </c>
      <c r="BA25" s="212">
        <v>1.8361815100000001</v>
      </c>
      <c r="BB25" s="212">
        <v>2.3238349999999999</v>
      </c>
      <c r="BC25" s="212">
        <v>2.9249450000000001</v>
      </c>
      <c r="BD25" s="212">
        <v>1.0575479999999999</v>
      </c>
      <c r="BE25" s="212">
        <v>1.0414890000000001</v>
      </c>
      <c r="BF25" s="212">
        <v>1.0310459999999999</v>
      </c>
      <c r="BG25" s="212">
        <v>1.052808</v>
      </c>
      <c r="BH25" s="212">
        <v>1.037066</v>
      </c>
      <c r="BI25" s="212">
        <v>1.182709</v>
      </c>
      <c r="BJ25" s="212">
        <v>1.052325</v>
      </c>
      <c r="BK25" s="212">
        <v>1.1353420000000001</v>
      </c>
      <c r="BL25" s="212">
        <v>1.1768989999999999</v>
      </c>
      <c r="BM25" s="212">
        <v>1.175994</v>
      </c>
      <c r="BN25" s="212">
        <v>1.025576</v>
      </c>
      <c r="BO25" s="212">
        <v>1.1115630000000001</v>
      </c>
      <c r="BP25" s="212">
        <v>2.5713279999999998</v>
      </c>
      <c r="BQ25" s="212">
        <v>1.33931</v>
      </c>
      <c r="BR25" s="212">
        <v>1.395038</v>
      </c>
      <c r="BS25" s="212">
        <v>1.21946</v>
      </c>
      <c r="BT25" s="212">
        <v>1.68668</v>
      </c>
      <c r="BU25" s="212">
        <v>1.662793</v>
      </c>
      <c r="BV25" s="212">
        <v>1.843397</v>
      </c>
      <c r="BW25" s="212">
        <v>1.6875560000000001</v>
      </c>
      <c r="BX25" s="212">
        <v>1.6584840000000001</v>
      </c>
      <c r="BY25" s="212">
        <v>1.649051</v>
      </c>
      <c r="BZ25" s="212">
        <v>1.900083</v>
      </c>
      <c r="CA25" s="212">
        <v>1.8383640000000001</v>
      </c>
      <c r="CB25" s="212">
        <v>1.852806</v>
      </c>
      <c r="CC25" s="212">
        <v>1.796735</v>
      </c>
      <c r="CD25" s="212">
        <v>1.797593</v>
      </c>
      <c r="CE25" s="212">
        <v>1.748057</v>
      </c>
      <c r="CF25" s="212">
        <v>1.071868</v>
      </c>
      <c r="CG25" s="212">
        <v>1.2494080000000001</v>
      </c>
      <c r="CH25" s="212">
        <v>1.2643009999999999</v>
      </c>
      <c r="CI25" s="212">
        <v>2.780678</v>
      </c>
      <c r="CJ25" s="212">
        <v>0.96789899999999995</v>
      </c>
      <c r="CK25" s="212">
        <v>1.0494680000000001</v>
      </c>
      <c r="CL25" s="212">
        <v>0.67970399999999997</v>
      </c>
      <c r="CM25" s="212">
        <v>2.984461</v>
      </c>
      <c r="CN25" s="212">
        <v>2.0030950000000001</v>
      </c>
      <c r="CO25" s="212">
        <v>1.0242</v>
      </c>
      <c r="CP25" s="212">
        <v>1.00762</v>
      </c>
      <c r="CQ25" s="212">
        <v>1.242917</v>
      </c>
      <c r="CR25" s="212">
        <v>13.547472000000001</v>
      </c>
      <c r="CS25" s="212">
        <v>4.221984</v>
      </c>
      <c r="CT25" s="212">
        <v>1.9110149999999999</v>
      </c>
      <c r="CU25" s="212">
        <v>5.119046</v>
      </c>
      <c r="CV25" s="212">
        <v>9.0861330000000002</v>
      </c>
      <c r="CW25" s="212" t="s">
        <v>830</v>
      </c>
      <c r="CX25" s="212">
        <v>1.1871199869</v>
      </c>
      <c r="CY25" s="212">
        <v>1.9584896164000001</v>
      </c>
      <c r="CZ25" s="212">
        <v>1.1349986212000001</v>
      </c>
      <c r="DA25" s="212">
        <v>14.083920105000001</v>
      </c>
      <c r="DB25" s="212">
        <v>1.0665640000000001</v>
      </c>
      <c r="DC25" s="212">
        <v>1.045903</v>
      </c>
      <c r="DD25" s="212">
        <v>1.844069</v>
      </c>
      <c r="DE25" s="212">
        <v>1.7841389999999999</v>
      </c>
      <c r="DF25" s="212">
        <v>1.7278789999999999</v>
      </c>
      <c r="DG25" s="212">
        <v>1.0079631200000001</v>
      </c>
      <c r="DH25" s="212">
        <v>121.91705118</v>
      </c>
      <c r="DI25" s="212">
        <v>0.25183697999999999</v>
      </c>
      <c r="DJ25" s="212">
        <v>2.0223024999999999</v>
      </c>
      <c r="DK25" s="212">
        <v>1.8798033700000001</v>
      </c>
      <c r="DL25" s="212">
        <v>148152.65851000001</v>
      </c>
      <c r="DM25" s="212">
        <v>307.88169779999998</v>
      </c>
      <c r="DN25" s="212">
        <v>17.4224465</v>
      </c>
      <c r="DO25" s="212" t="s">
        <v>830</v>
      </c>
      <c r="DP25" s="212">
        <v>18118766.269000001</v>
      </c>
      <c r="DQ25" s="212">
        <v>1.5653876</v>
      </c>
      <c r="DR25" s="212">
        <v>14.379365200000001</v>
      </c>
      <c r="DS25" s="212">
        <v>21.042639300000001</v>
      </c>
      <c r="DT25" s="212">
        <v>1.7610072000000001</v>
      </c>
      <c r="DU25" s="212">
        <v>1.1121249</v>
      </c>
      <c r="DV25" s="212">
        <v>1644.9836178</v>
      </c>
      <c r="DW25" s="212">
        <v>23128.012632000002</v>
      </c>
      <c r="DX25" s="212">
        <v>0.80675652900000006</v>
      </c>
      <c r="DY25" s="212">
        <v>10.495672000000001</v>
      </c>
      <c r="DZ25" s="212">
        <v>220.14465100000001</v>
      </c>
      <c r="EA25" s="212">
        <v>17.537758</v>
      </c>
      <c r="EB25" s="212">
        <v>20.129311999999999</v>
      </c>
      <c r="EC25" s="212">
        <v>18.805427000000002</v>
      </c>
      <c r="ED25" s="212">
        <v>2189.2455759999998</v>
      </c>
      <c r="EE25" s="212">
        <v>22.42512</v>
      </c>
      <c r="EF25" s="212">
        <v>33.581836000000003</v>
      </c>
      <c r="EG25" s="212">
        <v>1.4111901</v>
      </c>
      <c r="EH25" s="212">
        <v>0.6334265</v>
      </c>
      <c r="EI25" s="212">
        <v>1.1426234</v>
      </c>
      <c r="EJ25" s="212">
        <v>1.9189497</v>
      </c>
      <c r="EK25" s="212">
        <v>1.5981482</v>
      </c>
      <c r="EL25" s="212">
        <v>2.6831885</v>
      </c>
      <c r="EM25">
        <v>1.27715409</v>
      </c>
      <c r="EN25">
        <v>2.2370518599999998</v>
      </c>
      <c r="EO25">
        <v>1.3663411999999999</v>
      </c>
      <c r="EP25">
        <v>253.32584399999999</v>
      </c>
      <c r="EQ25">
        <v>180.184</v>
      </c>
      <c r="ER25">
        <v>15.6048028</v>
      </c>
      <c r="ES25">
        <v>13.8407488</v>
      </c>
      <c r="ET25">
        <v>8.6459986000000004</v>
      </c>
      <c r="EU25">
        <v>184.83522880000001</v>
      </c>
      <c r="EV25">
        <v>119.5767153</v>
      </c>
      <c r="EW25">
        <v>17.306384399999999</v>
      </c>
      <c r="EX25">
        <v>100.24320830000001</v>
      </c>
      <c r="EY25">
        <v>2.4133553000000001</v>
      </c>
      <c r="EZ25">
        <v>2258.5840211999998</v>
      </c>
      <c r="FA25" s="223">
        <v>8.2469509999999993</v>
      </c>
      <c r="FB25" s="223">
        <v>1.0505443000000001</v>
      </c>
      <c r="FC25" s="223">
        <v>1.9073880999999999</v>
      </c>
      <c r="FD25">
        <v>2.7751795000000001</v>
      </c>
      <c r="FE25">
        <v>1.2099955</v>
      </c>
      <c r="FF25">
        <v>1.5986627</v>
      </c>
      <c r="FG25">
        <v>0.82208249</v>
      </c>
      <c r="FH25">
        <v>1.1121231499999999</v>
      </c>
      <c r="FI25">
        <v>0.83885078999999996</v>
      </c>
      <c r="FJ25">
        <v>103.54200689</v>
      </c>
    </row>
    <row r="26" spans="1:166" x14ac:dyDescent="0.3">
      <c r="A26" s="223">
        <v>25</v>
      </c>
      <c r="B26" s="315">
        <v>42346</v>
      </c>
      <c r="C26" s="212">
        <v>1017092.5523</v>
      </c>
      <c r="D26" s="212">
        <v>104.76918474999999</v>
      </c>
      <c r="E26" s="212">
        <v>1.3856485000000001</v>
      </c>
      <c r="F26" s="212">
        <v>7.1019379999999996</v>
      </c>
      <c r="G26" s="212">
        <v>4.4007185082999998</v>
      </c>
      <c r="H26" s="212">
        <v>4.066089871</v>
      </c>
      <c r="I26" s="212">
        <v>1.034322537</v>
      </c>
      <c r="J26" s="212">
        <v>4.2745709999999999</v>
      </c>
      <c r="K26" s="212">
        <v>3.0435979999999998</v>
      </c>
      <c r="L26" s="212">
        <v>10.412361468</v>
      </c>
      <c r="M26" s="212">
        <v>0.94661425499999996</v>
      </c>
      <c r="N26" s="212">
        <v>1.257298295</v>
      </c>
      <c r="O26" s="212">
        <v>1.9210801769999999</v>
      </c>
      <c r="P26" s="212">
        <v>1.251513308</v>
      </c>
      <c r="Q26" s="212">
        <v>1.5186299999999999</v>
      </c>
      <c r="R26" s="212">
        <v>1.686442365</v>
      </c>
      <c r="S26" s="212">
        <v>11.778396000000001</v>
      </c>
      <c r="T26" s="212">
        <v>2.8012069770000001</v>
      </c>
      <c r="U26" s="212">
        <v>3.1593139039999998</v>
      </c>
      <c r="V26" s="212">
        <v>1.5448450439999999</v>
      </c>
      <c r="W26" s="212">
        <v>1.3135798569999999</v>
      </c>
      <c r="X26" s="212">
        <v>3.304014553</v>
      </c>
      <c r="Y26" s="212">
        <v>1.8103659999999999</v>
      </c>
      <c r="Z26" s="212">
        <v>1.581251</v>
      </c>
      <c r="AA26" s="212">
        <v>1.253437181</v>
      </c>
      <c r="AB26" s="212">
        <v>1.095118646</v>
      </c>
      <c r="AC26" s="212">
        <v>1.0973382</v>
      </c>
      <c r="AD26" s="212">
        <v>1.2837567780000001</v>
      </c>
      <c r="AE26" s="212">
        <v>1.281696825</v>
      </c>
      <c r="AF26" s="212">
        <v>1.2180795170000001</v>
      </c>
      <c r="AG26" s="212">
        <v>9.0841018859999991</v>
      </c>
      <c r="AH26" s="212">
        <v>1.715373662</v>
      </c>
      <c r="AI26" s="212">
        <v>3.6864729999999999</v>
      </c>
      <c r="AJ26" s="212">
        <v>2.2757710000000002</v>
      </c>
      <c r="AK26" s="212">
        <v>188.90088145000001</v>
      </c>
      <c r="AL26" s="212">
        <v>1.0188189000000001</v>
      </c>
      <c r="AM26" s="212">
        <v>1.8200091</v>
      </c>
      <c r="AN26" s="212">
        <v>8.4066074000000004</v>
      </c>
      <c r="AO26" s="212">
        <v>1.7157610999999999</v>
      </c>
      <c r="AP26" s="212">
        <v>1.7101462000000001</v>
      </c>
      <c r="AQ26" s="212">
        <v>2.3843198000000001</v>
      </c>
      <c r="AR26" s="212">
        <v>8.3764056</v>
      </c>
      <c r="AS26" s="212">
        <v>355.8698703</v>
      </c>
      <c r="AT26" s="212">
        <v>1.1578094000000001</v>
      </c>
      <c r="AU26" s="212">
        <v>2.9491426000000001</v>
      </c>
      <c r="AV26" s="212">
        <v>2.4612300999999999</v>
      </c>
      <c r="AW26" s="212">
        <v>1.5084567</v>
      </c>
      <c r="AX26" s="212">
        <v>1.1663665999999999</v>
      </c>
      <c r="AY26" s="212">
        <v>2.4625499</v>
      </c>
      <c r="AZ26" s="212" t="s">
        <v>830</v>
      </c>
      <c r="BA26" s="212">
        <v>1.8371253320000001</v>
      </c>
      <c r="BB26" s="212">
        <v>2.3240865999999998</v>
      </c>
      <c r="BC26" s="212">
        <v>2.92645</v>
      </c>
      <c r="BD26" s="212">
        <v>1.0584249999999999</v>
      </c>
      <c r="BE26" s="212">
        <v>1.0423530000000001</v>
      </c>
      <c r="BF26" s="212">
        <v>1.031901</v>
      </c>
      <c r="BG26" s="212">
        <v>1.0536810000000001</v>
      </c>
      <c r="BH26" s="212">
        <v>1.037925</v>
      </c>
      <c r="BI26" s="212">
        <v>1.183487</v>
      </c>
      <c r="BJ26" s="212">
        <v>1.0531200000000001</v>
      </c>
      <c r="BK26" s="212">
        <v>1.135915</v>
      </c>
      <c r="BL26" s="212">
        <v>1.17767</v>
      </c>
      <c r="BM26" s="212">
        <v>1.176768</v>
      </c>
      <c r="BN26" s="212">
        <v>1.025155</v>
      </c>
      <c r="BO26" s="212">
        <v>1.111864</v>
      </c>
      <c r="BP26" s="212">
        <v>2.5726779999999998</v>
      </c>
      <c r="BQ26" s="212">
        <v>1.339968</v>
      </c>
      <c r="BR26" s="212">
        <v>1.396128</v>
      </c>
      <c r="BS26" s="212">
        <v>1.2188589999999999</v>
      </c>
      <c r="BT26" s="212">
        <v>1.687368</v>
      </c>
      <c r="BU26" s="212">
        <v>1.6638740000000001</v>
      </c>
      <c r="BV26" s="212">
        <v>1.8445229999999999</v>
      </c>
      <c r="BW26" s="212">
        <v>1.6886399999999999</v>
      </c>
      <c r="BX26" s="212">
        <v>1.6596169999999999</v>
      </c>
      <c r="BY26" s="212">
        <v>1.6502159999999999</v>
      </c>
      <c r="BZ26" s="212">
        <v>1.901281</v>
      </c>
      <c r="CA26" s="212">
        <v>1.839488</v>
      </c>
      <c r="CB26" s="212">
        <v>1.853912</v>
      </c>
      <c r="CC26" s="212">
        <v>1.797831</v>
      </c>
      <c r="CD26" s="212">
        <v>1.798689</v>
      </c>
      <c r="CE26" s="212">
        <v>1.7491509999999999</v>
      </c>
      <c r="CF26" s="212">
        <v>1.072622</v>
      </c>
      <c r="CG26" s="212">
        <v>1.250281</v>
      </c>
      <c r="CH26" s="212">
        <v>1.265074</v>
      </c>
      <c r="CI26" s="212">
        <v>2.7821180000000001</v>
      </c>
      <c r="CJ26" s="212">
        <v>0.89900800000000003</v>
      </c>
      <c r="CK26" s="212">
        <v>0.97648999999999997</v>
      </c>
      <c r="CL26" s="212">
        <v>0.66810400000000003</v>
      </c>
      <c r="CM26" s="212">
        <v>2.8931260000000001</v>
      </c>
      <c r="CN26" s="212">
        <v>2.0237759999999998</v>
      </c>
      <c r="CO26" s="212">
        <v>1.019927</v>
      </c>
      <c r="CP26" s="212">
        <v>1.0122990000000001</v>
      </c>
      <c r="CQ26" s="212">
        <v>1.243563</v>
      </c>
      <c r="CR26" s="212">
        <v>13.55377</v>
      </c>
      <c r="CS26" s="212">
        <v>4.2239950000000004</v>
      </c>
      <c r="CT26" s="212">
        <v>1.9107810000000001</v>
      </c>
      <c r="CU26" s="212">
        <v>5.1207130000000003</v>
      </c>
      <c r="CV26" s="212">
        <v>9.0903519999999993</v>
      </c>
      <c r="CW26" s="212" t="s">
        <v>830</v>
      </c>
      <c r="CX26" s="212">
        <v>1.1877295986</v>
      </c>
      <c r="CY26" s="212">
        <v>1.9590264770000001</v>
      </c>
      <c r="CZ26" s="212">
        <v>1.1355648216000001</v>
      </c>
      <c r="DA26" s="212">
        <v>14.090357702</v>
      </c>
      <c r="DB26" s="212">
        <v>1.0674490000000001</v>
      </c>
      <c r="DC26" s="212">
        <v>1.046692</v>
      </c>
      <c r="DD26" s="212">
        <v>1.8453790000000001</v>
      </c>
      <c r="DE26" s="212">
        <v>1.7838529999999999</v>
      </c>
      <c r="DF26" s="212">
        <v>1.72872</v>
      </c>
      <c r="DG26" s="212">
        <v>1.0083785300000001</v>
      </c>
      <c r="DH26" s="212">
        <v>121.98937955</v>
      </c>
      <c r="DI26" s="212">
        <v>0.25190553999999998</v>
      </c>
      <c r="DJ26" s="212">
        <v>2.0232359</v>
      </c>
      <c r="DK26" s="212">
        <v>1.880881</v>
      </c>
      <c r="DL26" s="212">
        <v>148249.87603000001</v>
      </c>
      <c r="DM26" s="212">
        <v>308.02185989999998</v>
      </c>
      <c r="DN26" s="212">
        <v>17.4328957</v>
      </c>
      <c r="DO26" s="212" t="s">
        <v>830</v>
      </c>
      <c r="DP26" s="212">
        <v>18141892.306000002</v>
      </c>
      <c r="DQ26" s="212">
        <v>1.5419023000000001</v>
      </c>
      <c r="DR26" s="212">
        <v>14.3864816</v>
      </c>
      <c r="DS26" s="212">
        <v>21.053768399999999</v>
      </c>
      <c r="DT26" s="212">
        <v>1.7615721</v>
      </c>
      <c r="DU26" s="212">
        <v>1.0975139</v>
      </c>
      <c r="DV26" s="212">
        <v>1645.7278494</v>
      </c>
      <c r="DW26" s="212">
        <v>23124.300681000001</v>
      </c>
      <c r="DX26" s="212">
        <v>0.80072399100000002</v>
      </c>
      <c r="DY26" s="212">
        <v>10.324002999999999</v>
      </c>
      <c r="DZ26" s="212">
        <v>220.25885099999999</v>
      </c>
      <c r="EA26" s="212">
        <v>17.548956</v>
      </c>
      <c r="EB26" s="212">
        <v>20.144369000000001</v>
      </c>
      <c r="EC26" s="212">
        <v>18.804991999999999</v>
      </c>
      <c r="ED26" s="212">
        <v>2190.4035410000001</v>
      </c>
      <c r="EE26" s="212">
        <v>22.438596</v>
      </c>
      <c r="EF26" s="212">
        <v>33.599263999999998</v>
      </c>
      <c r="EG26" s="212">
        <v>1.4029354999999999</v>
      </c>
      <c r="EH26" s="212">
        <v>0.63367090000000004</v>
      </c>
      <c r="EI26" s="212">
        <v>1.1427126000000001</v>
      </c>
      <c r="EJ26" s="212">
        <v>1.919708</v>
      </c>
      <c r="EK26" s="212">
        <v>1.5986179</v>
      </c>
      <c r="EL26" s="212">
        <v>2.6839776999999998</v>
      </c>
      <c r="EM26">
        <v>1.2772952500000001</v>
      </c>
      <c r="EN26">
        <v>2.2385960800000002</v>
      </c>
      <c r="EO26">
        <v>1.3670112999999999</v>
      </c>
      <c r="EP26">
        <v>253.664029</v>
      </c>
      <c r="EQ26">
        <v>180.20027899999999</v>
      </c>
      <c r="ER26">
        <v>15.616640800000001</v>
      </c>
      <c r="ES26">
        <v>13.8405056</v>
      </c>
      <c r="ET26">
        <v>8.6505358999999995</v>
      </c>
      <c r="EU26">
        <v>184.83033610000001</v>
      </c>
      <c r="EV26">
        <v>117.3587811</v>
      </c>
      <c r="EW26">
        <v>17.3146445</v>
      </c>
      <c r="EX26">
        <v>100.2926392</v>
      </c>
      <c r="EY26">
        <v>2.3855954000000001</v>
      </c>
      <c r="EZ26">
        <v>2259.7345006</v>
      </c>
      <c r="FA26" s="223">
        <v>8.2504849999999994</v>
      </c>
      <c r="FB26" s="223">
        <v>1.0349543999999999</v>
      </c>
      <c r="FC26" s="223">
        <v>1.9073859</v>
      </c>
      <c r="FD26">
        <v>2.7765865999999999</v>
      </c>
      <c r="FE26">
        <v>1.2105714999999999</v>
      </c>
      <c r="FF26">
        <v>1.5996212000000001</v>
      </c>
      <c r="FG26">
        <v>0.81136154999999999</v>
      </c>
      <c r="FH26">
        <v>1.1146619499999999</v>
      </c>
      <c r="FI26">
        <v>0.83879309999999996</v>
      </c>
      <c r="FJ26">
        <v>103.55556245</v>
      </c>
    </row>
    <row r="27" spans="1:166" x14ac:dyDescent="0.3">
      <c r="A27" s="223">
        <v>26</v>
      </c>
      <c r="B27" s="315">
        <v>42347</v>
      </c>
      <c r="C27" s="212">
        <v>1017023.2629</v>
      </c>
      <c r="D27" s="212">
        <v>104.76645943</v>
      </c>
      <c r="E27" s="212">
        <v>1.3880246999999999</v>
      </c>
      <c r="F27" s="212">
        <v>7.1656912000000004</v>
      </c>
      <c r="G27" s="212">
        <v>4.4006304795000002</v>
      </c>
      <c r="H27" s="212">
        <v>4.2669846160000002</v>
      </c>
      <c r="I27" s="212">
        <v>1.058159125</v>
      </c>
      <c r="J27" s="212">
        <v>4.2767590000000002</v>
      </c>
      <c r="K27" s="212">
        <v>3.0447030000000002</v>
      </c>
      <c r="L27" s="212">
        <v>10.416912079999999</v>
      </c>
      <c r="M27" s="212">
        <v>0.97391409799999995</v>
      </c>
      <c r="N27" s="212">
        <v>1.2957137009999999</v>
      </c>
      <c r="O27" s="212">
        <v>1.92355721</v>
      </c>
      <c r="P27" s="212">
        <v>1.255226951</v>
      </c>
      <c r="Q27" s="212">
        <v>1.519398</v>
      </c>
      <c r="R27" s="212">
        <v>1.690066415</v>
      </c>
      <c r="S27" s="212">
        <v>11.802599000000001</v>
      </c>
      <c r="T27" s="212">
        <v>2.809348725</v>
      </c>
      <c r="U27" s="212">
        <v>3.1685707029999999</v>
      </c>
      <c r="V27" s="212">
        <v>1.5501876219999999</v>
      </c>
      <c r="W27" s="212">
        <v>1.315960228</v>
      </c>
      <c r="X27" s="212">
        <v>3.3098917370000001</v>
      </c>
      <c r="Y27" s="212">
        <v>1.811501</v>
      </c>
      <c r="Z27" s="212">
        <v>1.582087</v>
      </c>
      <c r="AA27" s="212">
        <v>1.257638655</v>
      </c>
      <c r="AB27" s="212">
        <v>1.096937571</v>
      </c>
      <c r="AC27" s="212">
        <v>1.0996152269999999</v>
      </c>
      <c r="AD27" s="212">
        <v>1.2858330870000001</v>
      </c>
      <c r="AE27" s="212">
        <v>1.283770364</v>
      </c>
      <c r="AF27" s="212">
        <v>1.2218291429999999</v>
      </c>
      <c r="AG27" s="212">
        <v>9.0887397669999999</v>
      </c>
      <c r="AH27" s="212">
        <v>1.7186531469999999</v>
      </c>
      <c r="AI27" s="212">
        <v>3.6885479999999999</v>
      </c>
      <c r="AJ27" s="212">
        <v>2.28179</v>
      </c>
      <c r="AK27" s="212">
        <v>189.14010321000001</v>
      </c>
      <c r="AL27" s="212">
        <v>1.0210953</v>
      </c>
      <c r="AM27" s="212">
        <v>1.8253888</v>
      </c>
      <c r="AN27" s="212">
        <v>8.4110516999999998</v>
      </c>
      <c r="AO27" s="212">
        <v>1.7166059</v>
      </c>
      <c r="AP27" s="212">
        <v>1.7109827</v>
      </c>
      <c r="AQ27" s="212">
        <v>2.3855466999999999</v>
      </c>
      <c r="AR27" s="212">
        <v>8.3807533999999997</v>
      </c>
      <c r="AS27" s="212">
        <v>369.20226789999998</v>
      </c>
      <c r="AT27" s="212">
        <v>1.1773435999999999</v>
      </c>
      <c r="AU27" s="212">
        <v>2.9505840000000001</v>
      </c>
      <c r="AV27" s="212">
        <v>2.4683066</v>
      </c>
      <c r="AW27" s="212">
        <v>1.513673</v>
      </c>
      <c r="AX27" s="212">
        <v>1.1688023999999999</v>
      </c>
      <c r="AY27" s="212">
        <v>2.4669956000000002</v>
      </c>
      <c r="AZ27" s="212" t="s">
        <v>830</v>
      </c>
      <c r="BA27" s="212">
        <v>1.838061551</v>
      </c>
      <c r="BB27" s="212">
        <v>2.3314849999999998</v>
      </c>
      <c r="BC27" s="212">
        <v>2.9281950000000001</v>
      </c>
      <c r="BD27" s="212">
        <v>1.0600540000000001</v>
      </c>
      <c r="BE27" s="212">
        <v>1.043957</v>
      </c>
      <c r="BF27" s="212">
        <v>1.0334890000000001</v>
      </c>
      <c r="BG27" s="212">
        <v>1.055301</v>
      </c>
      <c r="BH27" s="212">
        <v>1.0395209999999999</v>
      </c>
      <c r="BI27" s="212">
        <v>1.1854039999999999</v>
      </c>
      <c r="BJ27" s="212">
        <v>1.0556700000000001</v>
      </c>
      <c r="BK27" s="212">
        <v>1.1388670000000001</v>
      </c>
      <c r="BL27" s="212">
        <v>1.179575</v>
      </c>
      <c r="BM27" s="212">
        <v>1.178677</v>
      </c>
      <c r="BN27" s="212">
        <v>1.0282849999999999</v>
      </c>
      <c r="BO27" s="212">
        <v>1.113521</v>
      </c>
      <c r="BP27" s="212">
        <v>2.5740219999999998</v>
      </c>
      <c r="BQ27" s="212">
        <v>1.340627</v>
      </c>
      <c r="BR27" s="212">
        <v>1.3990499999999999</v>
      </c>
      <c r="BS27" s="212">
        <v>1.2229969999999999</v>
      </c>
      <c r="BT27" s="212">
        <v>1.6904859999999999</v>
      </c>
      <c r="BU27" s="212">
        <v>1.666388</v>
      </c>
      <c r="BV27" s="212">
        <v>1.8473619999999999</v>
      </c>
      <c r="BW27" s="212">
        <v>1.6903649999999999</v>
      </c>
      <c r="BX27" s="212">
        <v>1.662361</v>
      </c>
      <c r="BY27" s="212">
        <v>1.652239</v>
      </c>
      <c r="BZ27" s="212">
        <v>1.90401</v>
      </c>
      <c r="CA27" s="212">
        <v>1.8419239999999999</v>
      </c>
      <c r="CB27" s="212">
        <v>1.857083</v>
      </c>
      <c r="CC27" s="212">
        <v>1.7997160000000001</v>
      </c>
      <c r="CD27" s="212">
        <v>1.8005720000000001</v>
      </c>
      <c r="CE27" s="212">
        <v>1.751228</v>
      </c>
      <c r="CF27" s="212">
        <v>1.0741510000000001</v>
      </c>
      <c r="CG27" s="212">
        <v>1.2534479999999999</v>
      </c>
      <c r="CH27" s="212">
        <v>1.2673399999999999</v>
      </c>
      <c r="CI27" s="212">
        <v>2.7837890000000001</v>
      </c>
      <c r="CJ27" s="212">
        <v>0.991564</v>
      </c>
      <c r="CK27" s="212">
        <v>1.074951</v>
      </c>
      <c r="CL27" s="212">
        <v>0.69129200000000002</v>
      </c>
      <c r="CM27" s="212">
        <v>3.0451860000000002</v>
      </c>
      <c r="CN27" s="212">
        <v>1.9617640000000001</v>
      </c>
      <c r="CO27" s="212">
        <v>1.0446470000000001</v>
      </c>
      <c r="CP27" s="212">
        <v>1.028732</v>
      </c>
      <c r="CQ27" s="212">
        <v>1.2442089999999999</v>
      </c>
      <c r="CR27" s="212">
        <v>13.560069</v>
      </c>
      <c r="CS27" s="212">
        <v>4.2260450000000001</v>
      </c>
      <c r="CT27" s="212">
        <v>1.916096</v>
      </c>
      <c r="CU27" s="212">
        <v>5.1223789999999996</v>
      </c>
      <c r="CV27" s="212">
        <v>9.094576</v>
      </c>
      <c r="CW27" s="212" t="s">
        <v>830</v>
      </c>
      <c r="CX27" s="212">
        <v>1.1883469783</v>
      </c>
      <c r="CY27" s="212">
        <v>1.9590331593000001</v>
      </c>
      <c r="CZ27" s="212">
        <v>1.1362318241</v>
      </c>
      <c r="DA27" s="212">
        <v>14.097462534</v>
      </c>
      <c r="DB27" s="212">
        <v>1.0690919999999999</v>
      </c>
      <c r="DC27" s="212">
        <v>1.0492269999999999</v>
      </c>
      <c r="DD27" s="212">
        <v>1.8491120000000001</v>
      </c>
      <c r="DE27" s="212">
        <v>1.788813</v>
      </c>
      <c r="DF27" s="212">
        <v>1.7298290000000001</v>
      </c>
      <c r="DG27" s="212">
        <v>1.0103450300000001</v>
      </c>
      <c r="DH27" s="212">
        <v>122.06203438999999</v>
      </c>
      <c r="DI27" s="212">
        <v>0.25204264999999998</v>
      </c>
      <c r="DJ27" s="212">
        <v>2.0241691999999998</v>
      </c>
      <c r="DK27" s="212">
        <v>1.88089225</v>
      </c>
      <c r="DL27" s="212">
        <v>148347.15839999999</v>
      </c>
      <c r="DM27" s="212">
        <v>308.15764819999998</v>
      </c>
      <c r="DN27" s="212">
        <v>17.444173899999999</v>
      </c>
      <c r="DO27" s="212" t="s">
        <v>830</v>
      </c>
      <c r="DP27" s="212">
        <v>18116537.954</v>
      </c>
      <c r="DQ27" s="212">
        <v>1.5435715000000001</v>
      </c>
      <c r="DR27" s="212">
        <v>14.3935969</v>
      </c>
      <c r="DS27" s="212">
        <v>21.064958900000001</v>
      </c>
      <c r="DT27" s="212">
        <v>1.7754805</v>
      </c>
      <c r="DU27" s="212">
        <v>1.1265217999999999</v>
      </c>
      <c r="DV27" s="212">
        <v>1646.4653234</v>
      </c>
      <c r="DW27" s="212">
        <v>23121.377267</v>
      </c>
      <c r="DX27" s="212">
        <v>0.80598272999999998</v>
      </c>
      <c r="DY27" s="212">
        <v>10.644057999999999</v>
      </c>
      <c r="DZ27" s="212">
        <v>220.37981300000001</v>
      </c>
      <c r="EA27" s="212">
        <v>17.580113000000001</v>
      </c>
      <c r="EB27" s="212">
        <v>20.186430999999999</v>
      </c>
      <c r="EC27" s="212">
        <v>18.859921</v>
      </c>
      <c r="ED27" s="212">
        <v>2191.561596</v>
      </c>
      <c r="EE27" s="212">
        <v>22.449643999999999</v>
      </c>
      <c r="EF27" s="212">
        <v>33.616706999999998</v>
      </c>
      <c r="EG27" s="212">
        <v>1.4148551</v>
      </c>
      <c r="EH27" s="212">
        <v>0.63388230000000001</v>
      </c>
      <c r="EI27" s="212">
        <v>1.1444574000000001</v>
      </c>
      <c r="EJ27" s="212">
        <v>1.92229805</v>
      </c>
      <c r="EK27" s="212">
        <v>1.6040490999999999</v>
      </c>
      <c r="EL27" s="212">
        <v>2.6930966999999999</v>
      </c>
      <c r="EM27">
        <v>1.27743311</v>
      </c>
      <c r="EN27">
        <v>2.24229689</v>
      </c>
      <c r="EO27">
        <v>1.3676440000000001</v>
      </c>
      <c r="EP27">
        <v>253.63950299999999</v>
      </c>
      <c r="EQ27">
        <v>180.70384100000001</v>
      </c>
      <c r="ER27">
        <v>15.6494137</v>
      </c>
      <c r="ES27">
        <v>13.8811626</v>
      </c>
      <c r="ET27">
        <v>8.6549834000000008</v>
      </c>
      <c r="EU27">
        <v>185.37169890000001</v>
      </c>
      <c r="EV27">
        <v>119.3951457</v>
      </c>
      <c r="EW27">
        <v>17.325383800000001</v>
      </c>
      <c r="EX27">
        <v>100.34102729999999</v>
      </c>
      <c r="EY27">
        <v>2.6425841000000001</v>
      </c>
      <c r="EZ27">
        <v>2260.7658207999998</v>
      </c>
      <c r="FA27" s="223">
        <v>8.2540209999999998</v>
      </c>
      <c r="FB27" s="223">
        <v>1.0670541</v>
      </c>
      <c r="FC27" s="223">
        <v>1.9131355000000001</v>
      </c>
      <c r="FD27">
        <v>2.7779940000000001</v>
      </c>
      <c r="FE27">
        <v>1.2113417</v>
      </c>
      <c r="FF27">
        <v>1.6026577</v>
      </c>
      <c r="FG27">
        <v>0.83051810000000004</v>
      </c>
      <c r="FH27">
        <v>1.1124859199999999</v>
      </c>
      <c r="FI27">
        <v>0.83873441999999998</v>
      </c>
      <c r="FJ27">
        <v>103.57849007999999</v>
      </c>
    </row>
    <row r="28" spans="1:166" x14ac:dyDescent="0.3">
      <c r="A28" s="223">
        <v>27</v>
      </c>
      <c r="B28" s="315">
        <v>42348</v>
      </c>
      <c r="C28" s="212">
        <v>1016953.8503</v>
      </c>
      <c r="D28" s="212">
        <v>104.76241315999999</v>
      </c>
      <c r="E28" s="212">
        <v>1.3281848000000001</v>
      </c>
      <c r="F28" s="212">
        <v>7.1604194999999997</v>
      </c>
      <c r="G28" s="212">
        <v>4.4128227853000004</v>
      </c>
      <c r="H28" s="212">
        <v>4.1417342750000001</v>
      </c>
      <c r="I28" s="212">
        <v>1.046444945</v>
      </c>
      <c r="J28" s="212">
        <v>4.27895</v>
      </c>
      <c r="K28" s="212">
        <v>3.0457930000000002</v>
      </c>
      <c r="L28" s="212">
        <v>10.421342444</v>
      </c>
      <c r="M28" s="212">
        <v>0.96689582399999996</v>
      </c>
      <c r="N28" s="212">
        <v>1.282893238</v>
      </c>
      <c r="O28" s="212">
        <v>1.9269676</v>
      </c>
      <c r="P28" s="212">
        <v>1.2503560540000001</v>
      </c>
      <c r="Q28" s="212">
        <v>1.5201210000000001</v>
      </c>
      <c r="R28" s="212">
        <v>1.6861171479999999</v>
      </c>
      <c r="S28" s="212">
        <v>11.774074000000001</v>
      </c>
      <c r="T28" s="212">
        <v>2.8030931400000001</v>
      </c>
      <c r="U28" s="212">
        <v>3.161761995</v>
      </c>
      <c r="V28" s="212">
        <v>1.5471110400000001</v>
      </c>
      <c r="W28" s="212">
        <v>1.3136485570000001</v>
      </c>
      <c r="X28" s="212">
        <v>3.3000325749999999</v>
      </c>
      <c r="Y28" s="212">
        <v>1.8119289999999999</v>
      </c>
      <c r="Z28" s="212">
        <v>1.5829009999999999</v>
      </c>
      <c r="AA28" s="212">
        <v>1.2538124150000001</v>
      </c>
      <c r="AB28" s="212">
        <v>1.0967757680000001</v>
      </c>
      <c r="AC28" s="212">
        <v>1.0977117949999999</v>
      </c>
      <c r="AD28" s="212">
        <v>1.286749532</v>
      </c>
      <c r="AE28" s="212">
        <v>1.2846863529999999</v>
      </c>
      <c r="AF28" s="212">
        <v>1.2179350280000001</v>
      </c>
      <c r="AG28" s="212">
        <v>9.093407741</v>
      </c>
      <c r="AH28" s="212">
        <v>1.7192635439999999</v>
      </c>
      <c r="AI28" s="212">
        <v>3.6899389999999999</v>
      </c>
      <c r="AJ28" s="212">
        <v>2.2754110000000001</v>
      </c>
      <c r="AK28" s="212">
        <v>189.02950723999999</v>
      </c>
      <c r="AL28" s="212">
        <v>1.0168387000000001</v>
      </c>
      <c r="AM28" s="212">
        <v>1.8212215</v>
      </c>
      <c r="AN28" s="212">
        <v>8.4154984000000006</v>
      </c>
      <c r="AO28" s="212">
        <v>1.7176916</v>
      </c>
      <c r="AP28" s="212">
        <v>1.7120549</v>
      </c>
      <c r="AQ28" s="212">
        <v>2.3867775999999998</v>
      </c>
      <c r="AR28" s="212">
        <v>8.3851017999999993</v>
      </c>
      <c r="AS28" s="212">
        <v>365.47533199999998</v>
      </c>
      <c r="AT28" s="212">
        <v>1.1697629</v>
      </c>
      <c r="AU28" s="212">
        <v>2.9520255999999998</v>
      </c>
      <c r="AV28" s="212">
        <v>2.4625537</v>
      </c>
      <c r="AW28" s="212">
        <v>1.5106002999999999</v>
      </c>
      <c r="AX28" s="212">
        <v>1.1659553</v>
      </c>
      <c r="AY28" s="212">
        <v>2.4621493999999999</v>
      </c>
      <c r="AZ28" s="212" t="s">
        <v>830</v>
      </c>
      <c r="BA28" s="212">
        <v>1.8390008360000001</v>
      </c>
      <c r="BB28" s="212">
        <v>2.3268564999999999</v>
      </c>
      <c r="BC28" s="212">
        <v>2.9289670000000001</v>
      </c>
      <c r="BD28" s="212">
        <v>1.06046</v>
      </c>
      <c r="BE28" s="212">
        <v>1.044357</v>
      </c>
      <c r="BF28" s="212">
        <v>1.0338860000000001</v>
      </c>
      <c r="BG28" s="212">
        <v>1.055706</v>
      </c>
      <c r="BH28" s="212">
        <v>1.039919</v>
      </c>
      <c r="BI28" s="212">
        <v>1.1862509999999999</v>
      </c>
      <c r="BJ28" s="212">
        <v>1.0520620000000001</v>
      </c>
      <c r="BK28" s="212">
        <v>1.1334979999999999</v>
      </c>
      <c r="BL28" s="212">
        <v>1.180415</v>
      </c>
      <c r="BM28" s="212">
        <v>1.1795199999999999</v>
      </c>
      <c r="BN28" s="212">
        <v>1.025541</v>
      </c>
      <c r="BO28" s="212">
        <v>1.108598</v>
      </c>
      <c r="BP28" s="212">
        <v>2.5753919999999999</v>
      </c>
      <c r="BQ28" s="212">
        <v>1.341286</v>
      </c>
      <c r="BR28" s="212">
        <v>1.395993</v>
      </c>
      <c r="BS28" s="212">
        <v>1.2205029999999999</v>
      </c>
      <c r="BT28" s="212">
        <v>1.6874560000000001</v>
      </c>
      <c r="BU28" s="212">
        <v>1.667559</v>
      </c>
      <c r="BV28" s="212">
        <v>1.848571</v>
      </c>
      <c r="BW28" s="212">
        <v>1.69154</v>
      </c>
      <c r="BX28" s="212">
        <v>1.663592</v>
      </c>
      <c r="BY28" s="212">
        <v>1.6535059999999999</v>
      </c>
      <c r="BZ28" s="212">
        <v>1.905311</v>
      </c>
      <c r="CA28" s="212">
        <v>1.8431310000000001</v>
      </c>
      <c r="CB28" s="212">
        <v>1.8582959999999999</v>
      </c>
      <c r="CC28" s="212">
        <v>1.8008930000000001</v>
      </c>
      <c r="CD28" s="212">
        <v>1.8017479999999999</v>
      </c>
      <c r="CE28" s="212">
        <v>1.752405</v>
      </c>
      <c r="CF28" s="212">
        <v>1.074967</v>
      </c>
      <c r="CG28" s="212">
        <v>1.2472780000000001</v>
      </c>
      <c r="CH28" s="212">
        <v>1.2636419999999999</v>
      </c>
      <c r="CI28" s="212">
        <v>2.7844259999999998</v>
      </c>
      <c r="CJ28" s="212">
        <v>0.97705699999999995</v>
      </c>
      <c r="CK28" s="212">
        <v>1.0593840000000001</v>
      </c>
      <c r="CL28" s="212">
        <v>0.68706199999999995</v>
      </c>
      <c r="CM28" s="212">
        <v>3.0106850000000001</v>
      </c>
      <c r="CN28" s="212">
        <v>2.0101640000000001</v>
      </c>
      <c r="CO28" s="212">
        <v>1.0387</v>
      </c>
      <c r="CP28" s="212">
        <v>1.024672</v>
      </c>
      <c r="CQ28" s="212">
        <v>1.244855</v>
      </c>
      <c r="CR28" s="212">
        <v>13.566371</v>
      </c>
      <c r="CS28" s="212">
        <v>4.2279010000000001</v>
      </c>
      <c r="CT28" s="212">
        <v>1.9125479999999999</v>
      </c>
      <c r="CU28" s="212">
        <v>5.1240459999999999</v>
      </c>
      <c r="CV28" s="212">
        <v>9.0988059999999997</v>
      </c>
      <c r="CW28" s="212" t="s">
        <v>830</v>
      </c>
      <c r="CX28" s="212">
        <v>1.1889676250000001</v>
      </c>
      <c r="CY28" s="212">
        <v>1.9645227064999999</v>
      </c>
      <c r="CZ28" s="212">
        <v>1.1366182442999999</v>
      </c>
      <c r="DA28" s="212">
        <v>14.104601670999999</v>
      </c>
      <c r="DB28" s="212">
        <v>1.069502</v>
      </c>
      <c r="DC28" s="212">
        <v>1.045642</v>
      </c>
      <c r="DD28" s="212">
        <v>1.8447830000000001</v>
      </c>
      <c r="DE28" s="212">
        <v>1.784198</v>
      </c>
      <c r="DF28" s="212">
        <v>1.7301960000000001</v>
      </c>
      <c r="DG28" s="212">
        <v>1.0068144800000001</v>
      </c>
      <c r="DH28" s="212">
        <v>122.13529330999999</v>
      </c>
      <c r="DI28" s="212">
        <v>0.25203239</v>
      </c>
      <c r="DJ28" s="212">
        <v>2.0254382999999998</v>
      </c>
      <c r="DK28" s="212">
        <v>1.87771859</v>
      </c>
      <c r="DL28" s="212">
        <v>148444.5043</v>
      </c>
      <c r="DM28" s="212">
        <v>308.3093897</v>
      </c>
      <c r="DN28" s="212">
        <v>17.455194800000001</v>
      </c>
      <c r="DO28" s="212" t="s">
        <v>830</v>
      </c>
      <c r="DP28" s="212">
        <v>18115351.682999998</v>
      </c>
      <c r="DQ28" s="212">
        <v>1.5486283000000001</v>
      </c>
      <c r="DR28" s="212">
        <v>14.401009500000001</v>
      </c>
      <c r="DS28" s="212">
        <v>21.076209599999999</v>
      </c>
      <c r="DT28" s="212">
        <v>1.7655836</v>
      </c>
      <c r="DU28" s="212">
        <v>1.1157106000000001</v>
      </c>
      <c r="DV28" s="212">
        <v>1646.9626522000001</v>
      </c>
      <c r="DW28" s="212">
        <v>23118.194051999999</v>
      </c>
      <c r="DX28" s="212">
        <v>0.79638383700000004</v>
      </c>
      <c r="DY28" s="212">
        <v>10.534324</v>
      </c>
      <c r="DZ28" s="212">
        <v>220.437859</v>
      </c>
      <c r="EA28" s="212">
        <v>17.527629000000001</v>
      </c>
      <c r="EB28" s="212">
        <v>20.138477999999999</v>
      </c>
      <c r="EC28" s="212">
        <v>18.818200000000001</v>
      </c>
      <c r="ED28" s="212">
        <v>2192.7115800000001</v>
      </c>
      <c r="EE28" s="212">
        <v>22.463761000000002</v>
      </c>
      <c r="EF28" s="212">
        <v>33.634144999999997</v>
      </c>
      <c r="EG28" s="212">
        <v>1.4142574000000001</v>
      </c>
      <c r="EH28" s="212">
        <v>0.63409000000000004</v>
      </c>
      <c r="EI28" s="212">
        <v>1.1436120999999999</v>
      </c>
      <c r="EJ28" s="212">
        <v>1.9236603800000001</v>
      </c>
      <c r="EK28" s="212">
        <v>1.6029781999999999</v>
      </c>
      <c r="EL28" s="212">
        <v>2.6912991000000002</v>
      </c>
      <c r="EM28">
        <v>1.27757308</v>
      </c>
      <c r="EN28">
        <v>2.2439716700000001</v>
      </c>
      <c r="EO28">
        <v>1.3682924000000001</v>
      </c>
      <c r="EP28">
        <v>253.835939</v>
      </c>
      <c r="EQ28">
        <v>180.41332</v>
      </c>
      <c r="ER28">
        <v>15.6123052</v>
      </c>
      <c r="ES28">
        <v>13.850585000000001</v>
      </c>
      <c r="ET28">
        <v>8.6594856999999994</v>
      </c>
      <c r="EU28">
        <v>184.9618055</v>
      </c>
      <c r="EV28">
        <v>118.2793279</v>
      </c>
      <c r="EW28">
        <v>17.3293103</v>
      </c>
      <c r="EX28">
        <v>100.3900477</v>
      </c>
      <c r="EY28">
        <v>2.5700696000000001</v>
      </c>
      <c r="EZ28">
        <v>2261.9024601000001</v>
      </c>
      <c r="FA28" s="223">
        <v>8.2575540000000007</v>
      </c>
      <c r="FB28" s="223">
        <v>1.0605671999999999</v>
      </c>
      <c r="FC28" s="223">
        <v>1.9093886</v>
      </c>
      <c r="FD28">
        <v>2.7794006000000002</v>
      </c>
      <c r="FE28">
        <v>1.2115673</v>
      </c>
      <c r="FF28">
        <v>1.5979337</v>
      </c>
      <c r="FG28">
        <v>0.82495984</v>
      </c>
      <c r="FH28">
        <v>1.1123186599999999</v>
      </c>
      <c r="FI28">
        <v>0.83867663000000003</v>
      </c>
      <c r="FJ28">
        <v>103.92169161</v>
      </c>
    </row>
    <row r="29" spans="1:166" x14ac:dyDescent="0.3">
      <c r="A29" s="223">
        <v>28</v>
      </c>
      <c r="B29" s="315">
        <v>42349</v>
      </c>
      <c r="C29" s="212">
        <v>1016850.3535</v>
      </c>
      <c r="D29" s="212">
        <v>104.75836911</v>
      </c>
      <c r="E29" s="212">
        <v>1.3287998000000001</v>
      </c>
      <c r="F29" s="212">
        <v>7.1424162999999998</v>
      </c>
      <c r="G29" s="212">
        <v>4.4043770832</v>
      </c>
      <c r="H29" s="212">
        <v>4.1222277030000001</v>
      </c>
      <c r="I29" s="212">
        <v>1.045338192</v>
      </c>
      <c r="J29" s="212">
        <v>4.2811519999999996</v>
      </c>
      <c r="K29" s="212">
        <v>3.046859</v>
      </c>
      <c r="L29" s="212">
        <v>10.426022711</v>
      </c>
      <c r="M29" s="212">
        <v>0.96072743900000002</v>
      </c>
      <c r="N29" s="212">
        <v>1.2772441539999999</v>
      </c>
      <c r="O29" s="212">
        <v>1.927299066</v>
      </c>
      <c r="P29" s="212">
        <v>1.251474392</v>
      </c>
      <c r="Q29" s="212">
        <v>1.5208699999999999</v>
      </c>
      <c r="R29" s="212">
        <v>1.68732963</v>
      </c>
      <c r="S29" s="212">
        <v>11.782005</v>
      </c>
      <c r="T29" s="212">
        <v>2.802002442</v>
      </c>
      <c r="U29" s="212">
        <v>3.1603609389999998</v>
      </c>
      <c r="V29" s="212">
        <v>1.545288717</v>
      </c>
      <c r="W29" s="212">
        <v>1.3132788769999999</v>
      </c>
      <c r="X29" s="212">
        <v>3.2983163119999999</v>
      </c>
      <c r="Y29" s="212">
        <v>1.8126580000000001</v>
      </c>
      <c r="Z29" s="212">
        <v>1.5837559999999999</v>
      </c>
      <c r="AA29" s="212">
        <v>1.253771808</v>
      </c>
      <c r="AB29" s="212">
        <v>1.097293061</v>
      </c>
      <c r="AC29" s="212">
        <v>1.098403647</v>
      </c>
      <c r="AD29" s="212">
        <v>1.2876666409999999</v>
      </c>
      <c r="AE29" s="212">
        <v>1.285602959</v>
      </c>
      <c r="AF29" s="212">
        <v>1.2188512920000001</v>
      </c>
      <c r="AG29" s="212">
        <v>9.0981338409999992</v>
      </c>
      <c r="AH29" s="212">
        <v>1.720079865</v>
      </c>
      <c r="AI29" s="212">
        <v>3.6918600000000001</v>
      </c>
      <c r="AJ29" s="212">
        <v>2.2751060000000001</v>
      </c>
      <c r="AK29" s="212">
        <v>188.87992138999999</v>
      </c>
      <c r="AL29" s="212">
        <v>1.0177695</v>
      </c>
      <c r="AM29" s="212">
        <v>1.8203847</v>
      </c>
      <c r="AN29" s="212">
        <v>8.4200002000000005</v>
      </c>
      <c r="AO29" s="212">
        <v>1.7181116999999999</v>
      </c>
      <c r="AP29" s="212">
        <v>1.7124636</v>
      </c>
      <c r="AQ29" s="212">
        <v>2.3880088000000002</v>
      </c>
      <c r="AR29" s="212">
        <v>8.3894531000000008</v>
      </c>
      <c r="AS29" s="212">
        <v>362.54600370000003</v>
      </c>
      <c r="AT29" s="212">
        <v>1.1649320000000001</v>
      </c>
      <c r="AU29" s="212">
        <v>2.9534682000000001</v>
      </c>
      <c r="AV29" s="212">
        <v>2.4615591999999999</v>
      </c>
      <c r="AW29" s="212">
        <v>1.5088436000000001</v>
      </c>
      <c r="AX29" s="212">
        <v>1.1667362999999999</v>
      </c>
      <c r="AY29" s="212">
        <v>2.4613216000000002</v>
      </c>
      <c r="AZ29" s="212" t="s">
        <v>830</v>
      </c>
      <c r="BA29" s="212">
        <v>1.839948473</v>
      </c>
      <c r="BB29" s="212">
        <v>2.3258146000000002</v>
      </c>
      <c r="BC29" s="212">
        <v>2.9304920000000001</v>
      </c>
      <c r="BD29" s="212">
        <v>1.0608740000000001</v>
      </c>
      <c r="BE29" s="212">
        <v>1.0447649999999999</v>
      </c>
      <c r="BF29" s="212">
        <v>1.034289</v>
      </c>
      <c r="BG29" s="212">
        <v>1.056119</v>
      </c>
      <c r="BH29" s="212">
        <v>1.0403249999999999</v>
      </c>
      <c r="BI29" s="212">
        <v>1.187098</v>
      </c>
      <c r="BJ29" s="212">
        <v>1.053083</v>
      </c>
      <c r="BK29" s="212">
        <v>1.134379</v>
      </c>
      <c r="BL29" s="212">
        <v>1.1812549999999999</v>
      </c>
      <c r="BM29" s="212">
        <v>1.180364</v>
      </c>
      <c r="BN29" s="212">
        <v>1.026119</v>
      </c>
      <c r="BO29" s="212">
        <v>1.106446</v>
      </c>
      <c r="BP29" s="212">
        <v>2.5766149999999999</v>
      </c>
      <c r="BQ29" s="212">
        <v>1.3419460000000001</v>
      </c>
      <c r="BR29" s="212">
        <v>1.3969940000000001</v>
      </c>
      <c r="BS29" s="212">
        <v>1.2190909999999999</v>
      </c>
      <c r="BT29" s="212">
        <v>1.687128</v>
      </c>
      <c r="BU29" s="212">
        <v>1.6690309999999999</v>
      </c>
      <c r="BV29" s="212">
        <v>1.8497980000000001</v>
      </c>
      <c r="BW29" s="212">
        <v>1.692731</v>
      </c>
      <c r="BX29" s="212">
        <v>1.6649970000000001</v>
      </c>
      <c r="BY29" s="212">
        <v>1.6549910000000001</v>
      </c>
      <c r="BZ29" s="212">
        <v>1.9066669999999999</v>
      </c>
      <c r="CA29" s="212">
        <v>1.8443400000000001</v>
      </c>
      <c r="CB29" s="212">
        <v>1.8595090000000001</v>
      </c>
      <c r="CC29" s="212">
        <v>1.802071</v>
      </c>
      <c r="CD29" s="212">
        <v>1.8029250000000001</v>
      </c>
      <c r="CE29" s="212">
        <v>1.7536069999999999</v>
      </c>
      <c r="CF29" s="212">
        <v>1.079086</v>
      </c>
      <c r="CG29" s="212">
        <v>1.245868</v>
      </c>
      <c r="CH29" s="212">
        <v>1.2629710000000001</v>
      </c>
      <c r="CI29" s="212">
        <v>2.7859039999999999</v>
      </c>
      <c r="CJ29" s="212">
        <v>0.97406700000000002</v>
      </c>
      <c r="CK29" s="212">
        <v>1.0559989999999999</v>
      </c>
      <c r="CL29" s="212">
        <v>0.68323400000000001</v>
      </c>
      <c r="CM29" s="212">
        <v>2.9898630000000002</v>
      </c>
      <c r="CN29" s="212">
        <v>2.0074679999999998</v>
      </c>
      <c r="CO29" s="212">
        <v>1.035218</v>
      </c>
      <c r="CP29" s="212">
        <v>1.0198240000000001</v>
      </c>
      <c r="CQ29" s="212">
        <v>1.2455050000000001</v>
      </c>
      <c r="CR29" s="212">
        <v>13.572699</v>
      </c>
      <c r="CS29" s="212">
        <v>4.2301669999999998</v>
      </c>
      <c r="CT29" s="212">
        <v>1.9117390000000001</v>
      </c>
      <c r="CU29" s="212">
        <v>5.1257130000000002</v>
      </c>
      <c r="CV29" s="212">
        <v>9.1030470000000001</v>
      </c>
      <c r="CW29" s="212" t="s">
        <v>830</v>
      </c>
      <c r="CX29" s="212">
        <v>1.1895888798000001</v>
      </c>
      <c r="CY29" s="212">
        <v>1.9608105924000001</v>
      </c>
      <c r="CZ29" s="212">
        <v>1.1369710886</v>
      </c>
      <c r="DA29" s="212">
        <v>14.111754978</v>
      </c>
      <c r="DB29" s="212">
        <v>1.06992</v>
      </c>
      <c r="DC29" s="212">
        <v>1.0466569999999999</v>
      </c>
      <c r="DD29" s="212">
        <v>1.8461129999999999</v>
      </c>
      <c r="DE29" s="212">
        <v>1.7833380000000001</v>
      </c>
      <c r="DF29" s="212">
        <v>1.7308870000000001</v>
      </c>
      <c r="DG29" s="212">
        <v>1.00569153</v>
      </c>
      <c r="DH29" s="212">
        <v>122.20783197</v>
      </c>
      <c r="DI29" s="212">
        <v>0.25206781</v>
      </c>
      <c r="DJ29" s="212">
        <v>2.0263754</v>
      </c>
      <c r="DK29" s="212">
        <v>1.8780325200000001</v>
      </c>
      <c r="DL29" s="212">
        <v>148541.91334</v>
      </c>
      <c r="DM29" s="212">
        <v>308.45240430000001</v>
      </c>
      <c r="DN29" s="212">
        <v>17.4662252</v>
      </c>
      <c r="DO29" s="212" t="s">
        <v>830</v>
      </c>
      <c r="DP29" s="212">
        <v>18114033.059</v>
      </c>
      <c r="DQ29" s="212">
        <v>1.5416277</v>
      </c>
      <c r="DR29" s="212">
        <v>14.4082109</v>
      </c>
      <c r="DS29" s="212">
        <v>21.0873609</v>
      </c>
      <c r="DT29" s="212">
        <v>1.7663911000000001</v>
      </c>
      <c r="DU29" s="212">
        <v>1.1122356</v>
      </c>
      <c r="DV29" s="212">
        <v>1647.9565886</v>
      </c>
      <c r="DW29" s="212">
        <v>23115.546316</v>
      </c>
      <c r="DX29" s="212">
        <v>0.80375344800000004</v>
      </c>
      <c r="DY29" s="212">
        <v>10.473305999999999</v>
      </c>
      <c r="DZ29" s="212">
        <v>220.50982099999999</v>
      </c>
      <c r="EA29" s="212">
        <v>17.518159000000001</v>
      </c>
      <c r="EB29" s="212">
        <v>20.151837</v>
      </c>
      <c r="EC29" s="212">
        <v>18.809705000000001</v>
      </c>
      <c r="ED29" s="212">
        <v>2193.8972709999998</v>
      </c>
      <c r="EE29" s="212">
        <v>22.469348</v>
      </c>
      <c r="EF29" s="212">
        <v>33.651615</v>
      </c>
      <c r="EG29" s="212">
        <v>1.4202132999999999</v>
      </c>
      <c r="EH29" s="212">
        <v>0.63429789999999997</v>
      </c>
      <c r="EI29" s="212">
        <v>1.1434475</v>
      </c>
      <c r="EJ29" s="212">
        <v>1.9250540599999999</v>
      </c>
      <c r="EK29" s="212">
        <v>1.6026503000000001</v>
      </c>
      <c r="EL29" s="212">
        <v>2.6907491000000001</v>
      </c>
      <c r="EM29">
        <v>1.27771853</v>
      </c>
      <c r="EN29">
        <v>2.24564772</v>
      </c>
      <c r="EO29">
        <v>1.368933</v>
      </c>
      <c r="EP29">
        <v>254.26146199999999</v>
      </c>
      <c r="EQ29">
        <v>180.37452200000001</v>
      </c>
      <c r="ER29">
        <v>15.6226869</v>
      </c>
      <c r="ES29">
        <v>13.8445825</v>
      </c>
      <c r="ET29">
        <v>8.6641402000000003</v>
      </c>
      <c r="EU29">
        <v>184.8799889</v>
      </c>
      <c r="EV29">
        <v>118.367272</v>
      </c>
      <c r="EW29">
        <v>17.336186000000001</v>
      </c>
      <c r="EX29">
        <v>100.44083209999999</v>
      </c>
      <c r="EY29">
        <v>2.4722805999999999</v>
      </c>
      <c r="EZ29">
        <v>2263.0914441999998</v>
      </c>
      <c r="FA29" s="223">
        <v>8.2611129999999999</v>
      </c>
      <c r="FB29" s="223">
        <v>1.0531486000000001</v>
      </c>
      <c r="FC29" s="223">
        <v>1.9086669999999999</v>
      </c>
      <c r="FD29">
        <v>2.7808405999999999</v>
      </c>
      <c r="FE29">
        <v>1.2120758</v>
      </c>
      <c r="FF29">
        <v>1.5969195</v>
      </c>
      <c r="FG29">
        <v>0.82315556999999995</v>
      </c>
      <c r="FH29">
        <v>1.11559797</v>
      </c>
      <c r="FI29">
        <v>0.83861925999999998</v>
      </c>
      <c r="FJ29">
        <v>103.60065839000001</v>
      </c>
    </row>
    <row r="30" spans="1:166" x14ac:dyDescent="0.3">
      <c r="A30" s="223">
        <v>29</v>
      </c>
      <c r="B30" s="315">
        <v>42352</v>
      </c>
      <c r="C30" s="212">
        <v>1016780.9739</v>
      </c>
      <c r="D30" s="212">
        <v>104.75407740999999</v>
      </c>
      <c r="E30" s="212">
        <v>1.3286598999999999</v>
      </c>
      <c r="F30" s="212">
        <v>7.0626388000000002</v>
      </c>
      <c r="G30" s="212">
        <v>4.4028575536999996</v>
      </c>
      <c r="H30" s="212">
        <v>4.0845381190000003</v>
      </c>
      <c r="I30" s="212">
        <v>1.0352746740000001</v>
      </c>
      <c r="J30" s="212">
        <v>4.2833310000000004</v>
      </c>
      <c r="K30" s="212">
        <v>3.0479630000000002</v>
      </c>
      <c r="L30" s="212">
        <v>10.430665315000001</v>
      </c>
      <c r="M30" s="212">
        <v>0.95014989500000002</v>
      </c>
      <c r="N30" s="212">
        <v>1.261436555</v>
      </c>
      <c r="O30" s="212">
        <v>1.9290111990000001</v>
      </c>
      <c r="P30" s="212">
        <v>1.251686938</v>
      </c>
      <c r="Q30" s="212">
        <v>1.5216270000000001</v>
      </c>
      <c r="R30" s="212">
        <v>1.6875253320000001</v>
      </c>
      <c r="S30" s="212">
        <v>11.783948000000001</v>
      </c>
      <c r="T30" s="212">
        <v>2.7983133339999999</v>
      </c>
      <c r="U30" s="212">
        <v>3.1561669270000001</v>
      </c>
      <c r="V30" s="212">
        <v>1.5416851490000001</v>
      </c>
      <c r="W30" s="212">
        <v>1.3124696849999999</v>
      </c>
      <c r="X30" s="212">
        <v>3.2957149270000001</v>
      </c>
      <c r="Y30" s="212">
        <v>1.81352</v>
      </c>
      <c r="Z30" s="212">
        <v>1.584605</v>
      </c>
      <c r="AA30" s="212">
        <v>1.253349574</v>
      </c>
      <c r="AB30" s="212">
        <v>1.0978832279999999</v>
      </c>
      <c r="AC30" s="212">
        <v>1.098797909</v>
      </c>
      <c r="AD30" s="212">
        <v>1.2885844559999999</v>
      </c>
      <c r="AE30" s="212">
        <v>1.286520514</v>
      </c>
      <c r="AF30" s="212">
        <v>1.2185245250000001</v>
      </c>
      <c r="AG30" s="212">
        <v>9.1028513090000001</v>
      </c>
      <c r="AH30" s="212">
        <v>1.7211548130000001</v>
      </c>
      <c r="AI30" s="212">
        <v>3.6937099999999998</v>
      </c>
      <c r="AJ30" s="212">
        <v>2.2726109999999999</v>
      </c>
      <c r="AK30" s="212">
        <v>189.18188934</v>
      </c>
      <c r="AL30" s="212">
        <v>1.0172175999999999</v>
      </c>
      <c r="AM30" s="212">
        <v>1.8179882000000001</v>
      </c>
      <c r="AN30" s="212">
        <v>8.4244792000000004</v>
      </c>
      <c r="AO30" s="212">
        <v>1.7188161</v>
      </c>
      <c r="AP30" s="212">
        <v>1.7131605999999999</v>
      </c>
      <c r="AQ30" s="212">
        <v>2.3892497000000001</v>
      </c>
      <c r="AR30" s="212">
        <v>8.3938170999999997</v>
      </c>
      <c r="AS30" s="212">
        <v>358.47601020000002</v>
      </c>
      <c r="AT30" s="212">
        <v>1.1547168000000001</v>
      </c>
      <c r="AU30" s="212">
        <v>2.9549151999999999</v>
      </c>
      <c r="AV30" s="212">
        <v>2.4583427000000002</v>
      </c>
      <c r="AW30" s="212">
        <v>1.50536</v>
      </c>
      <c r="AX30" s="212">
        <v>1.1669764</v>
      </c>
      <c r="AY30" s="212">
        <v>2.4597297</v>
      </c>
      <c r="AZ30" s="212" t="s">
        <v>830</v>
      </c>
      <c r="BA30" s="212">
        <v>1.8408891169999999</v>
      </c>
      <c r="BB30" s="212">
        <v>2.3225845999999999</v>
      </c>
      <c r="BC30" s="212">
        <v>2.9317820000000001</v>
      </c>
      <c r="BD30" s="212">
        <v>1.0615479999999999</v>
      </c>
      <c r="BE30" s="212">
        <v>1.045428</v>
      </c>
      <c r="BF30" s="212">
        <v>1.0349459999999999</v>
      </c>
      <c r="BG30" s="212">
        <v>1.056789</v>
      </c>
      <c r="BH30" s="212">
        <v>1.040983</v>
      </c>
      <c r="BI30" s="212">
        <v>1.187945</v>
      </c>
      <c r="BJ30" s="212">
        <v>1.053021</v>
      </c>
      <c r="BK30" s="212">
        <v>1.134809</v>
      </c>
      <c r="BL30" s="212">
        <v>1.182096</v>
      </c>
      <c r="BM30" s="212">
        <v>1.181208</v>
      </c>
      <c r="BN30" s="212">
        <v>1.0254239999999999</v>
      </c>
      <c r="BO30" s="212">
        <v>1.104724</v>
      </c>
      <c r="BP30" s="212">
        <v>2.5779740000000002</v>
      </c>
      <c r="BQ30" s="212">
        <v>1.342605</v>
      </c>
      <c r="BR30" s="212">
        <v>1.3972439999999999</v>
      </c>
      <c r="BS30" s="212">
        <v>1.216407</v>
      </c>
      <c r="BT30" s="212">
        <v>1.686196</v>
      </c>
      <c r="BU30" s="212">
        <v>1.670202</v>
      </c>
      <c r="BV30" s="212">
        <v>1.8510260000000001</v>
      </c>
      <c r="BW30" s="212">
        <v>1.693908</v>
      </c>
      <c r="BX30" s="212">
        <v>1.666229</v>
      </c>
      <c r="BY30" s="212">
        <v>1.6562600000000001</v>
      </c>
      <c r="BZ30" s="212">
        <v>1.907969</v>
      </c>
      <c r="CA30" s="212">
        <v>1.84555</v>
      </c>
      <c r="CB30" s="212">
        <v>1.860722</v>
      </c>
      <c r="CC30" s="212">
        <v>1.80325</v>
      </c>
      <c r="CD30" s="212">
        <v>1.804103</v>
      </c>
      <c r="CE30" s="212">
        <v>1.754785</v>
      </c>
      <c r="CF30" s="212">
        <v>1.0799000000000001</v>
      </c>
      <c r="CG30" s="212">
        <v>1.2439389999999999</v>
      </c>
      <c r="CH30" s="212">
        <v>1.262011</v>
      </c>
      <c r="CI30" s="212">
        <v>2.7870949999999999</v>
      </c>
      <c r="CJ30" s="212">
        <v>0.959561</v>
      </c>
      <c r="CK30" s="212">
        <v>1.040408</v>
      </c>
      <c r="CL30" s="212">
        <v>0.67552100000000004</v>
      </c>
      <c r="CM30" s="212">
        <v>2.9532820000000002</v>
      </c>
      <c r="CN30" s="212">
        <v>2.0070299999999999</v>
      </c>
      <c r="CO30" s="212">
        <v>1.0243</v>
      </c>
      <c r="CP30" s="212">
        <v>1.010656</v>
      </c>
      <c r="CQ30" s="212">
        <v>1.246154</v>
      </c>
      <c r="CR30" s="212">
        <v>13.578994</v>
      </c>
      <c r="CS30" s="212">
        <v>4.2321359999999997</v>
      </c>
      <c r="CT30" s="212">
        <v>1.9096630000000001</v>
      </c>
      <c r="CU30" s="212">
        <v>5.127383</v>
      </c>
      <c r="CV30" s="212">
        <v>9.1072699999999998</v>
      </c>
      <c r="CW30" s="212" t="s">
        <v>830</v>
      </c>
      <c r="CX30" s="212">
        <v>1.1902141555000001</v>
      </c>
      <c r="CY30" s="212">
        <v>1.9599394011</v>
      </c>
      <c r="CZ30" s="212">
        <v>1.1375216733</v>
      </c>
      <c r="DA30" s="212">
        <v>14.118944497999999</v>
      </c>
      <c r="DB30" s="212">
        <v>1.0705990000000001</v>
      </c>
      <c r="DC30" s="212">
        <v>1.0465949999999999</v>
      </c>
      <c r="DD30" s="212">
        <v>1.8464499999999999</v>
      </c>
      <c r="DE30" s="212">
        <v>1.7810980000000001</v>
      </c>
      <c r="DF30" s="212">
        <v>1.7317119999999999</v>
      </c>
      <c r="DG30" s="212">
        <v>1.0043467800000001</v>
      </c>
      <c r="DH30" s="212">
        <v>122.27991691</v>
      </c>
      <c r="DI30" s="212">
        <v>0.25211419000000002</v>
      </c>
      <c r="DJ30" s="212">
        <v>2.0273080000000001</v>
      </c>
      <c r="DK30" s="212">
        <v>1.87939974</v>
      </c>
      <c r="DL30" s="212">
        <v>148639.38699</v>
      </c>
      <c r="DM30" s="212">
        <v>308.4427814</v>
      </c>
      <c r="DN30" s="212">
        <v>17.477272899999999</v>
      </c>
      <c r="DO30" s="212" t="s">
        <v>830</v>
      </c>
      <c r="DP30" s="212">
        <v>18112846.952</v>
      </c>
      <c r="DQ30" s="212">
        <v>1.5245394999999999</v>
      </c>
      <c r="DR30" s="212">
        <v>14.415300500000001</v>
      </c>
      <c r="DS30" s="212">
        <v>21.098609700000001</v>
      </c>
      <c r="DT30" s="212">
        <v>1.7660153999999999</v>
      </c>
      <c r="DU30" s="212">
        <v>1.1003841000000001</v>
      </c>
      <c r="DV30" s="212">
        <v>1648.7050013</v>
      </c>
      <c r="DW30" s="212">
        <v>23112.644666</v>
      </c>
      <c r="DX30" s="212">
        <v>0.80020912</v>
      </c>
      <c r="DY30" s="212">
        <v>10.346306999999999</v>
      </c>
      <c r="DZ30" s="212">
        <v>220.62201099999999</v>
      </c>
      <c r="EA30" s="212">
        <v>17.504292</v>
      </c>
      <c r="EB30" s="212">
        <v>20.155275</v>
      </c>
      <c r="EC30" s="212">
        <v>18.784877000000002</v>
      </c>
      <c r="ED30" s="212">
        <v>2194.9535770000002</v>
      </c>
      <c r="EE30" s="212">
        <v>22.478494999999999</v>
      </c>
      <c r="EF30" s="212">
        <v>33.669103</v>
      </c>
      <c r="EG30" s="212">
        <v>1.4097877999999999</v>
      </c>
      <c r="EH30" s="212">
        <v>0.63445680000000004</v>
      </c>
      <c r="EI30" s="212">
        <v>1.1429727000000001</v>
      </c>
      <c r="EJ30" s="212">
        <v>1.9262709200000001</v>
      </c>
      <c r="EK30" s="212">
        <v>1.6032795</v>
      </c>
      <c r="EL30" s="212">
        <v>2.6918060000000001</v>
      </c>
      <c r="EM30">
        <v>1.27786128</v>
      </c>
      <c r="EN30">
        <v>2.24732501</v>
      </c>
      <c r="EO30">
        <v>1.3695729000000001</v>
      </c>
      <c r="EP30">
        <v>254.330671</v>
      </c>
      <c r="EQ30">
        <v>180.2277</v>
      </c>
      <c r="ER30">
        <v>15.625437700000001</v>
      </c>
      <c r="ES30">
        <v>13.826280000000001</v>
      </c>
      <c r="ET30">
        <v>8.6687201999999992</v>
      </c>
      <c r="EU30">
        <v>184.63402389999999</v>
      </c>
      <c r="EV30">
        <v>116.6435019</v>
      </c>
      <c r="EW30">
        <v>17.344298200000001</v>
      </c>
      <c r="EX30">
        <v>100.490751</v>
      </c>
      <c r="EY30">
        <v>2.4501751999999999</v>
      </c>
      <c r="EZ30">
        <v>2264.2485568000002</v>
      </c>
      <c r="FA30" s="223">
        <v>8.2646689999999996</v>
      </c>
      <c r="FB30" s="223">
        <v>1.0409344</v>
      </c>
      <c r="FC30" s="223">
        <v>1.9063299</v>
      </c>
      <c r="FD30">
        <v>2.7822464</v>
      </c>
      <c r="FE30">
        <v>1.2126205000000001</v>
      </c>
      <c r="FF30">
        <v>1.5955733000000001</v>
      </c>
      <c r="FG30">
        <v>0.81278222</v>
      </c>
      <c r="FH30">
        <v>1.11592143</v>
      </c>
      <c r="FI30">
        <v>0.83855415</v>
      </c>
      <c r="FJ30">
        <v>103.59291208</v>
      </c>
    </row>
    <row r="31" spans="1:166" x14ac:dyDescent="0.3">
      <c r="A31" s="223">
        <v>30</v>
      </c>
      <c r="B31" s="315">
        <v>42353</v>
      </c>
      <c r="C31" s="212">
        <v>1016709.166</v>
      </c>
      <c r="D31" s="212">
        <v>104.88551390000001</v>
      </c>
      <c r="E31" s="212">
        <v>1.3286518</v>
      </c>
      <c r="F31" s="212">
        <v>7.0470031000000004</v>
      </c>
      <c r="G31" s="212">
        <v>4.3968944589000003</v>
      </c>
      <c r="H31" s="212">
        <v>4.0388966660000003</v>
      </c>
      <c r="I31" s="212">
        <v>1.028896075</v>
      </c>
      <c r="J31" s="212">
        <v>4.2855410000000003</v>
      </c>
      <c r="K31" s="212">
        <v>3.0490759999999999</v>
      </c>
      <c r="L31" s="212">
        <v>10.435381412</v>
      </c>
      <c r="M31" s="212">
        <v>0.95201870799999999</v>
      </c>
      <c r="N31" s="212">
        <v>1.2585101489999999</v>
      </c>
      <c r="O31" s="212">
        <v>1.9302513619999999</v>
      </c>
      <c r="P31" s="212">
        <v>1.2522957889999999</v>
      </c>
      <c r="Q31" s="212">
        <v>1.522397</v>
      </c>
      <c r="R31" s="212">
        <v>1.687421024</v>
      </c>
      <c r="S31" s="212">
        <v>11.787374</v>
      </c>
      <c r="T31" s="212">
        <v>2.790601439</v>
      </c>
      <c r="U31" s="212">
        <v>3.147003405</v>
      </c>
      <c r="V31" s="212">
        <v>1.53392857</v>
      </c>
      <c r="W31" s="212">
        <v>1.3118226390000001</v>
      </c>
      <c r="X31" s="212">
        <v>3.298210649</v>
      </c>
      <c r="Y31" s="212">
        <v>1.8146260000000001</v>
      </c>
      <c r="Z31" s="212">
        <v>1.5854619999999999</v>
      </c>
      <c r="AA31" s="212">
        <v>1.2528887310000001</v>
      </c>
      <c r="AB31" s="212">
        <v>1.0982416290000001</v>
      </c>
      <c r="AC31" s="212">
        <v>1.099107563</v>
      </c>
      <c r="AD31" s="212">
        <v>1.28950294</v>
      </c>
      <c r="AE31" s="212">
        <v>1.2874386040000001</v>
      </c>
      <c r="AF31" s="212">
        <v>1.2185179349999999</v>
      </c>
      <c r="AG31" s="212">
        <v>9.107595796</v>
      </c>
      <c r="AH31" s="212">
        <v>1.721892687</v>
      </c>
      <c r="AI31" s="212">
        <v>3.695576</v>
      </c>
      <c r="AJ31" s="212">
        <v>2.2681049999999998</v>
      </c>
      <c r="AK31" s="212">
        <v>189.22891315000001</v>
      </c>
      <c r="AL31" s="212">
        <v>1.0179860000000001</v>
      </c>
      <c r="AM31" s="212">
        <v>1.8128949000000001</v>
      </c>
      <c r="AN31" s="212">
        <v>8.4289406000000007</v>
      </c>
      <c r="AO31" s="212">
        <v>1.7196461000000001</v>
      </c>
      <c r="AP31" s="212">
        <v>1.7139815</v>
      </c>
      <c r="AQ31" s="212">
        <v>2.3904797000000002</v>
      </c>
      <c r="AR31" s="212">
        <v>8.3981668999999997</v>
      </c>
      <c r="AS31" s="212">
        <v>359.50762889999999</v>
      </c>
      <c r="AT31" s="212">
        <v>1.1526921000000001</v>
      </c>
      <c r="AU31" s="212">
        <v>2.9563571999999998</v>
      </c>
      <c r="AV31" s="212">
        <v>2.4515416000000001</v>
      </c>
      <c r="AW31" s="212">
        <v>1.4979342</v>
      </c>
      <c r="AX31" s="212">
        <v>1.1672796000000001</v>
      </c>
      <c r="AY31" s="212">
        <v>2.4585767999999999</v>
      </c>
      <c r="AZ31" s="212" t="s">
        <v>830</v>
      </c>
      <c r="BA31" s="212">
        <v>1.841834559</v>
      </c>
      <c r="BB31" s="212">
        <v>2.3166597000000002</v>
      </c>
      <c r="BC31" s="212">
        <v>2.933319</v>
      </c>
      <c r="BD31" s="212">
        <v>1.0619989999999999</v>
      </c>
      <c r="BE31" s="212">
        <v>1.0458730000000001</v>
      </c>
      <c r="BF31" s="212">
        <v>1.035385</v>
      </c>
      <c r="BG31" s="212">
        <v>1.0572379999999999</v>
      </c>
      <c r="BH31" s="212">
        <v>1.0414270000000001</v>
      </c>
      <c r="BI31" s="212">
        <v>1.1887939999999999</v>
      </c>
      <c r="BJ31" s="212">
        <v>1.0527219999999999</v>
      </c>
      <c r="BK31" s="212">
        <v>1.135462</v>
      </c>
      <c r="BL31" s="212">
        <v>1.182938</v>
      </c>
      <c r="BM31" s="212">
        <v>1.182053</v>
      </c>
      <c r="BN31" s="212">
        <v>1.024489</v>
      </c>
      <c r="BO31" s="212">
        <v>1.100851</v>
      </c>
      <c r="BP31" s="212">
        <v>2.5793249999999999</v>
      </c>
      <c r="BQ31" s="212">
        <v>1.3432660000000001</v>
      </c>
      <c r="BR31" s="212">
        <v>1.397281</v>
      </c>
      <c r="BS31" s="212">
        <v>1.2104189999999999</v>
      </c>
      <c r="BT31" s="212">
        <v>1.6855819999999999</v>
      </c>
      <c r="BU31" s="212">
        <v>1.6713750000000001</v>
      </c>
      <c r="BV31" s="212">
        <v>1.852255</v>
      </c>
      <c r="BW31" s="212">
        <v>1.6950860000000001</v>
      </c>
      <c r="BX31" s="212">
        <v>1.667384</v>
      </c>
      <c r="BY31" s="212">
        <v>1.6575299999999999</v>
      </c>
      <c r="BZ31" s="212">
        <v>1.909273</v>
      </c>
      <c r="CA31" s="212">
        <v>1.8467610000000001</v>
      </c>
      <c r="CB31" s="212">
        <v>1.861936</v>
      </c>
      <c r="CC31" s="212">
        <v>1.8044309999999999</v>
      </c>
      <c r="CD31" s="212">
        <v>1.8052820000000001</v>
      </c>
      <c r="CE31" s="212">
        <v>1.755965</v>
      </c>
      <c r="CF31" s="212">
        <v>1.0807150000000001</v>
      </c>
      <c r="CG31" s="212">
        <v>1.24499</v>
      </c>
      <c r="CH31" s="212">
        <v>1.2629600000000001</v>
      </c>
      <c r="CI31" s="212">
        <v>2.7885629999999999</v>
      </c>
      <c r="CJ31" s="212">
        <v>0.96254300000000004</v>
      </c>
      <c r="CK31" s="212">
        <v>1.0436300000000001</v>
      </c>
      <c r="CL31" s="212">
        <v>0.67421299999999995</v>
      </c>
      <c r="CM31" s="212">
        <v>2.9612569999999998</v>
      </c>
      <c r="CN31" s="212">
        <v>2.0396299999999998</v>
      </c>
      <c r="CO31" s="212">
        <v>1.0189060000000001</v>
      </c>
      <c r="CP31" s="212">
        <v>1.0097210000000001</v>
      </c>
      <c r="CQ31" s="212">
        <v>1.246801</v>
      </c>
      <c r="CR31" s="212">
        <v>13.585305</v>
      </c>
      <c r="CS31" s="212">
        <v>4.2341439999999997</v>
      </c>
      <c r="CT31" s="212">
        <v>1.90438</v>
      </c>
      <c r="CU31" s="212">
        <v>5.1290529999999999</v>
      </c>
      <c r="CV31" s="212">
        <v>9.1115049999999993</v>
      </c>
      <c r="CW31" s="212" t="s">
        <v>830</v>
      </c>
      <c r="CX31" s="212">
        <v>1.19080611</v>
      </c>
      <c r="CY31" s="212">
        <v>1.9573281284999999</v>
      </c>
      <c r="CZ31" s="212">
        <v>1.1382182423</v>
      </c>
      <c r="DA31" s="212">
        <v>14.12579682</v>
      </c>
      <c r="DB31" s="212">
        <v>1.0710550000000001</v>
      </c>
      <c r="DC31" s="212">
        <v>1.0462990000000001</v>
      </c>
      <c r="DD31" s="212">
        <v>1.8469770000000001</v>
      </c>
      <c r="DE31" s="212">
        <v>1.7765839999999999</v>
      </c>
      <c r="DF31" s="212">
        <v>1.732788</v>
      </c>
      <c r="DG31" s="212">
        <v>1.0039062400000001</v>
      </c>
      <c r="DH31" s="212">
        <v>122.3526226</v>
      </c>
      <c r="DI31" s="212">
        <v>0.25220452999999998</v>
      </c>
      <c r="DJ31" s="212">
        <v>2.0282105000000001</v>
      </c>
      <c r="DK31" s="212">
        <v>1.86634499</v>
      </c>
      <c r="DL31" s="212">
        <v>148736.92459000001</v>
      </c>
      <c r="DM31" s="212">
        <v>308.60316610000001</v>
      </c>
      <c r="DN31" s="212">
        <v>17.488316600000001</v>
      </c>
      <c r="DO31" s="212" t="s">
        <v>830</v>
      </c>
      <c r="DP31" s="212">
        <v>18111660.921999998</v>
      </c>
      <c r="DQ31" s="212">
        <v>1.5181005000000001</v>
      </c>
      <c r="DR31" s="212">
        <v>14.422428999999999</v>
      </c>
      <c r="DS31" s="212">
        <v>21.109736999999999</v>
      </c>
      <c r="DT31" s="212">
        <v>1.7622567</v>
      </c>
      <c r="DU31" s="212">
        <v>1.0975606</v>
      </c>
      <c r="DV31" s="212">
        <v>1649.4431568</v>
      </c>
      <c r="DW31" s="212">
        <v>23109.731930000002</v>
      </c>
      <c r="DX31" s="212">
        <v>0.79398584500000002</v>
      </c>
      <c r="DY31" s="212">
        <v>10.344623</v>
      </c>
      <c r="DZ31" s="212">
        <v>220.735602</v>
      </c>
      <c r="EA31" s="212">
        <v>17.517431999999999</v>
      </c>
      <c r="EB31" s="212">
        <v>20.161048000000001</v>
      </c>
      <c r="EC31" s="212">
        <v>18.731242000000002</v>
      </c>
      <c r="ED31" s="212">
        <v>2196.121541</v>
      </c>
      <c r="EE31" s="212">
        <v>22.489281999999999</v>
      </c>
      <c r="EF31" s="212">
        <v>33.686577</v>
      </c>
      <c r="EG31" s="212">
        <v>1.4236803</v>
      </c>
      <c r="EH31" s="212">
        <v>0.63466480000000003</v>
      </c>
      <c r="EI31" s="212">
        <v>1.1374603999999999</v>
      </c>
      <c r="EJ31" s="212">
        <v>1.9275188599999999</v>
      </c>
      <c r="EK31" s="212">
        <v>1.6019699000000001</v>
      </c>
      <c r="EL31" s="212">
        <v>2.6896076999999998</v>
      </c>
      <c r="EM31">
        <v>1.27860968</v>
      </c>
      <c r="EN31">
        <v>2.2490035599999998</v>
      </c>
      <c r="EO31">
        <v>1.3702034000000001</v>
      </c>
      <c r="EP31">
        <v>254.472577</v>
      </c>
      <c r="EQ31">
        <v>179.84729300000001</v>
      </c>
      <c r="ER31">
        <v>15.629918099999999</v>
      </c>
      <c r="ES31">
        <v>13.7868792</v>
      </c>
      <c r="ET31">
        <v>8.6732894999999992</v>
      </c>
      <c r="EU31">
        <v>184.10614699999999</v>
      </c>
      <c r="EV31">
        <v>116.33891610000001</v>
      </c>
      <c r="EW31">
        <v>17.3547285</v>
      </c>
      <c r="EX31">
        <v>100.5405444</v>
      </c>
      <c r="EY31">
        <v>2.5425309999999999</v>
      </c>
      <c r="EZ31">
        <v>2265.4092833</v>
      </c>
      <c r="FA31" s="223">
        <v>8.2682120000000001</v>
      </c>
      <c r="FB31" s="223">
        <v>1.0387214</v>
      </c>
      <c r="FC31" s="223">
        <v>1.9002176</v>
      </c>
      <c r="FD31">
        <v>2.7836574999999999</v>
      </c>
      <c r="FE31">
        <v>1.2133839</v>
      </c>
      <c r="FF31">
        <v>1.5968844</v>
      </c>
      <c r="FG31">
        <v>0.81295227999999997</v>
      </c>
      <c r="FH31">
        <v>1.1139891799999999</v>
      </c>
      <c r="FI31">
        <v>0.83848904999999996</v>
      </c>
      <c r="FJ31">
        <v>103.553529</v>
      </c>
    </row>
    <row r="32" spans="1:166" x14ac:dyDescent="0.3">
      <c r="A32" s="223">
        <v>31</v>
      </c>
      <c r="B32" s="315">
        <v>42354</v>
      </c>
      <c r="C32" s="212">
        <v>1016638.8885</v>
      </c>
      <c r="D32" s="212">
        <v>105.18173786</v>
      </c>
      <c r="E32" s="212">
        <v>1.3291697</v>
      </c>
      <c r="F32" s="212">
        <v>7.0665526999999999</v>
      </c>
      <c r="G32" s="212">
        <v>4.3848781854999999</v>
      </c>
      <c r="H32" s="212">
        <v>4.077257694</v>
      </c>
      <c r="I32" s="212">
        <v>1.0294118999999999</v>
      </c>
      <c r="J32" s="212">
        <v>4.2877219999999996</v>
      </c>
      <c r="K32" s="212">
        <v>3.0502030000000002</v>
      </c>
      <c r="L32" s="212">
        <v>10.440204568</v>
      </c>
      <c r="M32" s="212">
        <v>0.95377023000000005</v>
      </c>
      <c r="N32" s="212">
        <v>1.2619577</v>
      </c>
      <c r="O32" s="212">
        <v>1.9319418260000001</v>
      </c>
      <c r="P32" s="212">
        <v>1.2536659130000001</v>
      </c>
      <c r="Q32" s="212">
        <v>1.523137</v>
      </c>
      <c r="R32" s="212">
        <v>1.6882056590000001</v>
      </c>
      <c r="S32" s="212">
        <v>11.794397</v>
      </c>
      <c r="T32" s="212">
        <v>2.7890385320000002</v>
      </c>
      <c r="U32" s="212">
        <v>3.1449780980000002</v>
      </c>
      <c r="V32" s="212">
        <v>1.531648264</v>
      </c>
      <c r="W32" s="212">
        <v>1.310622266</v>
      </c>
      <c r="X32" s="212">
        <v>3.2921522009999999</v>
      </c>
      <c r="Y32" s="212">
        <v>1.8154729999999999</v>
      </c>
      <c r="Z32" s="212">
        <v>1.5863350000000001</v>
      </c>
      <c r="AA32" s="212">
        <v>1.253978032</v>
      </c>
      <c r="AB32" s="212">
        <v>1.0986994969999999</v>
      </c>
      <c r="AC32" s="212">
        <v>1.0996911519999999</v>
      </c>
      <c r="AD32" s="212">
        <v>1.290379575</v>
      </c>
      <c r="AE32" s="212">
        <v>1.2883149730000001</v>
      </c>
      <c r="AF32" s="212">
        <v>1.2194051770000001</v>
      </c>
      <c r="AG32" s="212">
        <v>9.1124589650000001</v>
      </c>
      <c r="AH32" s="212">
        <v>1.7226209269999999</v>
      </c>
      <c r="AI32" s="212">
        <v>3.697476</v>
      </c>
      <c r="AJ32" s="212">
        <v>2.2674509999999999</v>
      </c>
      <c r="AK32" s="212">
        <v>189.31126956</v>
      </c>
      <c r="AL32" s="212">
        <v>1.0191600000000001</v>
      </c>
      <c r="AM32" s="212">
        <v>1.8117763</v>
      </c>
      <c r="AN32" s="212">
        <v>8.4334001999999995</v>
      </c>
      <c r="AO32" s="212">
        <v>1.7207048</v>
      </c>
      <c r="AP32" s="212">
        <v>1.7150295</v>
      </c>
      <c r="AQ32" s="212">
        <v>2.3917131</v>
      </c>
      <c r="AR32" s="212">
        <v>8.4025253000000006</v>
      </c>
      <c r="AS32" s="212">
        <v>360.60784230000002</v>
      </c>
      <c r="AT32" s="212">
        <v>1.1560874999999999</v>
      </c>
      <c r="AU32" s="212">
        <v>2.9578023</v>
      </c>
      <c r="AV32" s="212">
        <v>2.4501898</v>
      </c>
      <c r="AW32" s="212">
        <v>1.4957902000000001</v>
      </c>
      <c r="AX32" s="212">
        <v>1.1679501999999999</v>
      </c>
      <c r="AY32" s="212">
        <v>2.4565524999999999</v>
      </c>
      <c r="AZ32" s="212" t="s">
        <v>830</v>
      </c>
      <c r="BA32" s="212">
        <v>1.8427745760000001</v>
      </c>
      <c r="BB32" s="212">
        <v>2.3160389000000001</v>
      </c>
      <c r="BC32" s="212">
        <v>2.9345460000000001</v>
      </c>
      <c r="BD32" s="212">
        <v>1.0624180000000001</v>
      </c>
      <c r="BE32" s="212">
        <v>1.0462849999999999</v>
      </c>
      <c r="BF32" s="212">
        <v>1.0357940000000001</v>
      </c>
      <c r="BG32" s="212">
        <v>1.0576559999999999</v>
      </c>
      <c r="BH32" s="212">
        <v>1.041838</v>
      </c>
      <c r="BI32" s="212">
        <v>1.189603</v>
      </c>
      <c r="BJ32" s="212">
        <v>1.053302</v>
      </c>
      <c r="BK32" s="212">
        <v>1.1363449999999999</v>
      </c>
      <c r="BL32" s="212">
        <v>1.1837409999999999</v>
      </c>
      <c r="BM32" s="212">
        <v>1.18286</v>
      </c>
      <c r="BN32" s="212">
        <v>1.025226</v>
      </c>
      <c r="BO32" s="212">
        <v>1.0988039999999999</v>
      </c>
      <c r="BP32" s="212">
        <v>2.5806879999999999</v>
      </c>
      <c r="BQ32" s="212">
        <v>1.343926</v>
      </c>
      <c r="BR32" s="212">
        <v>1.397964</v>
      </c>
      <c r="BS32" s="212">
        <v>1.208645</v>
      </c>
      <c r="BT32" s="212">
        <v>1.6842969999999999</v>
      </c>
      <c r="BU32" s="212">
        <v>1.6725399999999999</v>
      </c>
      <c r="BV32" s="212">
        <v>1.853485</v>
      </c>
      <c r="BW32" s="212">
        <v>1.696264</v>
      </c>
      <c r="BX32" s="212">
        <v>1.6685319999999999</v>
      </c>
      <c r="BY32" s="212">
        <v>1.6587909999999999</v>
      </c>
      <c r="BZ32" s="212">
        <v>1.9105760000000001</v>
      </c>
      <c r="CA32" s="212">
        <v>1.8479719999999999</v>
      </c>
      <c r="CB32" s="212">
        <v>1.8631519999999999</v>
      </c>
      <c r="CC32" s="212">
        <v>1.8056110000000001</v>
      </c>
      <c r="CD32" s="212">
        <v>1.8064610000000001</v>
      </c>
      <c r="CE32" s="212">
        <v>1.757145</v>
      </c>
      <c r="CF32" s="212">
        <v>1.0815300000000001</v>
      </c>
      <c r="CG32" s="212">
        <v>1.2410479999999999</v>
      </c>
      <c r="CH32" s="212">
        <v>1.26075</v>
      </c>
      <c r="CI32" s="212">
        <v>2.7896839999999998</v>
      </c>
      <c r="CJ32" s="212">
        <v>0.95976700000000004</v>
      </c>
      <c r="CK32" s="212">
        <v>1.0408090000000001</v>
      </c>
      <c r="CL32" s="212">
        <v>0.67644700000000002</v>
      </c>
      <c r="CM32" s="212">
        <v>2.9657070000000001</v>
      </c>
      <c r="CN32" s="212">
        <v>2.0636510000000001</v>
      </c>
      <c r="CO32" s="212">
        <v>1.0184200000000001</v>
      </c>
      <c r="CP32" s="212">
        <v>1.011617</v>
      </c>
      <c r="CQ32" s="212">
        <v>1.247447</v>
      </c>
      <c r="CR32" s="212">
        <v>13.591616999999999</v>
      </c>
      <c r="CS32" s="212">
        <v>4.2361040000000001</v>
      </c>
      <c r="CT32" s="212">
        <v>1.903213</v>
      </c>
      <c r="CU32" s="212">
        <v>5.1307210000000003</v>
      </c>
      <c r="CV32" s="212">
        <v>9.1157389999999996</v>
      </c>
      <c r="CW32" s="212" t="s">
        <v>830</v>
      </c>
      <c r="CX32" s="212">
        <v>1.1914278691</v>
      </c>
      <c r="CY32" s="212">
        <v>1.9514754829000001</v>
      </c>
      <c r="CZ32" s="212">
        <v>1.1387586730999999</v>
      </c>
      <c r="DA32" s="212">
        <v>14.132957465</v>
      </c>
      <c r="DB32" s="212">
        <v>1.0714779999999999</v>
      </c>
      <c r="DC32" s="212">
        <v>1.0468759999999999</v>
      </c>
      <c r="DD32" s="212">
        <v>1.8481430000000001</v>
      </c>
      <c r="DE32" s="212">
        <v>1.775533</v>
      </c>
      <c r="DF32" s="212">
        <v>1.733603</v>
      </c>
      <c r="DG32" s="212">
        <v>1.00206431</v>
      </c>
      <c r="DH32" s="212">
        <v>122.42528557</v>
      </c>
      <c r="DI32" s="212">
        <v>0.25218805</v>
      </c>
      <c r="DJ32" s="212">
        <v>2.0291435999999998</v>
      </c>
      <c r="DK32" s="212">
        <v>1.8615069099999999</v>
      </c>
      <c r="DL32" s="212">
        <v>148834.52591</v>
      </c>
      <c r="DM32" s="212">
        <v>308.76122600000002</v>
      </c>
      <c r="DN32" s="212">
        <v>17.498902399999999</v>
      </c>
      <c r="DO32" s="212" t="s">
        <v>830</v>
      </c>
      <c r="DP32" s="212">
        <v>18110474.971999999</v>
      </c>
      <c r="DQ32" s="212">
        <v>1.5255226</v>
      </c>
      <c r="DR32" s="212">
        <v>14.429556699999999</v>
      </c>
      <c r="DS32" s="212">
        <v>21.120748500000001</v>
      </c>
      <c r="DT32" s="212">
        <v>1.7626134</v>
      </c>
      <c r="DU32" s="212">
        <v>1.1009370000000001</v>
      </c>
      <c r="DV32" s="212">
        <v>1650.1803869</v>
      </c>
      <c r="DW32" s="212">
        <v>23106.817870999999</v>
      </c>
      <c r="DX32" s="212">
        <v>0.79684417100000005</v>
      </c>
      <c r="DY32" s="212">
        <v>10.380315</v>
      </c>
      <c r="DZ32" s="212">
        <v>220.84927099999999</v>
      </c>
      <c r="EA32" s="212">
        <v>17.485171999999999</v>
      </c>
      <c r="EB32" s="212">
        <v>20.173176000000002</v>
      </c>
      <c r="EC32" s="212">
        <v>18.719524</v>
      </c>
      <c r="ED32" s="212">
        <v>2197.2788860000001</v>
      </c>
      <c r="EE32" s="212">
        <v>22.503098000000001</v>
      </c>
      <c r="EF32" s="212">
        <v>33.704062999999998</v>
      </c>
      <c r="EG32" s="212">
        <v>1.4325051</v>
      </c>
      <c r="EH32" s="212">
        <v>0.63487289999999996</v>
      </c>
      <c r="EI32" s="212">
        <v>1.1373664999999999</v>
      </c>
      <c r="EJ32" s="212">
        <v>1.92883947</v>
      </c>
      <c r="EK32" s="212">
        <v>1.6028707</v>
      </c>
      <c r="EL32" s="212">
        <v>2.6911206999999999</v>
      </c>
      <c r="EM32">
        <v>1.2787515300000001</v>
      </c>
      <c r="EN32">
        <v>2.2506091000000001</v>
      </c>
      <c r="EO32">
        <v>1.3708389999999999</v>
      </c>
      <c r="EP32">
        <v>254.63005000000001</v>
      </c>
      <c r="EQ32">
        <v>179.772378</v>
      </c>
      <c r="ER32">
        <v>15.639302300000001</v>
      </c>
      <c r="ES32">
        <v>13.778230300000001</v>
      </c>
      <c r="ET32">
        <v>8.6778318999999993</v>
      </c>
      <c r="EU32">
        <v>183.98898929999999</v>
      </c>
      <c r="EV32">
        <v>116.1838702</v>
      </c>
      <c r="EW32">
        <v>17.3627064</v>
      </c>
      <c r="EX32">
        <v>100.5900264</v>
      </c>
      <c r="EY32">
        <v>2.5007343</v>
      </c>
      <c r="EZ32">
        <v>2266.5564966000002</v>
      </c>
      <c r="FA32" s="223">
        <v>8.2717530000000004</v>
      </c>
      <c r="FB32" s="223">
        <v>1.0441286000000001</v>
      </c>
      <c r="FC32" s="223">
        <v>1.8990704</v>
      </c>
      <c r="FD32">
        <v>2.7850698</v>
      </c>
      <c r="FE32">
        <v>1.2139082999999999</v>
      </c>
      <c r="FF32">
        <v>1.5938692000000001</v>
      </c>
      <c r="FG32">
        <v>0.81359442999999998</v>
      </c>
      <c r="FH32">
        <v>1.10011814</v>
      </c>
      <c r="FI32">
        <v>0.83842391999999999</v>
      </c>
      <c r="FJ32">
        <v>103.51095454</v>
      </c>
    </row>
    <row r="33" spans="1:166" x14ac:dyDescent="0.3">
      <c r="A33" s="223">
        <v>32</v>
      </c>
      <c r="B33" s="315">
        <v>42355</v>
      </c>
      <c r="C33" s="212">
        <v>1016568.6028</v>
      </c>
      <c r="D33" s="212">
        <v>105.17785238</v>
      </c>
      <c r="E33" s="212">
        <v>1.3304244000000001</v>
      </c>
      <c r="F33" s="212">
        <v>7.0557822999999997</v>
      </c>
      <c r="G33" s="212">
        <v>4.3820160711999998</v>
      </c>
      <c r="H33" s="212">
        <v>4.1042724030000004</v>
      </c>
      <c r="I33" s="212">
        <v>1.036343692</v>
      </c>
      <c r="J33" s="212">
        <v>4.2899510000000003</v>
      </c>
      <c r="K33" s="212">
        <v>3.0513020000000002</v>
      </c>
      <c r="L33" s="212">
        <v>10.444945355</v>
      </c>
      <c r="M33" s="212">
        <v>0.95791960300000001</v>
      </c>
      <c r="N33" s="212">
        <v>1.2739071689999999</v>
      </c>
      <c r="O33" s="212">
        <v>1.932484423</v>
      </c>
      <c r="P33" s="212">
        <v>1.2607466110000001</v>
      </c>
      <c r="Q33" s="212">
        <v>1.523911</v>
      </c>
      <c r="R33" s="212">
        <v>1.6925065909999999</v>
      </c>
      <c r="S33" s="212">
        <v>11.829459999999999</v>
      </c>
      <c r="T33" s="212">
        <v>2.7994345410000001</v>
      </c>
      <c r="U33" s="212">
        <v>3.1562314150000002</v>
      </c>
      <c r="V33" s="212">
        <v>1.5376062130000001</v>
      </c>
      <c r="W33" s="212">
        <v>1.3139561850000001</v>
      </c>
      <c r="X33" s="212">
        <v>3.3029585730000002</v>
      </c>
      <c r="Y33" s="212">
        <v>1.8169329999999999</v>
      </c>
      <c r="Z33" s="212">
        <v>1.5872040000000001</v>
      </c>
      <c r="AA33" s="212">
        <v>1.2616615710000001</v>
      </c>
      <c r="AB33" s="212">
        <v>1.099911165</v>
      </c>
      <c r="AC33" s="212">
        <v>1.1025646689999999</v>
      </c>
      <c r="AD33" s="212">
        <v>1.291256816</v>
      </c>
      <c r="AE33" s="212">
        <v>1.289191902</v>
      </c>
      <c r="AF33" s="212">
        <v>1.22638077</v>
      </c>
      <c r="AG33" s="212">
        <v>9.1171307769999999</v>
      </c>
      <c r="AH33" s="212">
        <v>1.7241053340000001</v>
      </c>
      <c r="AI33" s="212">
        <v>3.6998030000000002</v>
      </c>
      <c r="AJ33" s="212">
        <v>2.2764280000000001</v>
      </c>
      <c r="AK33" s="212">
        <v>189.62453893</v>
      </c>
      <c r="AL33" s="212">
        <v>1.0238437</v>
      </c>
      <c r="AM33" s="212">
        <v>1.8182301000000001</v>
      </c>
      <c r="AN33" s="212">
        <v>8.4378703999999995</v>
      </c>
      <c r="AO33" s="212">
        <v>1.7215218999999999</v>
      </c>
      <c r="AP33" s="212">
        <v>1.7158342</v>
      </c>
      <c r="AQ33" s="212">
        <v>2.3929450000000001</v>
      </c>
      <c r="AR33" s="212">
        <v>8.4068845999999997</v>
      </c>
      <c r="AS33" s="212">
        <v>362.75900940000002</v>
      </c>
      <c r="AT33" s="212">
        <v>1.1683197999999999</v>
      </c>
      <c r="AU33" s="212">
        <v>2.9592475999999999</v>
      </c>
      <c r="AV33" s="212">
        <v>2.4590176000000001</v>
      </c>
      <c r="AW33" s="212">
        <v>1.5019195000000001</v>
      </c>
      <c r="AX33" s="212">
        <v>1.1714408000000001</v>
      </c>
      <c r="AY33" s="212">
        <v>2.4630903000000002</v>
      </c>
      <c r="AZ33" s="212" t="s">
        <v>830</v>
      </c>
      <c r="BA33" s="212">
        <v>1.8437217450000001</v>
      </c>
      <c r="BB33" s="212">
        <v>2.3263883000000001</v>
      </c>
      <c r="BC33" s="212">
        <v>2.9364970000000001</v>
      </c>
      <c r="BD33" s="212">
        <v>1.063258</v>
      </c>
      <c r="BE33" s="212">
        <v>1.047113</v>
      </c>
      <c r="BF33" s="212">
        <v>1.036613</v>
      </c>
      <c r="BG33" s="212">
        <v>1.058492</v>
      </c>
      <c r="BH33" s="212">
        <v>1.042662</v>
      </c>
      <c r="BI33" s="212">
        <v>1.1904129999999999</v>
      </c>
      <c r="BJ33" s="212">
        <v>1.056495</v>
      </c>
      <c r="BK33" s="212">
        <v>1.1426190000000001</v>
      </c>
      <c r="BL33" s="212">
        <v>1.184544</v>
      </c>
      <c r="BM33" s="212">
        <v>1.183667</v>
      </c>
      <c r="BN33" s="212">
        <v>1.031031</v>
      </c>
      <c r="BO33" s="212">
        <v>1.1034539999999999</v>
      </c>
      <c r="BP33" s="212">
        <v>2.5820289999999999</v>
      </c>
      <c r="BQ33" s="212">
        <v>1.3445860000000001</v>
      </c>
      <c r="BR33" s="212">
        <v>1.401373</v>
      </c>
      <c r="BS33" s="212">
        <v>1.2131460000000001</v>
      </c>
      <c r="BT33" s="212">
        <v>1.688734</v>
      </c>
      <c r="BU33" s="212">
        <v>1.671254</v>
      </c>
      <c r="BV33" s="212">
        <v>1.8547149999999999</v>
      </c>
      <c r="BW33" s="212">
        <v>1.6972670000000001</v>
      </c>
      <c r="BX33" s="212">
        <v>1.6687129999999999</v>
      </c>
      <c r="BY33" s="212">
        <v>1.658849</v>
      </c>
      <c r="BZ33" s="212">
        <v>1.9112499999999999</v>
      </c>
      <c r="CA33" s="212">
        <v>1.8491839999999999</v>
      </c>
      <c r="CB33" s="212">
        <v>1.864365</v>
      </c>
      <c r="CC33" s="212">
        <v>1.806792</v>
      </c>
      <c r="CD33" s="212">
        <v>1.8076410000000001</v>
      </c>
      <c r="CE33" s="212">
        <v>1.758035</v>
      </c>
      <c r="CF33" s="212">
        <v>1.072128</v>
      </c>
      <c r="CG33" s="212">
        <v>1.2466440000000001</v>
      </c>
      <c r="CH33" s="212">
        <v>1.2645729999999999</v>
      </c>
      <c r="CI33" s="212">
        <v>2.791636</v>
      </c>
      <c r="CJ33" s="212">
        <v>0.96829399999999999</v>
      </c>
      <c r="CK33" s="212">
        <v>1.0499620000000001</v>
      </c>
      <c r="CL33" s="212">
        <v>0.68035800000000002</v>
      </c>
      <c r="CM33" s="212">
        <v>2.9849899999999998</v>
      </c>
      <c r="CN33" s="212">
        <v>2.0598339999999999</v>
      </c>
      <c r="CO33" s="212">
        <v>1.033094</v>
      </c>
      <c r="CP33" s="212">
        <v>1.022837</v>
      </c>
      <c r="CQ33" s="212">
        <v>1.248095</v>
      </c>
      <c r="CR33" s="212">
        <v>13.597935</v>
      </c>
      <c r="CS33" s="212">
        <v>4.2384240000000002</v>
      </c>
      <c r="CT33" s="212">
        <v>1.9074930000000001</v>
      </c>
      <c r="CU33" s="212">
        <v>5.1323910000000001</v>
      </c>
      <c r="CV33" s="212">
        <v>9.1199600000000007</v>
      </c>
      <c r="CW33" s="212" t="s">
        <v>830</v>
      </c>
      <c r="CX33" s="212">
        <v>1.1919521990999999</v>
      </c>
      <c r="CY33" s="212">
        <v>1.9501526506</v>
      </c>
      <c r="CZ33" s="212">
        <v>1.1396595466999999</v>
      </c>
      <c r="DA33" s="212">
        <v>14.139131791000001</v>
      </c>
      <c r="DB33" s="212">
        <v>1.072325</v>
      </c>
      <c r="DC33" s="212">
        <v>1.050049</v>
      </c>
      <c r="DD33" s="212">
        <v>1.853437</v>
      </c>
      <c r="DE33" s="212">
        <v>1.7817609999999999</v>
      </c>
      <c r="DF33" s="212">
        <v>1.7350350000000001</v>
      </c>
      <c r="DG33" s="212">
        <v>1.0055234099999999</v>
      </c>
      <c r="DH33" s="212">
        <v>122.49792699</v>
      </c>
      <c r="DI33" s="212">
        <v>0.25233526000000001</v>
      </c>
      <c r="DJ33" s="212">
        <v>2.0300783</v>
      </c>
      <c r="DK33" s="212">
        <v>1.9050532499999999</v>
      </c>
      <c r="DL33" s="212">
        <v>148932.19138999999</v>
      </c>
      <c r="DM33" s="212">
        <v>308.911473</v>
      </c>
      <c r="DN33" s="212">
        <v>17.5092769</v>
      </c>
      <c r="DO33" s="212" t="s">
        <v>830</v>
      </c>
      <c r="DP33" s="212">
        <v>18109289.098999999</v>
      </c>
      <c r="DQ33" s="212">
        <v>1.5107436999999999</v>
      </c>
      <c r="DR33" s="212">
        <v>14.436693200000001</v>
      </c>
      <c r="DS33" s="212">
        <v>21.131893699999999</v>
      </c>
      <c r="DT33" s="212">
        <v>1.7669252</v>
      </c>
      <c r="DU33" s="212">
        <v>1.1081966000000001</v>
      </c>
      <c r="DV33" s="212">
        <v>1650.9183780999999</v>
      </c>
      <c r="DW33" s="212">
        <v>23103.904278999998</v>
      </c>
      <c r="DX33" s="212">
        <v>0.80161967899999997</v>
      </c>
      <c r="DY33" s="212">
        <v>10.451860999999999</v>
      </c>
      <c r="DZ33" s="212">
        <v>220.963066</v>
      </c>
      <c r="EA33" s="212">
        <v>17.541512000000001</v>
      </c>
      <c r="EB33" s="212">
        <v>20.232841000000001</v>
      </c>
      <c r="EC33" s="212">
        <v>18.787420999999998</v>
      </c>
      <c r="ED33" s="212">
        <v>2198.4500910000002</v>
      </c>
      <c r="EE33" s="212">
        <v>22.513660999999999</v>
      </c>
      <c r="EF33" s="212">
        <v>33.721550999999998</v>
      </c>
      <c r="EG33" s="212">
        <v>1.4397245000000001</v>
      </c>
      <c r="EH33" s="212">
        <v>0.63507760000000002</v>
      </c>
      <c r="EI33" s="212">
        <v>1.1383129999999999</v>
      </c>
      <c r="EJ33" s="212">
        <v>1.9303772100000001</v>
      </c>
      <c r="EK33" s="212">
        <v>1.6070933999999999</v>
      </c>
      <c r="EL33" s="212">
        <v>2.6982108</v>
      </c>
      <c r="EM33">
        <v>1.27879012</v>
      </c>
      <c r="EN33">
        <v>2.2522158000000001</v>
      </c>
      <c r="EO33">
        <v>1.3714611999999999</v>
      </c>
      <c r="EP33">
        <v>254.91116600000001</v>
      </c>
      <c r="EQ33">
        <v>180.360637</v>
      </c>
      <c r="ER33">
        <v>15.6856192</v>
      </c>
      <c r="ES33">
        <v>13.828392600000001</v>
      </c>
      <c r="ET33">
        <v>8.6823791999999997</v>
      </c>
      <c r="EU33">
        <v>184.65661009999999</v>
      </c>
      <c r="EV33">
        <v>117.30531240000001</v>
      </c>
      <c r="EW33">
        <v>17.376489299999999</v>
      </c>
      <c r="EX33">
        <v>100.6395615</v>
      </c>
      <c r="EY33">
        <v>2.4645712</v>
      </c>
      <c r="EZ33">
        <v>2267.7129706000001</v>
      </c>
      <c r="FA33" s="223">
        <v>8.2753060000000005</v>
      </c>
      <c r="FB33" s="223">
        <v>1.0476143</v>
      </c>
      <c r="FC33" s="223">
        <v>1.9059587</v>
      </c>
      <c r="FD33">
        <v>2.7864835000000001</v>
      </c>
      <c r="FE33">
        <v>1.2149076000000001</v>
      </c>
      <c r="FF33">
        <v>1.5991062</v>
      </c>
      <c r="FG33">
        <v>0.82021387999999995</v>
      </c>
      <c r="FH33">
        <v>1.1101827200000001</v>
      </c>
      <c r="FI33">
        <v>0.83835881999999995</v>
      </c>
      <c r="FJ33">
        <v>103.59664494</v>
      </c>
    </row>
    <row r="34" spans="1:166" x14ac:dyDescent="0.3">
      <c r="A34" s="223">
        <v>33</v>
      </c>
      <c r="B34" s="315">
        <v>42356</v>
      </c>
      <c r="C34" s="212">
        <v>1016463.1125</v>
      </c>
      <c r="D34" s="212">
        <v>105.17396893</v>
      </c>
      <c r="E34" s="212">
        <v>1.3319074</v>
      </c>
      <c r="F34" s="212">
        <v>6.9351019999999997</v>
      </c>
      <c r="G34" s="212">
        <v>4.3976308514999998</v>
      </c>
      <c r="H34" s="212">
        <v>3.9542263790000001</v>
      </c>
      <c r="I34" s="212">
        <v>1.020348295</v>
      </c>
      <c r="J34" s="212">
        <v>4.2921480000000001</v>
      </c>
      <c r="K34" s="212">
        <v>3.0524149999999999</v>
      </c>
      <c r="L34" s="212">
        <v>10.449539533999999</v>
      </c>
      <c r="M34" s="212">
        <v>0.93589911599999998</v>
      </c>
      <c r="N34" s="212">
        <v>1.2366873940000001</v>
      </c>
      <c r="O34" s="212">
        <v>1.934100097</v>
      </c>
      <c r="P34" s="212">
        <v>1.263181753</v>
      </c>
      <c r="Q34" s="212">
        <v>1.524662</v>
      </c>
      <c r="R34" s="212">
        <v>1.694574341</v>
      </c>
      <c r="S34" s="212">
        <v>11.846629999999999</v>
      </c>
      <c r="T34" s="212">
        <v>2.7967639470000001</v>
      </c>
      <c r="U34" s="212">
        <v>3.1527906689999998</v>
      </c>
      <c r="V34" s="212">
        <v>1.5333020909999999</v>
      </c>
      <c r="W34" s="212">
        <v>1.3127173029999999</v>
      </c>
      <c r="X34" s="212">
        <v>3.2981633179999998</v>
      </c>
      <c r="Y34" s="212">
        <v>1.8178829999999999</v>
      </c>
      <c r="Z34" s="212">
        <v>1.5880479999999999</v>
      </c>
      <c r="AA34" s="212">
        <v>1.2626576490000001</v>
      </c>
      <c r="AB34" s="212">
        <v>1.1009134279999999</v>
      </c>
      <c r="AC34" s="212">
        <v>1.103920923</v>
      </c>
      <c r="AD34" s="212">
        <v>1.292134651</v>
      </c>
      <c r="AE34" s="212">
        <v>1.290069468</v>
      </c>
      <c r="AF34" s="212">
        <v>1.2274907079999999</v>
      </c>
      <c r="AG34" s="212">
        <v>9.1218113499999998</v>
      </c>
      <c r="AH34" s="212">
        <v>1.725364568</v>
      </c>
      <c r="AI34" s="212">
        <v>3.7018369999999998</v>
      </c>
      <c r="AJ34" s="212">
        <v>2.2751769999999998</v>
      </c>
      <c r="AK34" s="212">
        <v>189.74676987000001</v>
      </c>
      <c r="AL34" s="212">
        <v>1.0261756</v>
      </c>
      <c r="AM34" s="212">
        <v>1.8162488999999999</v>
      </c>
      <c r="AN34" s="212">
        <v>8.4423001000000006</v>
      </c>
      <c r="AO34" s="212">
        <v>1.7229083999999999</v>
      </c>
      <c r="AP34" s="212">
        <v>1.7172124</v>
      </c>
      <c r="AQ34" s="212">
        <v>2.3941792999999998</v>
      </c>
      <c r="AR34" s="212">
        <v>8.4112475</v>
      </c>
      <c r="AS34" s="212">
        <v>351.91394810000003</v>
      </c>
      <c r="AT34" s="212">
        <v>1.1417812000000001</v>
      </c>
      <c r="AU34" s="212">
        <v>2.9606941</v>
      </c>
      <c r="AV34" s="212">
        <v>2.4562805999999999</v>
      </c>
      <c r="AW34" s="212">
        <v>1.4977582</v>
      </c>
      <c r="AX34" s="212">
        <v>1.1732433</v>
      </c>
      <c r="AY34" s="212">
        <v>2.4608422000000001</v>
      </c>
      <c r="AZ34" s="212" t="s">
        <v>830</v>
      </c>
      <c r="BA34" s="212">
        <v>1.844663036</v>
      </c>
      <c r="BB34" s="212">
        <v>2.3245562999999998</v>
      </c>
      <c r="BC34" s="212">
        <v>2.9378380000000002</v>
      </c>
      <c r="BD34" s="212">
        <v>1.0641620000000001</v>
      </c>
      <c r="BE34" s="212">
        <v>1.0480020000000001</v>
      </c>
      <c r="BF34" s="212">
        <v>1.0374939999999999</v>
      </c>
      <c r="BG34" s="212">
        <v>1.059391</v>
      </c>
      <c r="BH34" s="212">
        <v>1.043547</v>
      </c>
      <c r="BI34" s="212">
        <v>1.1912240000000001</v>
      </c>
      <c r="BJ34" s="212">
        <v>1.0578609999999999</v>
      </c>
      <c r="BK34" s="212">
        <v>1.1450910000000001</v>
      </c>
      <c r="BL34" s="212">
        <v>1.1853480000000001</v>
      </c>
      <c r="BM34" s="212">
        <v>1.1844749999999999</v>
      </c>
      <c r="BN34" s="212">
        <v>1.0305800000000001</v>
      </c>
      <c r="BO34" s="212">
        <v>1.1018669999999999</v>
      </c>
      <c r="BP34" s="212">
        <v>2.5833879999999998</v>
      </c>
      <c r="BQ34" s="212">
        <v>1.3452470000000001</v>
      </c>
      <c r="BR34" s="212">
        <v>1.4030469999999999</v>
      </c>
      <c r="BS34" s="212">
        <v>1.2098230000000001</v>
      </c>
      <c r="BT34" s="212">
        <v>1.687495</v>
      </c>
      <c r="BU34" s="212">
        <v>1.6724399999999999</v>
      </c>
      <c r="BV34" s="212">
        <v>1.8559460000000001</v>
      </c>
      <c r="BW34" s="212">
        <v>1.698447</v>
      </c>
      <c r="BX34" s="212">
        <v>1.6698660000000001</v>
      </c>
      <c r="BY34" s="212">
        <v>1.6601159999999999</v>
      </c>
      <c r="BZ34" s="212">
        <v>1.91256</v>
      </c>
      <c r="CA34" s="212">
        <v>1.8504130000000001</v>
      </c>
      <c r="CB34" s="212">
        <v>1.8655809999999999</v>
      </c>
      <c r="CC34" s="212">
        <v>1.807974</v>
      </c>
      <c r="CD34" s="212">
        <v>1.8088219999999999</v>
      </c>
      <c r="CE34" s="212">
        <v>1.759217</v>
      </c>
      <c r="CF34" s="212">
        <v>1.072954</v>
      </c>
      <c r="CG34" s="212">
        <v>1.243349</v>
      </c>
      <c r="CH34" s="212">
        <v>1.2628140000000001</v>
      </c>
      <c r="CI34" s="212">
        <v>2.792913</v>
      </c>
      <c r="CJ34" s="212">
        <v>0.95016199999999995</v>
      </c>
      <c r="CK34" s="212">
        <v>1.0300009999999999</v>
      </c>
      <c r="CL34" s="212">
        <v>0.66278599999999999</v>
      </c>
      <c r="CM34" s="212">
        <v>2.9043600000000001</v>
      </c>
      <c r="CN34" s="212">
        <v>2.0443250000000002</v>
      </c>
      <c r="CO34" s="212">
        <v>0.99962600000000001</v>
      </c>
      <c r="CP34" s="212">
        <v>1.0027520000000001</v>
      </c>
      <c r="CQ34" s="212">
        <v>1.2487440000000001</v>
      </c>
      <c r="CR34" s="212">
        <v>13.604267</v>
      </c>
      <c r="CS34" s="212">
        <v>4.2403700000000004</v>
      </c>
      <c r="CT34" s="212">
        <v>1.904968</v>
      </c>
      <c r="CU34" s="212">
        <v>5.1340620000000001</v>
      </c>
      <c r="CV34" s="212">
        <v>9.1242110000000007</v>
      </c>
      <c r="CW34" s="212" t="s">
        <v>830</v>
      </c>
      <c r="CX34" s="212">
        <v>1.1925755028</v>
      </c>
      <c r="CY34" s="212">
        <v>1.9570458340000001</v>
      </c>
      <c r="CZ34" s="212">
        <v>1.1402369637000001</v>
      </c>
      <c r="DA34" s="212">
        <v>14.146268833000001</v>
      </c>
      <c r="DB34" s="212">
        <v>1.073237</v>
      </c>
      <c r="DC34" s="212">
        <v>1.051407</v>
      </c>
      <c r="DD34" s="212">
        <v>1.8560479999999999</v>
      </c>
      <c r="DE34" s="212">
        <v>1.78016</v>
      </c>
      <c r="DF34" s="212">
        <v>1.7359439999999999</v>
      </c>
      <c r="DG34" s="212">
        <v>1.0041927100000001</v>
      </c>
      <c r="DH34" s="212">
        <v>122.57088957000001</v>
      </c>
      <c r="DI34" s="212">
        <v>0.25236979999999998</v>
      </c>
      <c r="DJ34" s="212">
        <v>2.0310134</v>
      </c>
      <c r="DK34" s="212">
        <v>1.9011282</v>
      </c>
      <c r="DL34" s="212">
        <v>149029.92082999999</v>
      </c>
      <c r="DM34" s="212">
        <v>308.76101629999999</v>
      </c>
      <c r="DN34" s="212">
        <v>17.519925300000001</v>
      </c>
      <c r="DO34" s="212" t="s">
        <v>830</v>
      </c>
      <c r="DP34" s="212">
        <v>18108103.305</v>
      </c>
      <c r="DQ34" s="212">
        <v>1.4897252000000001</v>
      </c>
      <c r="DR34" s="212">
        <v>14.443832499999999</v>
      </c>
      <c r="DS34" s="212">
        <v>21.142916799999998</v>
      </c>
      <c r="DT34" s="212">
        <v>1.7669193000000001</v>
      </c>
      <c r="DU34" s="212">
        <v>1.0814608999999999</v>
      </c>
      <c r="DV34" s="212">
        <v>1651.6600421000001</v>
      </c>
      <c r="DW34" s="212">
        <v>23100.994328000001</v>
      </c>
      <c r="DX34" s="212">
        <v>0.82236495200000004</v>
      </c>
      <c r="DY34" s="212">
        <v>10.15546</v>
      </c>
      <c r="DZ34" s="212">
        <v>221.07821799999999</v>
      </c>
      <c r="EA34" s="212">
        <v>17.515391000000001</v>
      </c>
      <c r="EB34" s="212">
        <v>20.262478000000002</v>
      </c>
      <c r="EC34" s="212">
        <v>18.767581</v>
      </c>
      <c r="ED34" s="212">
        <v>2199.5941250000001</v>
      </c>
      <c r="EE34" s="212">
        <v>22.531647</v>
      </c>
      <c r="EF34" s="212">
        <v>33.739052999999998</v>
      </c>
      <c r="EG34" s="212">
        <v>1.439576</v>
      </c>
      <c r="EH34" s="212">
        <v>0.63528569999999995</v>
      </c>
      <c r="EI34" s="212">
        <v>1.1377429999999999</v>
      </c>
      <c r="EJ34" s="212">
        <v>1.9317396899999999</v>
      </c>
      <c r="EK34" s="212">
        <v>1.6027826999999999</v>
      </c>
      <c r="EL34" s="212">
        <v>2.6909741</v>
      </c>
      <c r="EM34">
        <v>1.27893412</v>
      </c>
      <c r="EN34">
        <v>2.2538236399999998</v>
      </c>
      <c r="EO34">
        <v>1.3720952</v>
      </c>
      <c r="EP34">
        <v>255.13428400000001</v>
      </c>
      <c r="EQ34">
        <v>180.24019799999999</v>
      </c>
      <c r="ER34">
        <v>15.708598500000001</v>
      </c>
      <c r="ES34">
        <v>13.813627200000001</v>
      </c>
      <c r="ET34">
        <v>8.6869850999999993</v>
      </c>
      <c r="EU34">
        <v>184.4577553</v>
      </c>
      <c r="EV34">
        <v>115.5341925</v>
      </c>
      <c r="EW34">
        <v>17.385468500000002</v>
      </c>
      <c r="EX34">
        <v>100.68977529999999</v>
      </c>
      <c r="EY34">
        <v>2.4200257999999999</v>
      </c>
      <c r="EZ34">
        <v>2268.8854738999999</v>
      </c>
      <c r="FA34" s="223">
        <v>8.2788419999999991</v>
      </c>
      <c r="FB34" s="223">
        <v>1.0139503000000001</v>
      </c>
      <c r="FC34" s="223">
        <v>1.9034093000000001</v>
      </c>
      <c r="FD34">
        <v>2.7878959999999999</v>
      </c>
      <c r="FE34">
        <v>1.2155530999999999</v>
      </c>
      <c r="FF34">
        <v>1.5966113</v>
      </c>
      <c r="FG34">
        <v>0.80051446999999998</v>
      </c>
      <c r="FH34">
        <v>1.11752381</v>
      </c>
      <c r="FI34">
        <v>0.83829376</v>
      </c>
      <c r="FJ34">
        <v>104.13711149</v>
      </c>
    </row>
    <row r="35" spans="1:166" x14ac:dyDescent="0.3">
      <c r="A35" s="223">
        <v>34</v>
      </c>
      <c r="B35" s="315">
        <v>42359</v>
      </c>
      <c r="C35" s="212">
        <v>1016347.9679</v>
      </c>
      <c r="D35" s="212">
        <v>104.21432741</v>
      </c>
      <c r="E35" s="212">
        <v>1.3324948000000001</v>
      </c>
      <c r="F35" s="212">
        <v>6.9248889</v>
      </c>
      <c r="G35" s="212">
        <v>4.3939344113000001</v>
      </c>
      <c r="H35" s="212">
        <v>3.8679813689999998</v>
      </c>
      <c r="I35" s="212">
        <v>1.01907591</v>
      </c>
      <c r="J35" s="212">
        <v>4.2943449999999999</v>
      </c>
      <c r="K35" s="212">
        <v>3.053547</v>
      </c>
      <c r="L35" s="212">
        <v>10.45405832</v>
      </c>
      <c r="M35" s="212">
        <v>0.92201504700000003</v>
      </c>
      <c r="N35" s="212">
        <v>1.22329668</v>
      </c>
      <c r="O35" s="212">
        <v>1.9329098220000001</v>
      </c>
      <c r="P35" s="212">
        <v>1.263072593</v>
      </c>
      <c r="Q35" s="212">
        <v>1.525417</v>
      </c>
      <c r="R35" s="212">
        <v>1.695204543</v>
      </c>
      <c r="S35" s="212">
        <v>11.851197000000001</v>
      </c>
      <c r="T35" s="212">
        <v>2.7954130780000002</v>
      </c>
      <c r="U35" s="212">
        <v>3.1511776930000002</v>
      </c>
      <c r="V35" s="212">
        <v>1.531496046</v>
      </c>
      <c r="W35" s="212">
        <v>1.310980451</v>
      </c>
      <c r="X35" s="212">
        <v>3.2884217910000002</v>
      </c>
      <c r="Y35" s="212">
        <v>1.818335</v>
      </c>
      <c r="Z35" s="212">
        <v>1.588878</v>
      </c>
      <c r="AA35" s="212">
        <v>1.2629469680000001</v>
      </c>
      <c r="AB35" s="212">
        <v>1.1014722020000001</v>
      </c>
      <c r="AC35" s="212">
        <v>1.104292474</v>
      </c>
      <c r="AD35" s="212">
        <v>1.2932077209999999</v>
      </c>
      <c r="AE35" s="212">
        <v>1.2911417460000001</v>
      </c>
      <c r="AF35" s="212">
        <v>1.2276254499999999</v>
      </c>
      <c r="AG35" s="212">
        <v>9.1264934229999994</v>
      </c>
      <c r="AH35" s="212">
        <v>1.7264514179999999</v>
      </c>
      <c r="AI35" s="212">
        <v>3.703662</v>
      </c>
      <c r="AJ35" s="212">
        <v>2.2746200000000001</v>
      </c>
      <c r="AK35" s="212">
        <v>189.85011241000001</v>
      </c>
      <c r="AL35" s="212">
        <v>1.0269402999999999</v>
      </c>
      <c r="AM35" s="212">
        <v>1.8154566000000001</v>
      </c>
      <c r="AN35" s="212">
        <v>8.4467704000000001</v>
      </c>
      <c r="AO35" s="212">
        <v>1.7238218999999999</v>
      </c>
      <c r="AP35" s="212">
        <v>1.7181123</v>
      </c>
      <c r="AQ35" s="212">
        <v>2.3954144999999998</v>
      </c>
      <c r="AR35" s="212">
        <v>8.4156122999999994</v>
      </c>
      <c r="AS35" s="212">
        <v>346.23073040000003</v>
      </c>
      <c r="AT35" s="212">
        <v>1.1372598</v>
      </c>
      <c r="AU35" s="212">
        <v>2.9621409999999999</v>
      </c>
      <c r="AV35" s="212">
        <v>2.4548771</v>
      </c>
      <c r="AW35" s="212">
        <v>1.4958312</v>
      </c>
      <c r="AX35" s="212">
        <v>1.1737010000000001</v>
      </c>
      <c r="AY35" s="212">
        <v>2.4571892000000002</v>
      </c>
      <c r="AZ35" s="212" t="s">
        <v>830</v>
      </c>
      <c r="BA35" s="212">
        <v>1.8456056709999999</v>
      </c>
      <c r="BB35" s="212">
        <v>2.3219835</v>
      </c>
      <c r="BC35" s="212">
        <v>2.9388390000000002</v>
      </c>
      <c r="BD35" s="212">
        <v>1.064743</v>
      </c>
      <c r="BE35" s="212">
        <v>1.0485739999999999</v>
      </c>
      <c r="BF35" s="212">
        <v>1.03806</v>
      </c>
      <c r="BG35" s="212">
        <v>1.0599700000000001</v>
      </c>
      <c r="BH35" s="212">
        <v>1.044116</v>
      </c>
      <c r="BI35" s="212">
        <v>1.192215</v>
      </c>
      <c r="BJ35" s="212">
        <v>1.0581480000000001</v>
      </c>
      <c r="BK35" s="212">
        <v>1.144914</v>
      </c>
      <c r="BL35" s="212">
        <v>1.186331</v>
      </c>
      <c r="BM35" s="212">
        <v>1.185462</v>
      </c>
      <c r="BN35" s="212">
        <v>1.030116</v>
      </c>
      <c r="BO35" s="212">
        <v>1.102128</v>
      </c>
      <c r="BP35" s="212">
        <v>2.584765</v>
      </c>
      <c r="BQ35" s="212">
        <v>1.3459080000000001</v>
      </c>
      <c r="BR35" s="212">
        <v>1.40357</v>
      </c>
      <c r="BS35" s="212">
        <v>1.208396</v>
      </c>
      <c r="BT35" s="212">
        <v>1.6854819999999999</v>
      </c>
      <c r="BU35" s="212">
        <v>1.6737820000000001</v>
      </c>
      <c r="BV35" s="212">
        <v>1.8575999999999999</v>
      </c>
      <c r="BW35" s="212">
        <v>1.699632</v>
      </c>
      <c r="BX35" s="212">
        <v>1.6713150000000001</v>
      </c>
      <c r="BY35" s="212">
        <v>1.6614279999999999</v>
      </c>
      <c r="BZ35" s="212">
        <v>1.9140239999999999</v>
      </c>
      <c r="CA35" s="212">
        <v>1.8517650000000001</v>
      </c>
      <c r="CB35" s="212">
        <v>1.867394</v>
      </c>
      <c r="CC35" s="212">
        <v>1.8091569999999999</v>
      </c>
      <c r="CD35" s="212">
        <v>1.8100039999999999</v>
      </c>
      <c r="CE35" s="212">
        <v>1.7604070000000001</v>
      </c>
      <c r="CF35" s="212">
        <v>1.0737810000000001</v>
      </c>
      <c r="CG35" s="212">
        <v>1.237438</v>
      </c>
      <c r="CH35" s="212">
        <v>1.2593099999999999</v>
      </c>
      <c r="CI35" s="212">
        <v>2.7937829999999999</v>
      </c>
      <c r="CJ35" s="212">
        <v>0.92819099999999999</v>
      </c>
      <c r="CK35" s="212">
        <v>1.006424</v>
      </c>
      <c r="CL35" s="212">
        <v>0.65387300000000004</v>
      </c>
      <c r="CM35" s="212">
        <v>2.851969</v>
      </c>
      <c r="CN35" s="212">
        <v>2.063939</v>
      </c>
      <c r="CO35" s="212">
        <v>0.991761</v>
      </c>
      <c r="CP35" s="212">
        <v>1.0026390000000001</v>
      </c>
      <c r="CQ35" s="212">
        <v>1.249393</v>
      </c>
      <c r="CR35" s="212">
        <v>13.610590999999999</v>
      </c>
      <c r="CS35" s="212">
        <v>4.2423159999999998</v>
      </c>
      <c r="CT35" s="212">
        <v>1.9047190000000001</v>
      </c>
      <c r="CU35" s="212">
        <v>5.1357379999999999</v>
      </c>
      <c r="CV35" s="212">
        <v>9.1284489999999998</v>
      </c>
      <c r="CW35" s="212" t="s">
        <v>830</v>
      </c>
      <c r="CX35" s="212">
        <v>1.1931994056999999</v>
      </c>
      <c r="CY35" s="212">
        <v>1.9550358050000001</v>
      </c>
      <c r="CZ35" s="212">
        <v>1.1405152514000001</v>
      </c>
      <c r="DA35" s="212">
        <v>14.153410149999999</v>
      </c>
      <c r="DB35" s="212">
        <v>1.0738220000000001</v>
      </c>
      <c r="DC35" s="212">
        <v>1.051693</v>
      </c>
      <c r="DD35" s="212">
        <v>1.856738</v>
      </c>
      <c r="DE35" s="212">
        <v>1.780035</v>
      </c>
      <c r="DF35" s="212">
        <v>1.7363500000000001</v>
      </c>
      <c r="DG35" s="212">
        <v>1.00191352</v>
      </c>
      <c r="DH35" s="212">
        <v>122.64389414</v>
      </c>
      <c r="DI35" s="212">
        <v>0.25228249000000003</v>
      </c>
      <c r="DJ35" s="212">
        <v>2.0319479999999999</v>
      </c>
      <c r="DK35" s="212">
        <v>1.9064196200000001</v>
      </c>
      <c r="DL35" s="212">
        <v>149127.71465000001</v>
      </c>
      <c r="DM35" s="212">
        <v>308.923181</v>
      </c>
      <c r="DN35" s="212">
        <v>17.5305818</v>
      </c>
      <c r="DO35" s="212" t="s">
        <v>830</v>
      </c>
      <c r="DP35" s="212">
        <v>18106871.348000001</v>
      </c>
      <c r="DQ35" s="212">
        <v>1.4904571</v>
      </c>
      <c r="DR35" s="212">
        <v>14.450972999999999</v>
      </c>
      <c r="DS35" s="212">
        <v>21.153883799999999</v>
      </c>
      <c r="DT35" s="212">
        <v>1.7665732000000001</v>
      </c>
      <c r="DU35" s="212">
        <v>1.0714018999999999</v>
      </c>
      <c r="DV35" s="212">
        <v>1652.3852667000001</v>
      </c>
      <c r="DW35" s="212">
        <v>23097.738834</v>
      </c>
      <c r="DX35" s="212">
        <v>0.79392562</v>
      </c>
      <c r="DY35" s="212">
        <v>10.039694000000001</v>
      </c>
      <c r="DZ35" s="212">
        <v>221.19327000000001</v>
      </c>
      <c r="EA35" s="212">
        <v>17.46368</v>
      </c>
      <c r="EB35" s="212">
        <v>20.270406999999999</v>
      </c>
      <c r="EC35" s="212">
        <v>18.757528000000001</v>
      </c>
      <c r="ED35" s="212">
        <v>2200.7611550000001</v>
      </c>
      <c r="EE35" s="212">
        <v>22.543308</v>
      </c>
      <c r="EF35" s="212">
        <v>33.756566999999997</v>
      </c>
      <c r="EG35" s="212">
        <v>1.4434347999999999</v>
      </c>
      <c r="EH35" s="212">
        <v>0.64561040000000003</v>
      </c>
      <c r="EI35" s="212">
        <v>1.1420254999999999</v>
      </c>
      <c r="EJ35" s="212">
        <v>1.9324828000000001</v>
      </c>
      <c r="EK35" s="212">
        <v>1.6022240000000001</v>
      </c>
      <c r="EL35" s="212">
        <v>2.6900366</v>
      </c>
      <c r="EM35">
        <v>1.2791834200000001</v>
      </c>
      <c r="EN35">
        <v>2.2557728300000002</v>
      </c>
      <c r="EO35">
        <v>1.3727429</v>
      </c>
      <c r="EP35">
        <v>255.472904</v>
      </c>
      <c r="EQ35">
        <v>180.155225</v>
      </c>
      <c r="ER35">
        <v>15.7147729</v>
      </c>
      <c r="ES35">
        <v>13.8061946</v>
      </c>
      <c r="ET35">
        <v>8.6915727999999994</v>
      </c>
      <c r="EU35">
        <v>184.35683309999999</v>
      </c>
      <c r="EV35">
        <v>114.9636035</v>
      </c>
      <c r="EW35">
        <v>17.389713700000001</v>
      </c>
      <c r="EX35">
        <v>100.7397751</v>
      </c>
      <c r="EY35">
        <v>2.3223919999999998</v>
      </c>
      <c r="EZ35">
        <v>2270.0517829999999</v>
      </c>
      <c r="FA35" s="223">
        <v>8.2823949999999993</v>
      </c>
      <c r="FB35" s="223">
        <v>1.0036716000000001</v>
      </c>
      <c r="FC35" s="223">
        <v>1.9012358</v>
      </c>
      <c r="FD35">
        <v>2.7893074000000002</v>
      </c>
      <c r="FE35">
        <v>1.2158648999999999</v>
      </c>
      <c r="FF35">
        <v>1.5919342999999999</v>
      </c>
      <c r="FG35">
        <v>0.79508049000000003</v>
      </c>
      <c r="FH35">
        <v>1.1136075400000001</v>
      </c>
      <c r="FI35">
        <v>0.83822869</v>
      </c>
      <c r="FJ35">
        <v>104.39504722</v>
      </c>
    </row>
    <row r="36" spans="1:166" x14ac:dyDescent="0.3">
      <c r="A36" s="223">
        <v>35</v>
      </c>
      <c r="B36" s="315">
        <v>42360</v>
      </c>
      <c r="C36" s="212">
        <v>1016277.6893</v>
      </c>
      <c r="D36" s="212">
        <v>104.21095296999999</v>
      </c>
      <c r="E36" s="212">
        <v>1.3342075</v>
      </c>
      <c r="F36" s="212">
        <v>6.9315166000000001</v>
      </c>
      <c r="G36" s="212">
        <v>4.3910673616000002</v>
      </c>
      <c r="H36" s="212">
        <v>3.816752583</v>
      </c>
      <c r="I36" s="212">
        <v>1.0149552989999999</v>
      </c>
      <c r="J36" s="212">
        <v>4.2965419999999996</v>
      </c>
      <c r="K36" s="212">
        <v>3.0546500000000001</v>
      </c>
      <c r="L36" s="212">
        <v>10.458567294</v>
      </c>
      <c r="M36" s="212">
        <v>0.92745565299999999</v>
      </c>
      <c r="N36" s="212">
        <v>1.228072064</v>
      </c>
      <c r="O36" s="212">
        <v>1.9359774519999999</v>
      </c>
      <c r="P36" s="212">
        <v>1.263210094</v>
      </c>
      <c r="Q36" s="212">
        <v>1.5261670000000001</v>
      </c>
      <c r="R36" s="212">
        <v>1.6981120949999999</v>
      </c>
      <c r="S36" s="212">
        <v>11.866445000000001</v>
      </c>
      <c r="T36" s="212">
        <v>2.7994656070000001</v>
      </c>
      <c r="U36" s="212">
        <v>3.1561284220000001</v>
      </c>
      <c r="V36" s="212">
        <v>1.5341448499999999</v>
      </c>
      <c r="W36" s="212">
        <v>1.3123020750000001</v>
      </c>
      <c r="X36" s="212">
        <v>3.291857673</v>
      </c>
      <c r="Y36" s="212">
        <v>1.8195680000000001</v>
      </c>
      <c r="Z36" s="212">
        <v>1.5897060000000001</v>
      </c>
      <c r="AA36" s="212">
        <v>1.2637460119999999</v>
      </c>
      <c r="AB36" s="212">
        <v>1.1028689599999999</v>
      </c>
      <c r="AC36" s="212">
        <v>1.105656907</v>
      </c>
      <c r="AD36" s="212">
        <v>1.294135531</v>
      </c>
      <c r="AE36" s="212">
        <v>1.2920690930000001</v>
      </c>
      <c r="AF36" s="212">
        <v>1.2281784630000001</v>
      </c>
      <c r="AG36" s="212">
        <v>9.1311060029999993</v>
      </c>
      <c r="AH36" s="212">
        <v>1.728519675</v>
      </c>
      <c r="AI36" s="212">
        <v>3.7056089999999999</v>
      </c>
      <c r="AJ36" s="212">
        <v>2.2779560000000001</v>
      </c>
      <c r="AK36" s="212">
        <v>190.01495131999999</v>
      </c>
      <c r="AL36" s="212">
        <v>1.0278658000000001</v>
      </c>
      <c r="AM36" s="212">
        <v>1.8182609000000001</v>
      </c>
      <c r="AN36" s="212">
        <v>8.4512756000000007</v>
      </c>
      <c r="AO36" s="212">
        <v>1.7242712</v>
      </c>
      <c r="AP36" s="212">
        <v>1.7185495</v>
      </c>
      <c r="AQ36" s="212">
        <v>2.3966508000000002</v>
      </c>
      <c r="AR36" s="212">
        <v>8.4199777000000005</v>
      </c>
      <c r="AS36" s="212">
        <v>348.45639670000003</v>
      </c>
      <c r="AT36" s="212">
        <v>1.1433979999999999</v>
      </c>
      <c r="AU36" s="212">
        <v>2.9635881999999998</v>
      </c>
      <c r="AV36" s="212">
        <v>2.4586220999999999</v>
      </c>
      <c r="AW36" s="212">
        <v>1.4983531000000001</v>
      </c>
      <c r="AX36" s="212">
        <v>1.1752507000000001</v>
      </c>
      <c r="AY36" s="212">
        <v>2.4599462999999999</v>
      </c>
      <c r="AZ36" s="212" t="s">
        <v>830</v>
      </c>
      <c r="BA36" s="212">
        <v>1.8465526750000001</v>
      </c>
      <c r="BB36" s="212">
        <v>2.3247887999999999</v>
      </c>
      <c r="BC36" s="212">
        <v>2.9405939999999999</v>
      </c>
      <c r="BD36" s="212">
        <v>1.0659689999999999</v>
      </c>
      <c r="BE36" s="212">
        <v>1.049782</v>
      </c>
      <c r="BF36" s="212">
        <v>1.039256</v>
      </c>
      <c r="BG36" s="212">
        <v>1.0611900000000001</v>
      </c>
      <c r="BH36" s="212">
        <v>1.0453170000000001</v>
      </c>
      <c r="BI36" s="212">
        <v>1.1930719999999999</v>
      </c>
      <c r="BJ36" s="212">
        <v>1.060254</v>
      </c>
      <c r="BK36" s="212">
        <v>1.145953</v>
      </c>
      <c r="BL36" s="212">
        <v>1.187181</v>
      </c>
      <c r="BM36" s="212">
        <v>1.186315</v>
      </c>
      <c r="BN36" s="212">
        <v>1.0302359999999999</v>
      </c>
      <c r="BO36" s="212">
        <v>1.104196</v>
      </c>
      <c r="BP36" s="212">
        <v>2.5861149999999999</v>
      </c>
      <c r="BQ36" s="212">
        <v>1.3465689999999999</v>
      </c>
      <c r="BR36" s="212">
        <v>1.405732</v>
      </c>
      <c r="BS36" s="212">
        <v>1.210253</v>
      </c>
      <c r="BT36" s="212">
        <v>1.6872370000000001</v>
      </c>
      <c r="BU36" s="212">
        <v>1.675033</v>
      </c>
      <c r="BV36" s="212">
        <v>1.8588929999999999</v>
      </c>
      <c r="BW36" s="212">
        <v>1.700815</v>
      </c>
      <c r="BX36" s="212">
        <v>1.672531</v>
      </c>
      <c r="BY36" s="212">
        <v>1.6627080000000001</v>
      </c>
      <c r="BZ36" s="212">
        <v>1.9154679999999999</v>
      </c>
      <c r="CA36" s="212">
        <v>1.853057</v>
      </c>
      <c r="CB36" s="212">
        <v>1.868671</v>
      </c>
      <c r="CC36" s="212">
        <v>1.810341</v>
      </c>
      <c r="CD36" s="212">
        <v>1.811186</v>
      </c>
      <c r="CE36" s="212">
        <v>1.7615940000000001</v>
      </c>
      <c r="CF36" s="212">
        <v>1.0746389999999999</v>
      </c>
      <c r="CG36" s="212">
        <v>1.2390209999999999</v>
      </c>
      <c r="CH36" s="212">
        <v>1.2606189999999999</v>
      </c>
      <c r="CI36" s="212">
        <v>2.795474</v>
      </c>
      <c r="CJ36" s="212">
        <v>0.93031799999999998</v>
      </c>
      <c r="CK36" s="212">
        <v>1.0088509999999999</v>
      </c>
      <c r="CL36" s="212">
        <v>0.65814399999999995</v>
      </c>
      <c r="CM36" s="212">
        <v>2.8665389999999999</v>
      </c>
      <c r="CN36" s="212">
        <v>2.0748890000000002</v>
      </c>
      <c r="CO36" s="212">
        <v>0.994981</v>
      </c>
      <c r="CP36" s="212">
        <v>1.0094810000000001</v>
      </c>
      <c r="CQ36" s="212">
        <v>1.2500420000000001</v>
      </c>
      <c r="CR36" s="212">
        <v>13.616917000000001</v>
      </c>
      <c r="CS36" s="212">
        <v>4.2443730000000004</v>
      </c>
      <c r="CT36" s="212">
        <v>1.9075420000000001</v>
      </c>
      <c r="CU36" s="212">
        <v>5.1374149999999998</v>
      </c>
      <c r="CV36" s="212">
        <v>9.1326940000000008</v>
      </c>
      <c r="CW36" s="212" t="s">
        <v>830</v>
      </c>
      <c r="CX36" s="212">
        <v>1.1938143996999999</v>
      </c>
      <c r="CY36" s="212">
        <v>1.9532874366999999</v>
      </c>
      <c r="CZ36" s="212">
        <v>1.141298411</v>
      </c>
      <c r="DA36" s="212">
        <v>14.160439282</v>
      </c>
      <c r="DB36" s="212">
        <v>1.075059</v>
      </c>
      <c r="DC36" s="212">
        <v>1.0537859999999999</v>
      </c>
      <c r="DD36" s="212">
        <v>1.859124</v>
      </c>
      <c r="DE36" s="212">
        <v>1.7828820000000001</v>
      </c>
      <c r="DF36" s="212">
        <v>1.7375529999999999</v>
      </c>
      <c r="DG36" s="212">
        <v>1.0028356599999999</v>
      </c>
      <c r="DH36" s="212">
        <v>122.7169514</v>
      </c>
      <c r="DI36" s="212">
        <v>0.25242056000000002</v>
      </c>
      <c r="DJ36" s="212">
        <v>2.0328827999999999</v>
      </c>
      <c r="DK36" s="212">
        <v>1.9067777100000001</v>
      </c>
      <c r="DL36" s="212">
        <v>149225.57264</v>
      </c>
      <c r="DM36" s="212">
        <v>309.08721309999999</v>
      </c>
      <c r="DN36" s="212">
        <v>17.541245</v>
      </c>
      <c r="DO36" s="212" t="s">
        <v>830</v>
      </c>
      <c r="DP36" s="212">
        <v>18105683.679000001</v>
      </c>
      <c r="DQ36" s="212">
        <v>1.5033782</v>
      </c>
      <c r="DR36" s="212">
        <v>14.458129899999999</v>
      </c>
      <c r="DS36" s="212">
        <v>21.165171300000001</v>
      </c>
      <c r="DT36" s="212">
        <v>1.7694825999999999</v>
      </c>
      <c r="DU36" s="212">
        <v>1.0736078</v>
      </c>
      <c r="DV36" s="212">
        <v>1653.1300246000001</v>
      </c>
      <c r="DW36" s="212">
        <v>23094.831570999999</v>
      </c>
      <c r="DX36" s="212">
        <v>0.80048242300000005</v>
      </c>
      <c r="DY36" s="212">
        <v>10.096584999999999</v>
      </c>
      <c r="DZ36" s="212">
        <v>221.31176199999999</v>
      </c>
      <c r="EA36" s="212">
        <v>17.481816999999999</v>
      </c>
      <c r="EB36" s="212">
        <v>20.296956999999999</v>
      </c>
      <c r="EC36" s="212">
        <v>18.786428000000001</v>
      </c>
      <c r="ED36" s="212">
        <v>2201.9464029999999</v>
      </c>
      <c r="EE36" s="212">
        <v>22.549116000000001</v>
      </c>
      <c r="EF36" s="212">
        <v>33.774079</v>
      </c>
      <c r="EG36" s="212">
        <v>1.4409498999999999</v>
      </c>
      <c r="EH36" s="212">
        <v>0.6407254</v>
      </c>
      <c r="EI36" s="212">
        <v>1.1418672999999999</v>
      </c>
      <c r="EJ36" s="212">
        <v>1.9343971799999999</v>
      </c>
      <c r="EK36" s="212">
        <v>1.6006179</v>
      </c>
      <c r="EL36" s="212">
        <v>2.6873084</v>
      </c>
      <c r="EM36">
        <v>1.27872378</v>
      </c>
      <c r="EN36">
        <v>2.2574683200000001</v>
      </c>
      <c r="EO36">
        <v>1.3733734</v>
      </c>
      <c r="EP36">
        <v>255.55873600000001</v>
      </c>
      <c r="EQ36">
        <v>180.36552499999999</v>
      </c>
      <c r="ER36">
        <v>15.7353361</v>
      </c>
      <c r="ES36">
        <v>13.827513099999999</v>
      </c>
      <c r="ET36">
        <v>8.6962177000000001</v>
      </c>
      <c r="EU36">
        <v>184.63990860000001</v>
      </c>
      <c r="EV36">
        <v>115.35792600000001</v>
      </c>
      <c r="EW36">
        <v>17.401320800000001</v>
      </c>
      <c r="EX36">
        <v>100.79043230000001</v>
      </c>
      <c r="EY36">
        <v>2.3868657999999998</v>
      </c>
      <c r="EZ36">
        <v>2271.2430668000002</v>
      </c>
      <c r="FA36" s="223">
        <v>8.2859680000000004</v>
      </c>
      <c r="FB36" s="223">
        <v>1.0097491000000001</v>
      </c>
      <c r="FC36" s="223">
        <v>1.9038763999999999</v>
      </c>
      <c r="FD36">
        <v>2.7907220000000001</v>
      </c>
      <c r="FE36">
        <v>1.2166748999999999</v>
      </c>
      <c r="FF36">
        <v>1.5936687</v>
      </c>
      <c r="FG36">
        <v>0.79746905000000001</v>
      </c>
      <c r="FH36">
        <v>1.11408737</v>
      </c>
      <c r="FI36">
        <v>0.83816367000000003</v>
      </c>
      <c r="FJ36">
        <v>104.41309448</v>
      </c>
    </row>
    <row r="37" spans="1:166" x14ac:dyDescent="0.3">
      <c r="A37" s="223">
        <v>36</v>
      </c>
      <c r="B37" s="315">
        <v>42361</v>
      </c>
      <c r="C37" s="212">
        <v>1016207.3809</v>
      </c>
      <c r="D37" s="212">
        <v>104.20719957</v>
      </c>
      <c r="E37" s="212">
        <v>1.3372748000000001</v>
      </c>
      <c r="F37" s="212">
        <v>6.9889520000000003</v>
      </c>
      <c r="G37" s="212">
        <v>4.3981964159000002</v>
      </c>
      <c r="H37" s="212">
        <v>3.9146231189999998</v>
      </c>
      <c r="I37" s="212">
        <v>1.0221767239999999</v>
      </c>
      <c r="J37" s="212">
        <v>4.2987399999999996</v>
      </c>
      <c r="K37" s="212">
        <v>3.055774</v>
      </c>
      <c r="L37" s="212">
        <v>10.462822407000001</v>
      </c>
      <c r="M37" s="212">
        <v>0.93879826700000002</v>
      </c>
      <c r="N37" s="212">
        <v>1.240701686</v>
      </c>
      <c r="O37" s="212">
        <v>1.9372407250000001</v>
      </c>
      <c r="P37" s="212">
        <v>1.267869855</v>
      </c>
      <c r="Q37" s="212">
        <v>1.52691</v>
      </c>
      <c r="R37" s="212">
        <v>1.701270455</v>
      </c>
      <c r="S37" s="212">
        <v>11.891828</v>
      </c>
      <c r="T37" s="212">
        <v>2.808442323</v>
      </c>
      <c r="U37" s="212">
        <v>3.166304427</v>
      </c>
      <c r="V37" s="212">
        <v>1.540127544</v>
      </c>
      <c r="W37" s="212">
        <v>1.31486053</v>
      </c>
      <c r="X37" s="212">
        <v>3.2983079960000001</v>
      </c>
      <c r="Y37" s="212">
        <v>1.8205990000000001</v>
      </c>
      <c r="Z37" s="212">
        <v>1.5904849999999999</v>
      </c>
      <c r="AA37" s="212">
        <v>1.2691260310000001</v>
      </c>
      <c r="AB37" s="212">
        <v>1.104069857</v>
      </c>
      <c r="AC37" s="212">
        <v>1.1078502910000001</v>
      </c>
      <c r="AD37" s="212">
        <v>1.2950640170000001</v>
      </c>
      <c r="AE37" s="212">
        <v>1.2929970770000001</v>
      </c>
      <c r="AF37" s="212">
        <v>1.2332563910000001</v>
      </c>
      <c r="AG37" s="212">
        <v>9.1353235450000003</v>
      </c>
      <c r="AH37" s="212">
        <v>1.7302880490000001</v>
      </c>
      <c r="AI37" s="212">
        <v>3.7077779999999998</v>
      </c>
      <c r="AJ37" s="212">
        <v>2.285031</v>
      </c>
      <c r="AK37" s="212">
        <v>190.25775684000001</v>
      </c>
      <c r="AL37" s="212">
        <v>1.0310169</v>
      </c>
      <c r="AM37" s="212">
        <v>1.8239703</v>
      </c>
      <c r="AN37" s="212">
        <v>8.4557435999999999</v>
      </c>
      <c r="AO37" s="212">
        <v>1.7254482</v>
      </c>
      <c r="AP37" s="212">
        <v>1.7197167</v>
      </c>
      <c r="AQ37" s="212">
        <v>2.3978861999999999</v>
      </c>
      <c r="AR37" s="212">
        <v>8.4243453000000006</v>
      </c>
      <c r="AS37" s="212">
        <v>352.84666929999997</v>
      </c>
      <c r="AT37" s="212">
        <v>1.1543275</v>
      </c>
      <c r="AU37" s="212">
        <v>2.9650363</v>
      </c>
      <c r="AV37" s="212">
        <v>2.4665362000000002</v>
      </c>
      <c r="AW37" s="212">
        <v>1.5043814</v>
      </c>
      <c r="AX37" s="212">
        <v>1.1777989</v>
      </c>
      <c r="AY37" s="212">
        <v>2.4652294000000001</v>
      </c>
      <c r="AZ37" s="212" t="s">
        <v>830</v>
      </c>
      <c r="BA37" s="212">
        <v>1.8475006469999999</v>
      </c>
      <c r="BB37" s="212">
        <v>2.3338947999999999</v>
      </c>
      <c r="BC37" s="212">
        <v>2.9423520000000001</v>
      </c>
      <c r="BD37" s="212">
        <v>1.0669770000000001</v>
      </c>
      <c r="BE37" s="212">
        <v>1.050775</v>
      </c>
      <c r="BF37" s="212">
        <v>1.040238</v>
      </c>
      <c r="BG37" s="212">
        <v>1.0621929999999999</v>
      </c>
      <c r="BH37" s="212">
        <v>1.046305</v>
      </c>
      <c r="BI37" s="212">
        <v>1.193929</v>
      </c>
      <c r="BJ37" s="212">
        <v>1.0623469999999999</v>
      </c>
      <c r="BK37" s="212">
        <v>1.150053</v>
      </c>
      <c r="BL37" s="212">
        <v>1.188032</v>
      </c>
      <c r="BM37" s="212">
        <v>1.1871689999999999</v>
      </c>
      <c r="BN37" s="212">
        <v>1.033674</v>
      </c>
      <c r="BO37" s="212">
        <v>1.108023</v>
      </c>
      <c r="BP37" s="212">
        <v>2.5873910000000002</v>
      </c>
      <c r="BQ37" s="212">
        <v>1.3472310000000001</v>
      </c>
      <c r="BR37" s="212">
        <v>1.4082939999999999</v>
      </c>
      <c r="BS37" s="212">
        <v>1.214723</v>
      </c>
      <c r="BT37" s="212">
        <v>1.6905460000000001</v>
      </c>
      <c r="BU37" s="212">
        <v>1.6766129999999999</v>
      </c>
      <c r="BV37" s="212">
        <v>1.860187</v>
      </c>
      <c r="BW37" s="212">
        <v>1.7020470000000001</v>
      </c>
      <c r="BX37" s="212">
        <v>1.6736740000000001</v>
      </c>
      <c r="BY37" s="212">
        <v>1.663896</v>
      </c>
      <c r="BZ37" s="212">
        <v>1.917079</v>
      </c>
      <c r="CA37" s="212">
        <v>1.854349</v>
      </c>
      <c r="CB37" s="212">
        <v>1.86995</v>
      </c>
      <c r="CC37" s="212">
        <v>1.8115250000000001</v>
      </c>
      <c r="CD37" s="212">
        <v>1.81237</v>
      </c>
      <c r="CE37" s="212">
        <v>1.762866</v>
      </c>
      <c r="CF37" s="212">
        <v>1.077861</v>
      </c>
      <c r="CG37" s="212">
        <v>1.2424249999999999</v>
      </c>
      <c r="CH37" s="212">
        <v>1.2629889999999999</v>
      </c>
      <c r="CI37" s="212">
        <v>2.7971720000000002</v>
      </c>
      <c r="CJ37" s="212">
        <v>0.94118900000000005</v>
      </c>
      <c r="CK37" s="212">
        <v>1.020643</v>
      </c>
      <c r="CL37" s="212">
        <v>0.66536600000000001</v>
      </c>
      <c r="CM37" s="212">
        <v>2.9011670000000001</v>
      </c>
      <c r="CN37" s="212">
        <v>2.0813830000000002</v>
      </c>
      <c r="CO37" s="212">
        <v>1.0064679999999999</v>
      </c>
      <c r="CP37" s="212">
        <v>1.014848</v>
      </c>
      <c r="CQ37" s="212">
        <v>1.250691</v>
      </c>
      <c r="CR37" s="212">
        <v>13.623245000000001</v>
      </c>
      <c r="CS37" s="212">
        <v>4.246283</v>
      </c>
      <c r="CT37" s="212">
        <v>1.9126860000000001</v>
      </c>
      <c r="CU37" s="212">
        <v>5.1390900000000004</v>
      </c>
      <c r="CV37" s="212">
        <v>9.1369369999999996</v>
      </c>
      <c r="CW37" s="212" t="s">
        <v>830</v>
      </c>
      <c r="CX37" s="212">
        <v>1.1944389794000001</v>
      </c>
      <c r="CY37" s="212">
        <v>1.9560962720999999</v>
      </c>
      <c r="CZ37" s="212">
        <v>1.1419550881</v>
      </c>
      <c r="DA37" s="212">
        <v>14.167624545000001</v>
      </c>
      <c r="DB37" s="212">
        <v>1.076076</v>
      </c>
      <c r="DC37" s="212">
        <v>1.055866</v>
      </c>
      <c r="DD37" s="212">
        <v>1.862846</v>
      </c>
      <c r="DE37" s="212">
        <v>1.7880320000000001</v>
      </c>
      <c r="DF37" s="212">
        <v>1.738553</v>
      </c>
      <c r="DG37" s="212">
        <v>1.00511046</v>
      </c>
      <c r="DH37" s="212">
        <v>122.79000542</v>
      </c>
      <c r="DI37" s="212">
        <v>0.25248134999999999</v>
      </c>
      <c r="DJ37" s="212">
        <v>2.0338189999999998</v>
      </c>
      <c r="DK37" s="212">
        <v>1.90493826</v>
      </c>
      <c r="DL37" s="212">
        <v>149323.49463999999</v>
      </c>
      <c r="DM37" s="212">
        <v>309.24989290000002</v>
      </c>
      <c r="DN37" s="212">
        <v>17.551902599999998</v>
      </c>
      <c r="DO37" s="212" t="s">
        <v>830</v>
      </c>
      <c r="DP37" s="212">
        <v>18104496.096000001</v>
      </c>
      <c r="DQ37" s="212">
        <v>1.5238883999999999</v>
      </c>
      <c r="DR37" s="212">
        <v>14.4645112</v>
      </c>
      <c r="DS37" s="212">
        <v>21.176251499999999</v>
      </c>
      <c r="DT37" s="212">
        <v>1.7731332</v>
      </c>
      <c r="DU37" s="212">
        <v>1.0831850000000001</v>
      </c>
      <c r="DV37" s="212">
        <v>1653.6236917000001</v>
      </c>
      <c r="DW37" s="212">
        <v>23088.711281</v>
      </c>
      <c r="DX37" s="212">
        <v>0.79676451400000003</v>
      </c>
      <c r="DY37" s="212">
        <v>10.2094</v>
      </c>
      <c r="DZ37" s="212">
        <v>221.42558600000001</v>
      </c>
      <c r="EA37" s="212">
        <v>17.515943</v>
      </c>
      <c r="EB37" s="212">
        <v>20.340161999999999</v>
      </c>
      <c r="EC37" s="212">
        <v>18.847176999999999</v>
      </c>
      <c r="ED37" s="212">
        <v>2203.1025829999999</v>
      </c>
      <c r="EE37" s="212">
        <v>22.564321</v>
      </c>
      <c r="EF37" s="212">
        <v>33.791620000000002</v>
      </c>
      <c r="EG37" s="212">
        <v>1.4455468</v>
      </c>
      <c r="EH37" s="212">
        <v>0.64093250000000002</v>
      </c>
      <c r="EI37" s="212">
        <v>1.1433537</v>
      </c>
      <c r="EJ37" s="212">
        <v>1.9357358600000001</v>
      </c>
      <c r="EK37" s="212">
        <v>1.6040498999999999</v>
      </c>
      <c r="EL37" s="212">
        <v>2.6930710000000002</v>
      </c>
      <c r="EM37">
        <v>1.2788648300000001</v>
      </c>
      <c r="EN37">
        <v>2.2591651000000001</v>
      </c>
      <c r="EO37">
        <v>1.3739033</v>
      </c>
      <c r="EP37">
        <v>255.715745</v>
      </c>
      <c r="EQ37">
        <v>180.92076900000001</v>
      </c>
      <c r="ER37">
        <v>15.769187799999999</v>
      </c>
      <c r="ES37">
        <v>13.872171700000001</v>
      </c>
      <c r="ET37">
        <v>8.7007907000000007</v>
      </c>
      <c r="EU37">
        <v>185.23493780000001</v>
      </c>
      <c r="EV37">
        <v>116.60983539999999</v>
      </c>
      <c r="EW37">
        <v>17.411038999999999</v>
      </c>
      <c r="EX37">
        <v>100.8402528</v>
      </c>
      <c r="EY37">
        <v>2.4821249999999999</v>
      </c>
      <c r="EZ37">
        <v>2272.3989375000001</v>
      </c>
      <c r="FA37" s="223">
        <v>8.2895190000000003</v>
      </c>
      <c r="FB37" s="223">
        <v>1.0203751000000001</v>
      </c>
      <c r="FC37" s="223">
        <v>1.9101935999999999</v>
      </c>
      <c r="FD37">
        <v>2.7921383</v>
      </c>
      <c r="FE37">
        <v>1.2174157999999999</v>
      </c>
      <c r="FF37">
        <v>1.5967411</v>
      </c>
      <c r="FG37">
        <v>0.80271621999999998</v>
      </c>
      <c r="FH37">
        <v>1.12040428</v>
      </c>
      <c r="FI37">
        <v>0.83809858999999998</v>
      </c>
      <c r="FJ37">
        <v>104.47334187</v>
      </c>
    </row>
    <row r="38" spans="1:166" x14ac:dyDescent="0.3">
      <c r="A38" s="223">
        <v>37</v>
      </c>
      <c r="B38" s="315">
        <v>42362</v>
      </c>
      <c r="C38" s="212">
        <v>1016137.0681</v>
      </c>
      <c r="D38" s="212">
        <v>104.2034451</v>
      </c>
      <c r="E38" s="212">
        <v>1.3383126999999999</v>
      </c>
      <c r="F38" s="212">
        <v>6.9872752</v>
      </c>
      <c r="G38" s="212">
        <v>4.4135882268</v>
      </c>
      <c r="H38" s="212">
        <v>3.9143877979999999</v>
      </c>
      <c r="I38" s="212">
        <v>1.0222165809999999</v>
      </c>
      <c r="J38" s="212">
        <v>4.3009399999999998</v>
      </c>
      <c r="K38" s="212">
        <v>3.0568789999999999</v>
      </c>
      <c r="L38" s="212">
        <v>10.467419874000001</v>
      </c>
      <c r="M38" s="212">
        <v>0.938750737</v>
      </c>
      <c r="N38" s="212">
        <v>1.2406522419999999</v>
      </c>
      <c r="O38" s="212">
        <v>1.938201735</v>
      </c>
      <c r="P38" s="212">
        <v>1.2689433969999999</v>
      </c>
      <c r="Q38" s="212">
        <v>1.5275970000000001</v>
      </c>
      <c r="R38" s="212">
        <v>1.7025114139999999</v>
      </c>
      <c r="S38" s="212">
        <v>11.900415000000001</v>
      </c>
      <c r="T38" s="212">
        <v>2.8105450429999999</v>
      </c>
      <c r="U38" s="212">
        <v>3.1686594729999999</v>
      </c>
      <c r="V38" s="212">
        <v>1.5412846419999999</v>
      </c>
      <c r="W38" s="212">
        <v>1.315662858</v>
      </c>
      <c r="X38" s="212">
        <v>3.300129466</v>
      </c>
      <c r="Y38" s="212">
        <v>1.821537</v>
      </c>
      <c r="Z38" s="212">
        <v>1.591329</v>
      </c>
      <c r="AA38" s="212">
        <v>1.2700870710000001</v>
      </c>
      <c r="AB38" s="212">
        <v>1.1048522999999999</v>
      </c>
      <c r="AC38" s="212">
        <v>1.108654094</v>
      </c>
      <c r="AD38" s="212">
        <v>1.2959931650000001</v>
      </c>
      <c r="AE38" s="212">
        <v>1.2939257609999999</v>
      </c>
      <c r="AF38" s="212">
        <v>1.234187269</v>
      </c>
      <c r="AG38" s="212">
        <v>9.1400186429999994</v>
      </c>
      <c r="AH38" s="212">
        <v>1.731508579</v>
      </c>
      <c r="AI38" s="212">
        <v>3.7096930000000001</v>
      </c>
      <c r="AJ38" s="212">
        <v>2.2867069999999998</v>
      </c>
      <c r="AK38" s="212">
        <v>190.35867762999999</v>
      </c>
      <c r="AL38" s="212">
        <v>1.0317890999999999</v>
      </c>
      <c r="AM38" s="212">
        <v>1.8253284000000001</v>
      </c>
      <c r="AN38" s="212">
        <v>8.4602030999999993</v>
      </c>
      <c r="AO38" s="212">
        <v>1.7264347</v>
      </c>
      <c r="AP38" s="212">
        <v>1.7206954999999999</v>
      </c>
      <c r="AQ38" s="212">
        <v>2.3991224</v>
      </c>
      <c r="AR38" s="212">
        <v>8.4287151999999992</v>
      </c>
      <c r="AS38" s="212">
        <v>352.8383647</v>
      </c>
      <c r="AT38" s="212">
        <v>1.1543147</v>
      </c>
      <c r="AU38" s="212">
        <v>2.966485</v>
      </c>
      <c r="AV38" s="212">
        <v>2.4683921</v>
      </c>
      <c r="AW38" s="212">
        <v>1.5055152000000001</v>
      </c>
      <c r="AX38" s="212">
        <v>1.1786576</v>
      </c>
      <c r="AY38" s="212">
        <v>2.4667549000000002</v>
      </c>
      <c r="AZ38" s="212" t="s">
        <v>830</v>
      </c>
      <c r="BA38" s="212">
        <v>1.848450342</v>
      </c>
      <c r="BB38" s="212">
        <v>2.3356203</v>
      </c>
      <c r="BC38" s="212">
        <v>2.943883</v>
      </c>
      <c r="BD38" s="212">
        <v>1.067728</v>
      </c>
      <c r="BE38" s="212">
        <v>1.0515140000000001</v>
      </c>
      <c r="BF38" s="212">
        <v>1.04097</v>
      </c>
      <c r="BG38" s="212">
        <v>1.06294</v>
      </c>
      <c r="BH38" s="212">
        <v>1.0470410000000001</v>
      </c>
      <c r="BI38" s="212">
        <v>1.194787</v>
      </c>
      <c r="BJ38" s="212">
        <v>1.0631330000000001</v>
      </c>
      <c r="BK38" s="212">
        <v>1.1509180000000001</v>
      </c>
      <c r="BL38" s="212">
        <v>1.1888829999999999</v>
      </c>
      <c r="BM38" s="212">
        <v>1.188024</v>
      </c>
      <c r="BN38" s="212">
        <v>1.034449</v>
      </c>
      <c r="BO38" s="212">
        <v>1.1088579999999999</v>
      </c>
      <c r="BP38" s="212">
        <v>2.588749</v>
      </c>
      <c r="BQ38" s="212">
        <v>1.347893</v>
      </c>
      <c r="BR38" s="212">
        <v>1.409343</v>
      </c>
      <c r="BS38" s="212">
        <v>1.2156229999999999</v>
      </c>
      <c r="BT38" s="212">
        <v>1.691557</v>
      </c>
      <c r="BU38" s="212">
        <v>1.6778649999999999</v>
      </c>
      <c r="BV38" s="212">
        <v>1.861483</v>
      </c>
      <c r="BW38" s="212">
        <v>1.7032320000000001</v>
      </c>
      <c r="BX38" s="212">
        <v>1.674892</v>
      </c>
      <c r="BY38" s="212">
        <v>1.665179</v>
      </c>
      <c r="BZ38" s="212">
        <v>1.918523</v>
      </c>
      <c r="CA38" s="212">
        <v>1.8556429999999999</v>
      </c>
      <c r="CB38" s="212">
        <v>1.8712299999999999</v>
      </c>
      <c r="CC38" s="212">
        <v>1.81271</v>
      </c>
      <c r="CD38" s="212">
        <v>1.8135540000000001</v>
      </c>
      <c r="CE38" s="212">
        <v>1.76406</v>
      </c>
      <c r="CF38" s="212">
        <v>1.0787180000000001</v>
      </c>
      <c r="CG38" s="212">
        <v>1.2430890000000001</v>
      </c>
      <c r="CH38" s="212">
        <v>1.2636510000000001</v>
      </c>
      <c r="CI38" s="212">
        <v>2.7986300000000002</v>
      </c>
      <c r="CJ38" s="212">
        <v>0.94117899999999999</v>
      </c>
      <c r="CK38" s="212">
        <v>1.020642</v>
      </c>
      <c r="CL38" s="212">
        <v>0.66534700000000002</v>
      </c>
      <c r="CM38" s="212">
        <v>2.9007130000000001</v>
      </c>
      <c r="CN38" s="212">
        <v>2.0811730000000002</v>
      </c>
      <c r="CO38" s="212">
        <v>1.006427</v>
      </c>
      <c r="CP38" s="212">
        <v>1.014899</v>
      </c>
      <c r="CQ38" s="212">
        <v>1.251341</v>
      </c>
      <c r="CR38" s="212">
        <v>13.629576</v>
      </c>
      <c r="CS38" s="212">
        <v>4.2483060000000004</v>
      </c>
      <c r="CT38" s="212">
        <v>1.914147</v>
      </c>
      <c r="CU38" s="212">
        <v>5.1407660000000002</v>
      </c>
      <c r="CV38" s="212">
        <v>9.1411789999999993</v>
      </c>
      <c r="CW38" s="212" t="s">
        <v>830</v>
      </c>
      <c r="CX38" s="212">
        <v>1.1950635829</v>
      </c>
      <c r="CY38" s="212">
        <v>1.9626150055</v>
      </c>
      <c r="CZ38" s="212">
        <v>1.1425617681</v>
      </c>
      <c r="DA38" s="212">
        <v>14.174812458</v>
      </c>
      <c r="DB38" s="212">
        <v>1.0768340000000001</v>
      </c>
      <c r="DC38" s="212">
        <v>1.056648</v>
      </c>
      <c r="DD38" s="212">
        <v>1.864179</v>
      </c>
      <c r="DE38" s="212">
        <v>1.789339</v>
      </c>
      <c r="DF38" s="212">
        <v>1.7394590000000001</v>
      </c>
      <c r="DG38" s="212">
        <v>1.00563369</v>
      </c>
      <c r="DH38" s="212">
        <v>122.86315908</v>
      </c>
      <c r="DI38" s="212">
        <v>0.25254715</v>
      </c>
      <c r="DJ38" s="212">
        <v>2.0347591999999999</v>
      </c>
      <c r="DK38" s="212">
        <v>1.9046704800000001</v>
      </c>
      <c r="DL38" s="212">
        <v>149421.48105</v>
      </c>
      <c r="DM38" s="212">
        <v>309.41277860000002</v>
      </c>
      <c r="DN38" s="212">
        <v>17.562584300000001</v>
      </c>
      <c r="DO38" s="212" t="s">
        <v>830</v>
      </c>
      <c r="DP38" s="212">
        <v>18103354.658</v>
      </c>
      <c r="DQ38" s="212">
        <v>1.5237588</v>
      </c>
      <c r="DR38" s="212">
        <v>14.4716731</v>
      </c>
      <c r="DS38" s="212">
        <v>21.187514499999999</v>
      </c>
      <c r="DT38" s="212">
        <v>1.7736962999999999</v>
      </c>
      <c r="DU38" s="212">
        <v>1.0831109000000001</v>
      </c>
      <c r="DV38" s="212">
        <v>1654.2538486000001</v>
      </c>
      <c r="DW38" s="212">
        <v>23077.701090999999</v>
      </c>
      <c r="DX38" s="212">
        <v>0.79713556500000005</v>
      </c>
      <c r="DY38" s="212">
        <v>10.208824999999999</v>
      </c>
      <c r="DZ38" s="212">
        <v>221.53970100000001</v>
      </c>
      <c r="EA38" s="212">
        <v>17.525642000000001</v>
      </c>
      <c r="EB38" s="212">
        <v>20.354966999999998</v>
      </c>
      <c r="EC38" s="212">
        <v>18.861091999999999</v>
      </c>
      <c r="ED38" s="212">
        <v>2204.3183479999998</v>
      </c>
      <c r="EE38" s="212">
        <v>22.577202</v>
      </c>
      <c r="EF38" s="212">
        <v>33.809156999999999</v>
      </c>
      <c r="EG38" s="212">
        <v>1.4455845</v>
      </c>
      <c r="EH38" s="212">
        <v>0.64113980000000004</v>
      </c>
      <c r="EI38" s="212">
        <v>1.1438387999999999</v>
      </c>
      <c r="EJ38" s="212">
        <v>1.93711539</v>
      </c>
      <c r="EK38" s="212">
        <v>1.6046545000000001</v>
      </c>
      <c r="EL38" s="212">
        <v>2.6940865999999999</v>
      </c>
      <c r="EM38">
        <v>1.27900551</v>
      </c>
      <c r="EN38">
        <v>2.26086315</v>
      </c>
      <c r="EO38">
        <v>1.3745366000000001</v>
      </c>
      <c r="EP38">
        <v>255.86038099999999</v>
      </c>
      <c r="EQ38">
        <v>181.05150499999999</v>
      </c>
      <c r="ER38">
        <v>15.7807263</v>
      </c>
      <c r="ES38">
        <v>13.8824582</v>
      </c>
      <c r="ET38">
        <v>8.7053522000000001</v>
      </c>
      <c r="EU38">
        <v>185.37067450000001</v>
      </c>
      <c r="EV38">
        <v>116.6016734</v>
      </c>
      <c r="EW38">
        <v>17.4198515</v>
      </c>
      <c r="EX38">
        <v>100.88994099999999</v>
      </c>
      <c r="EY38">
        <v>2.4818207000000001</v>
      </c>
      <c r="EZ38">
        <v>2273.5496352</v>
      </c>
      <c r="FA38" s="223">
        <v>8.2930720000000004</v>
      </c>
      <c r="FB38" s="223">
        <v>1.0202439000000001</v>
      </c>
      <c r="FC38" s="223">
        <v>1.9116185000000001</v>
      </c>
      <c r="FD38">
        <v>2.7935568000000002</v>
      </c>
      <c r="FE38">
        <v>1.2180825</v>
      </c>
      <c r="FF38">
        <v>1.5976606</v>
      </c>
      <c r="FG38">
        <v>0.80265041999999998</v>
      </c>
      <c r="FH38">
        <v>1.1207329699999999</v>
      </c>
      <c r="FI38">
        <v>0.83803349999999999</v>
      </c>
      <c r="FJ38">
        <v>104.91284639</v>
      </c>
    </row>
    <row r="39" spans="1:166" x14ac:dyDescent="0.3">
      <c r="A39" s="223">
        <v>38</v>
      </c>
      <c r="B39" s="315">
        <v>42366</v>
      </c>
      <c r="C39" s="212">
        <v>1016066.7705</v>
      </c>
      <c r="D39" s="212">
        <v>104.19973715</v>
      </c>
      <c r="E39" s="212">
        <v>1.3401012000000001</v>
      </c>
      <c r="F39" s="212">
        <v>7.0355680999999999</v>
      </c>
      <c r="G39" s="212">
        <v>4.4168646790999997</v>
      </c>
      <c r="H39" s="212">
        <v>3.9028263779999999</v>
      </c>
      <c r="I39" s="212">
        <v>1.020691671</v>
      </c>
      <c r="J39" s="212">
        <v>4.3031389999999998</v>
      </c>
      <c r="K39" s="212">
        <v>3.0580150000000001</v>
      </c>
      <c r="L39" s="212">
        <v>10.472010201</v>
      </c>
      <c r="M39" s="212">
        <v>0.93247177699999995</v>
      </c>
      <c r="N39" s="212">
        <v>1.2371345170000001</v>
      </c>
      <c r="O39" s="212">
        <v>1.9381871129999999</v>
      </c>
      <c r="P39" s="212">
        <v>1.270628198</v>
      </c>
      <c r="Q39" s="212">
        <v>1.5283389999999999</v>
      </c>
      <c r="R39" s="212">
        <v>1.704061246</v>
      </c>
      <c r="S39" s="212">
        <v>11.912236</v>
      </c>
      <c r="T39" s="212">
        <v>2.8169598520000001</v>
      </c>
      <c r="U39" s="212">
        <v>3.1761100760000001</v>
      </c>
      <c r="V39" s="212">
        <v>1.546314682</v>
      </c>
      <c r="W39" s="212">
        <v>1.3170706830000001</v>
      </c>
      <c r="X39" s="212">
        <v>3.3020984929999999</v>
      </c>
      <c r="Y39" s="212">
        <v>1.8227530000000001</v>
      </c>
      <c r="Z39" s="212">
        <v>1.592174</v>
      </c>
      <c r="AA39" s="212">
        <v>1.2724004659999999</v>
      </c>
      <c r="AB39" s="212">
        <v>1.1056570100000001</v>
      </c>
      <c r="AC39" s="212">
        <v>1.109733834</v>
      </c>
      <c r="AD39" s="212">
        <v>1.296922991</v>
      </c>
      <c r="AE39" s="212">
        <v>1.2948550919999999</v>
      </c>
      <c r="AF39" s="212">
        <v>1.236350192</v>
      </c>
      <c r="AG39" s="212">
        <v>9.144713329</v>
      </c>
      <c r="AH39" s="212">
        <v>1.73225177</v>
      </c>
      <c r="AI39" s="212">
        <v>3.7116470000000001</v>
      </c>
      <c r="AJ39" s="212">
        <v>2.2916759999999998</v>
      </c>
      <c r="AK39" s="212">
        <v>190.56400776999999</v>
      </c>
      <c r="AL39" s="212">
        <v>1.0330017</v>
      </c>
      <c r="AM39" s="212">
        <v>1.8296664</v>
      </c>
      <c r="AN39" s="212">
        <v>8.4646752999999997</v>
      </c>
      <c r="AO39" s="212">
        <v>1.7273316999999999</v>
      </c>
      <c r="AP39" s="212">
        <v>1.7215881</v>
      </c>
      <c r="AQ39" s="212">
        <v>2.4003472000000001</v>
      </c>
      <c r="AR39" s="212">
        <v>8.4330876999999997</v>
      </c>
      <c r="AS39" s="212">
        <v>350.83118930000001</v>
      </c>
      <c r="AT39" s="212">
        <v>1.1564498999999999</v>
      </c>
      <c r="AU39" s="212">
        <v>2.9679346999999998</v>
      </c>
      <c r="AV39" s="212">
        <v>2.4739908000000002</v>
      </c>
      <c r="AW39" s="212">
        <v>1.5103408</v>
      </c>
      <c r="AX39" s="212">
        <v>1.1798333999999999</v>
      </c>
      <c r="AY39" s="212">
        <v>2.4694384999999999</v>
      </c>
      <c r="AZ39" s="212" t="s">
        <v>830</v>
      </c>
      <c r="BA39" s="212">
        <v>1.849400503</v>
      </c>
      <c r="BB39" s="212">
        <v>2.3405071999999998</v>
      </c>
      <c r="BC39" s="212">
        <v>2.9455680000000002</v>
      </c>
      <c r="BD39" s="212">
        <v>1.068478</v>
      </c>
      <c r="BE39" s="212">
        <v>1.0522530000000001</v>
      </c>
      <c r="BF39" s="212">
        <v>1.0417019999999999</v>
      </c>
      <c r="BG39" s="212">
        <v>1.063687</v>
      </c>
      <c r="BH39" s="212">
        <v>1.047776</v>
      </c>
      <c r="BI39" s="212">
        <v>1.195646</v>
      </c>
      <c r="BJ39" s="212">
        <v>1.064076</v>
      </c>
      <c r="BK39" s="212">
        <v>1.152547</v>
      </c>
      <c r="BL39" s="212">
        <v>1.189735</v>
      </c>
      <c r="BM39" s="212">
        <v>1.1888799999999999</v>
      </c>
      <c r="BN39" s="212">
        <v>1.0362990000000001</v>
      </c>
      <c r="BO39" s="212">
        <v>1.11239</v>
      </c>
      <c r="BP39" s="212">
        <v>2.5901019999999999</v>
      </c>
      <c r="BQ39" s="212">
        <v>1.3485549999999999</v>
      </c>
      <c r="BR39" s="212">
        <v>1.41062</v>
      </c>
      <c r="BS39" s="212">
        <v>1.2193719999999999</v>
      </c>
      <c r="BT39" s="212">
        <v>1.6934610000000001</v>
      </c>
      <c r="BU39" s="212">
        <v>1.679117</v>
      </c>
      <c r="BV39" s="212">
        <v>1.862779</v>
      </c>
      <c r="BW39" s="212">
        <v>1.7044170000000001</v>
      </c>
      <c r="BX39" s="212">
        <v>1.67611</v>
      </c>
      <c r="BY39" s="212">
        <v>1.666463</v>
      </c>
      <c r="BZ39" s="212">
        <v>1.919969</v>
      </c>
      <c r="CA39" s="212">
        <v>1.856938</v>
      </c>
      <c r="CB39" s="212">
        <v>1.8725099999999999</v>
      </c>
      <c r="CC39" s="212">
        <v>1.813896</v>
      </c>
      <c r="CD39" s="212">
        <v>1.8147390000000001</v>
      </c>
      <c r="CE39" s="212">
        <v>1.765255</v>
      </c>
      <c r="CF39" s="212">
        <v>1.0795760000000001</v>
      </c>
      <c r="CG39" s="212">
        <v>1.243824</v>
      </c>
      <c r="CH39" s="212">
        <v>1.2644439999999999</v>
      </c>
      <c r="CI39" s="212">
        <v>2.800246</v>
      </c>
      <c r="CJ39" s="212">
        <v>0.93861099999999997</v>
      </c>
      <c r="CK39" s="212">
        <v>1.017781</v>
      </c>
      <c r="CL39" s="212">
        <v>0.66085799999999995</v>
      </c>
      <c r="CM39" s="212">
        <v>2.886145</v>
      </c>
      <c r="CN39" s="212">
        <v>2.0383420000000001</v>
      </c>
      <c r="CO39" s="212">
        <v>1.0044109999999999</v>
      </c>
      <c r="CP39" s="212">
        <v>1.015191</v>
      </c>
      <c r="CQ39" s="212">
        <v>1.2519899999999999</v>
      </c>
      <c r="CR39" s="212">
        <v>13.635903000000001</v>
      </c>
      <c r="CS39" s="212">
        <v>4.2503060000000001</v>
      </c>
      <c r="CT39" s="212">
        <v>1.9185449999999999</v>
      </c>
      <c r="CU39" s="212">
        <v>5.1424440000000002</v>
      </c>
      <c r="CV39" s="212">
        <v>9.1454219999999999</v>
      </c>
      <c r="CW39" s="212" t="s">
        <v>830</v>
      </c>
      <c r="CX39" s="212">
        <v>1.1956888631</v>
      </c>
      <c r="CY39" s="212">
        <v>1.9640336957</v>
      </c>
      <c r="CZ39" s="212">
        <v>1.1432989602000001</v>
      </c>
      <c r="DA39" s="212">
        <v>14.182003323</v>
      </c>
      <c r="DB39" s="212">
        <v>1.077591</v>
      </c>
      <c r="DC39" s="212">
        <v>1.057585</v>
      </c>
      <c r="DD39" s="212">
        <v>1.8659319999999999</v>
      </c>
      <c r="DE39" s="212">
        <v>1.793447</v>
      </c>
      <c r="DF39" s="212">
        <v>1.740632</v>
      </c>
      <c r="DG39" s="212">
        <v>1.00623661</v>
      </c>
      <c r="DH39" s="212">
        <v>122.93615277000001</v>
      </c>
      <c r="DI39" s="212">
        <v>0.25253643999999997</v>
      </c>
      <c r="DJ39" s="212">
        <v>2.0356907999999998</v>
      </c>
      <c r="DK39" s="212">
        <v>1.9010691399999999</v>
      </c>
      <c r="DL39" s="212">
        <v>149519.53143</v>
      </c>
      <c r="DM39" s="212">
        <v>309.5761311</v>
      </c>
      <c r="DN39" s="212">
        <v>17.573274999999999</v>
      </c>
      <c r="DO39" s="212" t="s">
        <v>830</v>
      </c>
      <c r="DP39" s="212">
        <v>18102168.886</v>
      </c>
      <c r="DQ39" s="212">
        <v>1.5231332</v>
      </c>
      <c r="DR39" s="212">
        <v>14.478806799999999</v>
      </c>
      <c r="DS39" s="212">
        <v>21.198748899999998</v>
      </c>
      <c r="DT39" s="212">
        <v>1.7789972999999999</v>
      </c>
      <c r="DU39" s="212">
        <v>1.0796901000000001</v>
      </c>
      <c r="DV39" s="212">
        <v>1654.9957322</v>
      </c>
      <c r="DW39" s="212">
        <v>23074.790411000002</v>
      </c>
      <c r="DX39" s="212">
        <v>0.81158219600000003</v>
      </c>
      <c r="DY39" s="212">
        <v>10.165835</v>
      </c>
      <c r="DZ39" s="212">
        <v>221.654822</v>
      </c>
      <c r="EA39" s="212">
        <v>17.535727999999999</v>
      </c>
      <c r="EB39" s="212">
        <v>20.375268999999999</v>
      </c>
      <c r="EC39" s="212">
        <v>18.905297999999998</v>
      </c>
      <c r="ED39" s="212">
        <v>2205.4819969999999</v>
      </c>
      <c r="EE39" s="212">
        <v>22.589202</v>
      </c>
      <c r="EF39" s="212">
        <v>33.826709000000001</v>
      </c>
      <c r="EG39" s="212">
        <v>1.4391239</v>
      </c>
      <c r="EH39" s="212">
        <v>0.64134709999999995</v>
      </c>
      <c r="EI39" s="212">
        <v>1.1455818</v>
      </c>
      <c r="EJ39" s="212">
        <v>1.9382960499999999</v>
      </c>
      <c r="EK39" s="212">
        <v>1.6050217</v>
      </c>
      <c r="EL39" s="212">
        <v>2.6947036999999998</v>
      </c>
      <c r="EM39">
        <v>1.2791430699999999</v>
      </c>
      <c r="EN39">
        <v>2.2625637099999998</v>
      </c>
      <c r="EO39">
        <v>1.3745487000000001</v>
      </c>
      <c r="EP39">
        <v>255.69150400000001</v>
      </c>
      <c r="EQ39">
        <v>181.40292199999999</v>
      </c>
      <c r="ER39">
        <v>15.796548599999999</v>
      </c>
      <c r="ES39">
        <v>13.9150844</v>
      </c>
      <c r="ET39">
        <v>8.7099477000000007</v>
      </c>
      <c r="EU39">
        <v>185.80476709999999</v>
      </c>
      <c r="EV39">
        <v>116.87910960000001</v>
      </c>
      <c r="EW39">
        <v>17.431396899999999</v>
      </c>
      <c r="EX39">
        <v>100.9400225</v>
      </c>
      <c r="EY39">
        <v>2.4066618000000002</v>
      </c>
      <c r="EZ39">
        <v>2274.7146830000002</v>
      </c>
      <c r="FA39" s="223">
        <v>8.2966379999999997</v>
      </c>
      <c r="FB39" s="223">
        <v>1.0190315999999999</v>
      </c>
      <c r="FC39" s="223">
        <v>1.9159465</v>
      </c>
      <c r="FD39">
        <v>2.7949735000000002</v>
      </c>
      <c r="FE39">
        <v>1.2188289000000001</v>
      </c>
      <c r="FF39">
        <v>1.5986289</v>
      </c>
      <c r="FG39">
        <v>0.79959517999999996</v>
      </c>
      <c r="FH39">
        <v>1.1128624300000001</v>
      </c>
      <c r="FI39">
        <v>0.83796844999999998</v>
      </c>
      <c r="FJ39">
        <v>104.98651006999999</v>
      </c>
    </row>
    <row r="40" spans="1:166" x14ac:dyDescent="0.3">
      <c r="A40" s="223">
        <v>39</v>
      </c>
      <c r="B40" s="315">
        <v>42367</v>
      </c>
      <c r="C40" s="212">
        <v>1016039.3333000001</v>
      </c>
      <c r="D40" s="212">
        <v>104.19215309000001</v>
      </c>
      <c r="E40" s="212">
        <v>1.3418600999999999</v>
      </c>
      <c r="F40" s="212">
        <v>7.0405720000000001</v>
      </c>
      <c r="G40" s="212">
        <v>4.4271126991000003</v>
      </c>
      <c r="H40" s="212">
        <v>3.8776343830000002</v>
      </c>
      <c r="I40" s="212">
        <v>1.0186593429999999</v>
      </c>
      <c r="J40" s="212">
        <v>4.3053410000000003</v>
      </c>
      <c r="K40" s="212">
        <v>3.0591200000000001</v>
      </c>
      <c r="L40" s="212">
        <v>10.476747229000001</v>
      </c>
      <c r="M40" s="212">
        <v>0.92863148699999998</v>
      </c>
      <c r="N40" s="212">
        <v>1.2310345819999999</v>
      </c>
      <c r="O40" s="212">
        <v>1.9403323530000001</v>
      </c>
      <c r="P40" s="212">
        <v>1.273633521</v>
      </c>
      <c r="Q40" s="212">
        <v>1.529088</v>
      </c>
      <c r="R40" s="212">
        <v>1.706351414</v>
      </c>
      <c r="S40" s="212">
        <v>11.928796</v>
      </c>
      <c r="T40" s="212">
        <v>2.8214457880000001</v>
      </c>
      <c r="U40" s="212">
        <v>3.1807959370000001</v>
      </c>
      <c r="V40" s="212">
        <v>1.548776449</v>
      </c>
      <c r="W40" s="212">
        <v>1.3178600970000001</v>
      </c>
      <c r="X40" s="212">
        <v>3.3022213460000001</v>
      </c>
      <c r="Y40" s="212">
        <v>1.823542</v>
      </c>
      <c r="Z40" s="212">
        <v>1.5930420000000001</v>
      </c>
      <c r="AA40" s="212">
        <v>1.2744779260000001</v>
      </c>
      <c r="AB40" s="212">
        <v>1.106545372</v>
      </c>
      <c r="AC40" s="212">
        <v>1.111276591</v>
      </c>
      <c r="AD40" s="212">
        <v>1.297853479</v>
      </c>
      <c r="AE40" s="212">
        <v>1.2957851330000001</v>
      </c>
      <c r="AF40" s="212">
        <v>1.2392776210000001</v>
      </c>
      <c r="AG40" s="212">
        <v>9.1493981729999998</v>
      </c>
      <c r="AH40" s="212">
        <v>1.733194071</v>
      </c>
      <c r="AI40" s="212">
        <v>3.7137020000000001</v>
      </c>
      <c r="AJ40" s="212">
        <v>2.295642</v>
      </c>
      <c r="AK40" s="212">
        <v>190.69171635999999</v>
      </c>
      <c r="AL40" s="212">
        <v>1.0349591</v>
      </c>
      <c r="AM40" s="212">
        <v>1.8323904</v>
      </c>
      <c r="AN40" s="212">
        <v>8.4691471000000007</v>
      </c>
      <c r="AO40" s="212">
        <v>1.7284946999999999</v>
      </c>
      <c r="AP40" s="212">
        <v>1.7227455</v>
      </c>
      <c r="AQ40" s="212">
        <v>2.4015974999999998</v>
      </c>
      <c r="AR40" s="212">
        <v>8.4374587999999999</v>
      </c>
      <c r="AS40" s="212">
        <v>349.94988519999998</v>
      </c>
      <c r="AT40" s="212">
        <v>1.1511834999999999</v>
      </c>
      <c r="AU40" s="212">
        <v>2.9693838000000001</v>
      </c>
      <c r="AV40" s="212">
        <v>2.4776484000000001</v>
      </c>
      <c r="AW40" s="212">
        <v>1.5127735</v>
      </c>
      <c r="AX40" s="212">
        <v>1.1814853000000001</v>
      </c>
      <c r="AY40" s="212">
        <v>2.4708380000000001</v>
      </c>
      <c r="AZ40" s="212" t="s">
        <v>830</v>
      </c>
      <c r="BA40" s="212">
        <v>1.8503508390000001</v>
      </c>
      <c r="BB40" s="212">
        <v>2.3442194999999999</v>
      </c>
      <c r="BC40" s="212">
        <v>2.9469799999999999</v>
      </c>
      <c r="BD40" s="212">
        <v>1.069164</v>
      </c>
      <c r="BE40" s="212">
        <v>1.0529280000000001</v>
      </c>
      <c r="BF40" s="212">
        <v>1.0423709999999999</v>
      </c>
      <c r="BG40" s="212">
        <v>1.06437</v>
      </c>
      <c r="BH40" s="212">
        <v>1.048448</v>
      </c>
      <c r="BI40" s="212">
        <v>1.1965049999999999</v>
      </c>
      <c r="BJ40" s="212">
        <v>1.065987</v>
      </c>
      <c r="BK40" s="212">
        <v>1.1551610000000001</v>
      </c>
      <c r="BL40" s="212">
        <v>1.1905870000000001</v>
      </c>
      <c r="BM40" s="212">
        <v>1.1897359999999999</v>
      </c>
      <c r="BN40" s="212">
        <v>1.037803</v>
      </c>
      <c r="BO40" s="212">
        <v>1.114241</v>
      </c>
      <c r="BP40" s="212">
        <v>2.5915140000000001</v>
      </c>
      <c r="BQ40" s="212">
        <v>1.349218</v>
      </c>
      <c r="BR40" s="212">
        <v>1.4125239999999999</v>
      </c>
      <c r="BS40" s="212">
        <v>1.2209669999999999</v>
      </c>
      <c r="BT40" s="212">
        <v>1.6944999999999999</v>
      </c>
      <c r="BU40" s="212">
        <v>1.681729</v>
      </c>
      <c r="BV40" s="212">
        <v>1.8640760000000001</v>
      </c>
      <c r="BW40" s="212">
        <v>1.7056530000000001</v>
      </c>
      <c r="BX40" s="212">
        <v>1.6782699999999999</v>
      </c>
      <c r="BY40" s="212">
        <v>1.6688289999999999</v>
      </c>
      <c r="BZ40" s="212">
        <v>1.921583</v>
      </c>
      <c r="CA40" s="212">
        <v>1.858233</v>
      </c>
      <c r="CB40" s="212">
        <v>1.873791</v>
      </c>
      <c r="CC40" s="212">
        <v>1.815196</v>
      </c>
      <c r="CD40" s="212">
        <v>1.816038</v>
      </c>
      <c r="CE40" s="212">
        <v>1.766532</v>
      </c>
      <c r="CF40" s="212">
        <v>1.0844370000000001</v>
      </c>
      <c r="CG40" s="212">
        <v>1.243514</v>
      </c>
      <c r="CH40" s="212">
        <v>1.2644660000000001</v>
      </c>
      <c r="CI40" s="212">
        <v>2.8015750000000001</v>
      </c>
      <c r="CJ40" s="212">
        <v>0.91492899999999999</v>
      </c>
      <c r="CK40" s="212">
        <v>0.99280500000000005</v>
      </c>
      <c r="CL40" s="212">
        <v>0.65883700000000001</v>
      </c>
      <c r="CM40" s="212">
        <v>2.8614739999999999</v>
      </c>
      <c r="CN40" s="212">
        <v>2.0613090000000001</v>
      </c>
      <c r="CO40" s="212">
        <v>1.0070440000000001</v>
      </c>
      <c r="CP40" s="212">
        <v>1.0162720000000001</v>
      </c>
      <c r="CQ40" s="212">
        <v>1.25264</v>
      </c>
      <c r="CR40" s="212">
        <v>13.642236</v>
      </c>
      <c r="CS40" s="212">
        <v>4.2545820000000001</v>
      </c>
      <c r="CT40" s="212">
        <v>1.9223840000000001</v>
      </c>
      <c r="CU40" s="212">
        <v>5.1441229999999996</v>
      </c>
      <c r="CV40" s="212">
        <v>9.1496700000000004</v>
      </c>
      <c r="CW40" s="212" t="s">
        <v>830</v>
      </c>
      <c r="CX40" s="212">
        <v>1.1964242802</v>
      </c>
      <c r="CY40" s="212">
        <v>1.9686060541999999</v>
      </c>
      <c r="CZ40" s="212">
        <v>1.1437805798</v>
      </c>
      <c r="DA40" s="212">
        <v>14.191260694</v>
      </c>
      <c r="DB40" s="212">
        <v>1.0782830000000001</v>
      </c>
      <c r="DC40" s="212">
        <v>1.0594859999999999</v>
      </c>
      <c r="DD40" s="212">
        <v>1.868617</v>
      </c>
      <c r="DE40" s="212">
        <v>1.7961210000000001</v>
      </c>
      <c r="DF40" s="212">
        <v>1.7413829999999999</v>
      </c>
      <c r="DG40" s="212">
        <v>1.0067626000000001</v>
      </c>
      <c r="DH40" s="212">
        <v>123.00939332999999</v>
      </c>
      <c r="DI40" s="212">
        <v>0.25257784</v>
      </c>
      <c r="DJ40" s="212">
        <v>2.0366306000000001</v>
      </c>
      <c r="DK40" s="212">
        <v>1.9006100800000001</v>
      </c>
      <c r="DL40" s="212">
        <v>149617.64623000001</v>
      </c>
      <c r="DM40" s="212">
        <v>309.99912890000002</v>
      </c>
      <c r="DN40" s="212">
        <v>17.582942200000002</v>
      </c>
      <c r="DO40" s="212" t="s">
        <v>830</v>
      </c>
      <c r="DP40" s="212">
        <v>18100983.373</v>
      </c>
      <c r="DQ40" s="212">
        <v>1.5114505</v>
      </c>
      <c r="DR40" s="212">
        <v>14.485994099999999</v>
      </c>
      <c r="DS40" s="212">
        <v>21.209911399999999</v>
      </c>
      <c r="DT40" s="212">
        <v>1.7801068</v>
      </c>
      <c r="DU40" s="212">
        <v>1.0773031</v>
      </c>
      <c r="DV40" s="212">
        <v>1655.9846227</v>
      </c>
      <c r="DW40" s="212">
        <v>23072.148039</v>
      </c>
      <c r="DX40" s="212">
        <v>0.80646556199999997</v>
      </c>
      <c r="DY40" s="212">
        <v>10.134518</v>
      </c>
      <c r="DZ40" s="212">
        <v>221.768642</v>
      </c>
      <c r="EA40" s="212">
        <v>17.536118999999999</v>
      </c>
      <c r="EB40" s="212">
        <v>20.403569999999998</v>
      </c>
      <c r="EC40" s="212">
        <v>18.934125999999999</v>
      </c>
      <c r="ED40" s="212">
        <v>2206.6404309999998</v>
      </c>
      <c r="EE40" s="212">
        <v>22.603933000000001</v>
      </c>
      <c r="EF40" s="212">
        <v>33.844259000000001</v>
      </c>
      <c r="EG40" s="212">
        <v>1.4555032000000001</v>
      </c>
      <c r="EH40" s="212">
        <v>0.64155450000000003</v>
      </c>
      <c r="EI40" s="212">
        <v>1.1462943999999999</v>
      </c>
      <c r="EJ40" s="212">
        <v>1.9404522799999999</v>
      </c>
      <c r="EK40" s="212">
        <v>1.6049781000000001</v>
      </c>
      <c r="EL40" s="212">
        <v>2.6946314999999998</v>
      </c>
      <c r="EM40">
        <v>1.27925311</v>
      </c>
      <c r="EN40">
        <v>2.2642642899999998</v>
      </c>
      <c r="EO40">
        <v>1.3751831000000001</v>
      </c>
      <c r="EP40">
        <v>255.99168</v>
      </c>
      <c r="EQ40">
        <v>181.66418100000001</v>
      </c>
      <c r="ER40">
        <v>15.8185232</v>
      </c>
      <c r="ES40">
        <v>13.9364531</v>
      </c>
      <c r="ET40">
        <v>8.7144998000000005</v>
      </c>
      <c r="EU40">
        <v>186.0884867</v>
      </c>
      <c r="EV40">
        <v>115.9845716</v>
      </c>
      <c r="EW40">
        <v>17.438824400000001</v>
      </c>
      <c r="EX40">
        <v>100.9895992</v>
      </c>
      <c r="EY40">
        <v>2.3957316</v>
      </c>
      <c r="EZ40">
        <v>2275.8666472</v>
      </c>
      <c r="FA40" s="223">
        <v>8.3001850000000008</v>
      </c>
      <c r="FB40" s="223">
        <v>1.0193897999999999</v>
      </c>
      <c r="FC40" s="223">
        <v>1.9187320000000001</v>
      </c>
      <c r="FD40">
        <v>2.7963928999999998</v>
      </c>
      <c r="FE40">
        <v>1.2193783</v>
      </c>
      <c r="FF40">
        <v>1.5984995</v>
      </c>
      <c r="FG40">
        <v>0.79921763000000001</v>
      </c>
      <c r="FH40">
        <v>1.11298476</v>
      </c>
      <c r="FI40">
        <v>0.83790337000000004</v>
      </c>
      <c r="FJ40">
        <v>105.17213382</v>
      </c>
    </row>
    <row r="41" spans="1:166" x14ac:dyDescent="0.3">
      <c r="A41" s="223">
        <v>40</v>
      </c>
      <c r="B41" s="315">
        <v>42368</v>
      </c>
      <c r="C41" s="212">
        <v>1015969.0452000001</v>
      </c>
      <c r="D41" s="212">
        <v>104.25270161</v>
      </c>
      <c r="E41" s="212">
        <v>1.3422291</v>
      </c>
      <c r="F41" s="212">
        <v>7.0175953</v>
      </c>
      <c r="G41" s="212">
        <v>4.4347422953000004</v>
      </c>
      <c r="H41" s="212">
        <v>3.8198234709999999</v>
      </c>
      <c r="I41" s="212">
        <v>1.010392669</v>
      </c>
      <c r="J41" s="212">
        <v>4.3053410000000003</v>
      </c>
      <c r="K41" s="212">
        <v>3.0602450000000001</v>
      </c>
      <c r="L41" s="212">
        <v>10.481371402000001</v>
      </c>
      <c r="M41" s="212">
        <v>0.92862723800000002</v>
      </c>
      <c r="N41" s="212">
        <v>1.2224647239999999</v>
      </c>
      <c r="O41" s="212">
        <v>1.94082409</v>
      </c>
      <c r="P41" s="212">
        <v>1.273665276</v>
      </c>
      <c r="Q41" s="212">
        <v>1.5298449999999999</v>
      </c>
      <c r="R41" s="212">
        <v>1.706884616</v>
      </c>
      <c r="S41" s="212">
        <v>11.931891</v>
      </c>
      <c r="T41" s="212">
        <v>2.8194958460000001</v>
      </c>
      <c r="U41" s="212">
        <v>3.1784571239999999</v>
      </c>
      <c r="V41" s="212">
        <v>1.546599979</v>
      </c>
      <c r="W41" s="212">
        <v>1.3175500360000001</v>
      </c>
      <c r="X41" s="212">
        <v>3.3011996319999999</v>
      </c>
      <c r="Y41" s="212">
        <v>1.8244009999999999</v>
      </c>
      <c r="Z41" s="212">
        <v>1.5938889999999999</v>
      </c>
      <c r="AA41" s="212">
        <v>1.274582662</v>
      </c>
      <c r="AB41" s="212">
        <v>1.1071280670000001</v>
      </c>
      <c r="AC41" s="212">
        <v>1.1115074119999999</v>
      </c>
      <c r="AD41" s="212">
        <v>1.298784647</v>
      </c>
      <c r="AE41" s="212">
        <v>1.2967158160000001</v>
      </c>
      <c r="AF41" s="212">
        <v>1.2387081849999999</v>
      </c>
      <c r="AG41" s="212">
        <v>9.1541021249999996</v>
      </c>
      <c r="AH41" s="212">
        <v>1.734303393</v>
      </c>
      <c r="AI41" s="212">
        <v>3.7156500000000001</v>
      </c>
      <c r="AJ41" s="212">
        <v>2.2941470000000002</v>
      </c>
      <c r="AK41" s="212">
        <v>190.76333435000001</v>
      </c>
      <c r="AL41" s="212">
        <v>1.0351515</v>
      </c>
      <c r="AM41" s="212">
        <v>1.8310435</v>
      </c>
      <c r="AN41" s="212">
        <v>8.4736556000000007</v>
      </c>
      <c r="AO41" s="212">
        <v>1.7292594999999999</v>
      </c>
      <c r="AP41" s="212">
        <v>1.7235031000000001</v>
      </c>
      <c r="AQ41" s="212">
        <v>2.4028366000000001</v>
      </c>
      <c r="AR41" s="212">
        <v>8.4418351000000005</v>
      </c>
      <c r="AS41" s="212">
        <v>347.50048429999998</v>
      </c>
      <c r="AT41" s="212">
        <v>1.1478854999999999</v>
      </c>
      <c r="AU41" s="212">
        <v>2.9708347000000002</v>
      </c>
      <c r="AV41" s="212">
        <v>2.4759034999999998</v>
      </c>
      <c r="AW41" s="212">
        <v>1.5106803</v>
      </c>
      <c r="AX41" s="212">
        <v>1.1817994999999999</v>
      </c>
      <c r="AY41" s="212">
        <v>2.4700730000000002</v>
      </c>
      <c r="AZ41" s="212" t="s">
        <v>830</v>
      </c>
      <c r="BA41" s="212">
        <v>1.851300806</v>
      </c>
      <c r="BB41" s="212">
        <v>2.3428040999999999</v>
      </c>
      <c r="BC41" s="212">
        <v>2.9484469999999998</v>
      </c>
      <c r="BD41" s="212">
        <v>1.0697989999999999</v>
      </c>
      <c r="BE41" s="212">
        <v>1.0535540000000001</v>
      </c>
      <c r="BF41" s="212">
        <v>1.0429900000000001</v>
      </c>
      <c r="BG41" s="212">
        <v>1.065002</v>
      </c>
      <c r="BH41" s="212">
        <v>1.0490699999999999</v>
      </c>
      <c r="BI41" s="212">
        <v>1.197365</v>
      </c>
      <c r="BJ41" s="212">
        <v>1.0661069999999999</v>
      </c>
      <c r="BK41" s="212">
        <v>1.1547810000000001</v>
      </c>
      <c r="BL41" s="212">
        <v>1.1914400000000001</v>
      </c>
      <c r="BM41" s="212">
        <v>1.1905920000000001</v>
      </c>
      <c r="BN41" s="212">
        <v>1.0376540000000001</v>
      </c>
      <c r="BO41" s="212">
        <v>1.113518</v>
      </c>
      <c r="BP41" s="212">
        <v>2.5928779999999998</v>
      </c>
      <c r="BQ41" s="212">
        <v>1.3498810000000001</v>
      </c>
      <c r="BR41" s="212">
        <v>1.4129350000000001</v>
      </c>
      <c r="BS41" s="212">
        <v>1.219365</v>
      </c>
      <c r="BT41" s="212">
        <v>1.6941710000000001</v>
      </c>
      <c r="BU41" s="212">
        <v>1.6829780000000001</v>
      </c>
      <c r="BV41" s="212">
        <v>1.8653740000000001</v>
      </c>
      <c r="BW41" s="212">
        <v>1.7068399999999999</v>
      </c>
      <c r="BX41" s="212">
        <v>1.679486</v>
      </c>
      <c r="BY41" s="212">
        <v>1.6700189999999999</v>
      </c>
      <c r="BZ41" s="212">
        <v>1.9230290000000001</v>
      </c>
      <c r="CA41" s="212">
        <v>1.8595299999999999</v>
      </c>
      <c r="CB41" s="212">
        <v>1.875076</v>
      </c>
      <c r="CC41" s="212">
        <v>1.8164960000000001</v>
      </c>
      <c r="CD41" s="212">
        <v>1.8173379999999999</v>
      </c>
      <c r="CE41" s="212">
        <v>1.767728</v>
      </c>
      <c r="CF41" s="212">
        <v>1.0852919999999999</v>
      </c>
      <c r="CG41" s="212">
        <v>1.2425759999999999</v>
      </c>
      <c r="CH41" s="212">
        <v>1.264124</v>
      </c>
      <c r="CI41" s="212">
        <v>2.8029660000000001</v>
      </c>
      <c r="CJ41" s="212">
        <v>0.92750299999999997</v>
      </c>
      <c r="CK41" s="212">
        <v>1.005838</v>
      </c>
      <c r="CL41" s="212">
        <v>0.65485199999999999</v>
      </c>
      <c r="CM41" s="212">
        <v>2.8562439999999998</v>
      </c>
      <c r="CN41" s="212">
        <v>2.0899679999999998</v>
      </c>
      <c r="CO41" s="212">
        <v>1.005736</v>
      </c>
      <c r="CP41" s="212">
        <v>1.0172220000000001</v>
      </c>
      <c r="CQ41" s="212">
        <v>1.2532909999999999</v>
      </c>
      <c r="CR41" s="212">
        <v>13.648578000000001</v>
      </c>
      <c r="CS41" s="212">
        <v>4.2564989999999998</v>
      </c>
      <c r="CT41" s="212">
        <v>1.9213279999999999</v>
      </c>
      <c r="CU41" s="212">
        <v>5.1458000000000004</v>
      </c>
      <c r="CV41" s="212">
        <v>9.1539160000000006</v>
      </c>
      <c r="CW41" s="212" t="s">
        <v>830</v>
      </c>
      <c r="CX41" s="212">
        <v>1.1970489642</v>
      </c>
      <c r="CY41" s="212">
        <v>1.9716893197000001</v>
      </c>
      <c r="CZ41" s="212">
        <v>1.144318996</v>
      </c>
      <c r="DA41" s="212">
        <v>14.198472047999999</v>
      </c>
      <c r="DB41" s="212">
        <v>1.0789230000000001</v>
      </c>
      <c r="DC41" s="212">
        <v>1.0596049999999999</v>
      </c>
      <c r="DD41" s="212">
        <v>1.869035</v>
      </c>
      <c r="DE41" s="212">
        <v>1.794732</v>
      </c>
      <c r="DF41" s="212">
        <v>1.7421949999999999</v>
      </c>
      <c r="DG41" s="212">
        <v>1.00604475</v>
      </c>
      <c r="DH41" s="212">
        <v>123.08269069000001</v>
      </c>
      <c r="DI41" s="212">
        <v>0.25260115999999999</v>
      </c>
      <c r="DJ41" s="212">
        <v>2.0375692000000001</v>
      </c>
      <c r="DK41" s="212">
        <v>1.9019869300000001</v>
      </c>
      <c r="DL41" s="212">
        <v>149715.82589000001</v>
      </c>
      <c r="DM41" s="212">
        <v>310.16197670000003</v>
      </c>
      <c r="DN41" s="212">
        <v>17.593538500000001</v>
      </c>
      <c r="DO41" s="212" t="s">
        <v>830</v>
      </c>
      <c r="DP41" s="212">
        <v>18102612.460000001</v>
      </c>
      <c r="DQ41" s="212">
        <v>1.5225643</v>
      </c>
      <c r="DR41" s="212">
        <v>14.486229700000001</v>
      </c>
      <c r="DS41" s="212">
        <v>21.2212259</v>
      </c>
      <c r="DT41" s="212">
        <v>1.78067</v>
      </c>
      <c r="DU41" s="212">
        <v>1.0728015</v>
      </c>
      <c r="DV41" s="212">
        <v>1656.4784388999999</v>
      </c>
      <c r="DW41" s="212">
        <v>23068.971127000001</v>
      </c>
      <c r="DX41" s="212">
        <v>0.81424854000000002</v>
      </c>
      <c r="DY41" s="212">
        <v>10.051113000000001</v>
      </c>
      <c r="DZ41" s="212">
        <v>221.88308000000001</v>
      </c>
      <c r="EA41" s="212">
        <v>17.530422999999999</v>
      </c>
      <c r="EB41" s="212">
        <v>20.409003999999999</v>
      </c>
      <c r="EC41" s="212">
        <v>18.920314000000001</v>
      </c>
      <c r="ED41" s="212">
        <v>2207.8083750000001</v>
      </c>
      <c r="EE41" s="212">
        <v>22.613952999999999</v>
      </c>
      <c r="EF41" s="212">
        <v>33.861829999999998</v>
      </c>
      <c r="EG41" s="212">
        <v>1.4657887000000001</v>
      </c>
      <c r="EH41" s="212">
        <v>0.64176200000000005</v>
      </c>
      <c r="EI41" s="212">
        <v>1.1459709</v>
      </c>
      <c r="EJ41" s="212">
        <v>1.94191326</v>
      </c>
      <c r="EK41" s="212">
        <v>1.6064832</v>
      </c>
      <c r="EL41" s="212">
        <v>2.6971053999999999</v>
      </c>
      <c r="EM41">
        <v>1.2793954599999999</v>
      </c>
      <c r="EN41">
        <v>2.2659661500000001</v>
      </c>
      <c r="EO41">
        <v>1.3758195</v>
      </c>
      <c r="EP41">
        <v>256.32133399999998</v>
      </c>
      <c r="EQ41">
        <v>181.539648</v>
      </c>
      <c r="ER41">
        <v>15.8227739</v>
      </c>
      <c r="ES41">
        <v>13.926425500000001</v>
      </c>
      <c r="ET41">
        <v>8.7190291999999996</v>
      </c>
      <c r="EU41">
        <v>185.9528214</v>
      </c>
      <c r="EV41">
        <v>116.37190510000001</v>
      </c>
      <c r="EW41">
        <v>17.446890700000001</v>
      </c>
      <c r="EX41">
        <v>101.0400094</v>
      </c>
      <c r="EY41">
        <v>2.395969</v>
      </c>
      <c r="EZ41">
        <v>2277.0377828000001</v>
      </c>
      <c r="FA41" s="223">
        <v>8.3037469999999995</v>
      </c>
      <c r="FB41" s="223">
        <v>1.0113323000000001</v>
      </c>
      <c r="FC41" s="223">
        <v>1.9174157999999999</v>
      </c>
      <c r="FD41">
        <v>2.7979308000000001</v>
      </c>
      <c r="FE41">
        <v>1.2199622999999999</v>
      </c>
      <c r="FF41">
        <v>1.598085</v>
      </c>
      <c r="FG41">
        <v>0.79915378000000004</v>
      </c>
      <c r="FH41">
        <v>1.1208929700000001</v>
      </c>
      <c r="FI41">
        <v>0.83783834000000001</v>
      </c>
      <c r="FJ41">
        <v>105.33822729000001</v>
      </c>
    </row>
    <row r="42" spans="1:166" x14ac:dyDescent="0.3">
      <c r="A42" s="223">
        <v>41</v>
      </c>
      <c r="B42" s="315">
        <v>42369</v>
      </c>
      <c r="C42" s="212">
        <v>1015898.7879999999</v>
      </c>
      <c r="D42" s="212">
        <v>104.24880008</v>
      </c>
      <c r="E42" s="212">
        <v>1.3433953000000001</v>
      </c>
      <c r="F42" s="212">
        <v>7.0162728999999997</v>
      </c>
      <c r="G42" s="212">
        <v>4.4315476361000004</v>
      </c>
      <c r="H42" s="212">
        <v>3.8195916410000001</v>
      </c>
      <c r="I42" s="212">
        <v>1.010439157</v>
      </c>
      <c r="J42" s="212">
        <v>4.3097529999999997</v>
      </c>
      <c r="K42" s="212">
        <v>3.0613619999999999</v>
      </c>
      <c r="L42" s="212">
        <v>10.485980286</v>
      </c>
      <c r="M42" s="212">
        <v>0.92854039499999996</v>
      </c>
      <c r="N42" s="212">
        <v>1.222419046</v>
      </c>
      <c r="O42" s="212">
        <v>1.941793884</v>
      </c>
      <c r="P42" s="212">
        <v>1.27463141</v>
      </c>
      <c r="Q42" s="212">
        <v>1.53061</v>
      </c>
      <c r="R42" s="212">
        <v>1.708129174</v>
      </c>
      <c r="S42" s="212">
        <v>11.940515</v>
      </c>
      <c r="T42" s="212">
        <v>2.8215968089999999</v>
      </c>
      <c r="U42" s="212">
        <v>3.1808181640000002</v>
      </c>
      <c r="V42" s="212">
        <v>1.547760292</v>
      </c>
      <c r="W42" s="212">
        <v>1.3183554019999999</v>
      </c>
      <c r="X42" s="212">
        <v>3.3030281449999999</v>
      </c>
      <c r="Y42" s="212">
        <v>1.82534</v>
      </c>
      <c r="Z42" s="212">
        <v>1.5947340000000001</v>
      </c>
      <c r="AA42" s="212">
        <v>1.2755470209999999</v>
      </c>
      <c r="AB42" s="212">
        <v>1.107913393</v>
      </c>
      <c r="AC42" s="212">
        <v>1.1123137139999999</v>
      </c>
      <c r="AD42" s="212">
        <v>1.2997164800000001</v>
      </c>
      <c r="AE42" s="212">
        <v>1.297647209</v>
      </c>
      <c r="AF42" s="212">
        <v>1.2396413559999999</v>
      </c>
      <c r="AG42" s="212">
        <v>9.1587940880000005</v>
      </c>
      <c r="AH42" s="212">
        <v>1.73554348</v>
      </c>
      <c r="AI42" s="212">
        <v>3.7175739999999999</v>
      </c>
      <c r="AJ42" s="212">
        <v>2.2958159999999999</v>
      </c>
      <c r="AK42" s="212">
        <v>190.86386761</v>
      </c>
      <c r="AL42" s="212">
        <v>1.0359267000000001</v>
      </c>
      <c r="AM42" s="212">
        <v>1.8324043999999999</v>
      </c>
      <c r="AN42" s="212">
        <v>8.4781264000000007</v>
      </c>
      <c r="AO42" s="212">
        <v>1.7300884999999999</v>
      </c>
      <c r="AP42" s="212">
        <v>1.7243236</v>
      </c>
      <c r="AQ42" s="212">
        <v>2.4040737000000001</v>
      </c>
      <c r="AR42" s="212">
        <v>8.4462162000000003</v>
      </c>
      <c r="AS42" s="212">
        <v>347.49370249999998</v>
      </c>
      <c r="AT42" s="212">
        <v>1.1479094000000001</v>
      </c>
      <c r="AU42" s="212">
        <v>2.9722873000000001</v>
      </c>
      <c r="AV42" s="212">
        <v>2.4777648999999999</v>
      </c>
      <c r="AW42" s="212">
        <v>1.5118191000000001</v>
      </c>
      <c r="AX42" s="212">
        <v>1.1826626</v>
      </c>
      <c r="AY42" s="212">
        <v>2.4716035000000001</v>
      </c>
      <c r="AZ42" s="212" t="s">
        <v>830</v>
      </c>
      <c r="BA42" s="212">
        <v>1.852254082</v>
      </c>
      <c r="BB42" s="212">
        <v>2.3445266999999999</v>
      </c>
      <c r="BC42" s="212">
        <v>2.9499819999999999</v>
      </c>
      <c r="BD42" s="212">
        <v>1.0705530000000001</v>
      </c>
      <c r="BE42" s="212">
        <v>1.0542959999999999</v>
      </c>
      <c r="BF42" s="212">
        <v>1.0437240000000001</v>
      </c>
      <c r="BG42" s="212">
        <v>1.065753</v>
      </c>
      <c r="BH42" s="212">
        <v>1.049809</v>
      </c>
      <c r="BI42" s="212">
        <v>1.198226</v>
      </c>
      <c r="BJ42" s="212">
        <v>1.0668949999999999</v>
      </c>
      <c r="BK42" s="212">
        <v>1.1556470000000001</v>
      </c>
      <c r="BL42" s="212">
        <v>1.192294</v>
      </c>
      <c r="BM42" s="212">
        <v>1.1914499999999999</v>
      </c>
      <c r="BN42" s="212">
        <v>1.0384169999999999</v>
      </c>
      <c r="BO42" s="212">
        <v>1.1143559999999999</v>
      </c>
      <c r="BP42" s="212">
        <v>2.5942400000000001</v>
      </c>
      <c r="BQ42" s="212">
        <v>1.350544</v>
      </c>
      <c r="BR42" s="212">
        <v>1.413951</v>
      </c>
      <c r="BS42" s="212">
        <v>1.220269</v>
      </c>
      <c r="BT42" s="212">
        <v>1.6951849999999999</v>
      </c>
      <c r="BU42" s="212">
        <v>1.6842269999999999</v>
      </c>
      <c r="BV42" s="212">
        <v>1.866673</v>
      </c>
      <c r="BW42" s="212">
        <v>1.7080280000000001</v>
      </c>
      <c r="BX42" s="212">
        <v>1.680704</v>
      </c>
      <c r="BY42" s="212">
        <v>1.6712089999999999</v>
      </c>
      <c r="BZ42" s="212">
        <v>1.9244749999999999</v>
      </c>
      <c r="CA42" s="212">
        <v>1.860827</v>
      </c>
      <c r="CB42" s="212">
        <v>1.8763590000000001</v>
      </c>
      <c r="CC42" s="212">
        <v>1.8177970000000001</v>
      </c>
      <c r="CD42" s="212">
        <v>1.81864</v>
      </c>
      <c r="CE42" s="212">
        <v>1.7689250000000001</v>
      </c>
      <c r="CF42" s="212">
        <v>1.0861479999999999</v>
      </c>
      <c r="CG42" s="212">
        <v>1.243242</v>
      </c>
      <c r="CH42" s="212">
        <v>1.264788</v>
      </c>
      <c r="CI42" s="212">
        <v>2.8044280000000001</v>
      </c>
      <c r="CJ42" s="212">
        <v>0.92749199999999998</v>
      </c>
      <c r="CK42" s="212">
        <v>1.0058370000000001</v>
      </c>
      <c r="CL42" s="212">
        <v>0.65483400000000003</v>
      </c>
      <c r="CM42" s="212">
        <v>2.8558080000000001</v>
      </c>
      <c r="CN42" s="212">
        <v>2.0899670000000001</v>
      </c>
      <c r="CO42" s="212">
        <v>1.005698</v>
      </c>
      <c r="CP42" s="212">
        <v>1.017298</v>
      </c>
      <c r="CQ42" s="212">
        <v>1.253941</v>
      </c>
      <c r="CR42" s="212">
        <v>13.654921999999999</v>
      </c>
      <c r="CS42" s="212">
        <v>4.258521</v>
      </c>
      <c r="CT42" s="212">
        <v>1.9228019999999999</v>
      </c>
      <c r="CU42" s="212">
        <v>5.1474789999999997</v>
      </c>
      <c r="CV42" s="212">
        <v>9.1581689999999991</v>
      </c>
      <c r="CW42" s="212">
        <v>913.55642344</v>
      </c>
      <c r="CX42" s="212">
        <v>1.1976693381000001</v>
      </c>
      <c r="CY42" s="212">
        <v>1.9701018031999999</v>
      </c>
      <c r="CZ42" s="212">
        <v>1.1449231796999999</v>
      </c>
      <c r="DA42" s="212">
        <v>14.205662819</v>
      </c>
      <c r="DB42" s="212">
        <v>1.0796840000000001</v>
      </c>
      <c r="DC42" s="212">
        <v>1.060389</v>
      </c>
      <c r="DD42" s="212">
        <v>1.8703730000000001</v>
      </c>
      <c r="DE42" s="212">
        <v>1.796033</v>
      </c>
      <c r="DF42" s="212">
        <v>1.743107</v>
      </c>
      <c r="DG42" s="212">
        <v>1.00656663</v>
      </c>
      <c r="DH42" s="212">
        <v>123.15603606000001</v>
      </c>
      <c r="DI42" s="212">
        <v>0.25267381</v>
      </c>
      <c r="DJ42" s="212">
        <v>2.0385113000000001</v>
      </c>
      <c r="DK42" s="212">
        <v>1.8997619100000001</v>
      </c>
      <c r="DL42" s="212">
        <v>149814.06974000001</v>
      </c>
      <c r="DM42" s="212">
        <v>341.1022342</v>
      </c>
      <c r="DN42" s="212">
        <v>17.298280999999999</v>
      </c>
      <c r="DO42" s="212">
        <v>67.7</v>
      </c>
      <c r="DP42" s="212">
        <v>18098612.581999999</v>
      </c>
      <c r="DQ42" s="212">
        <v>1.5224097999999999</v>
      </c>
      <c r="DR42" s="212">
        <v>14.493405599999999</v>
      </c>
      <c r="DS42" s="212">
        <v>21.232441999999999</v>
      </c>
      <c r="DT42" s="212">
        <v>1.7812095999999999</v>
      </c>
      <c r="DU42" s="212">
        <v>1.0725236</v>
      </c>
      <c r="DV42" s="212">
        <v>1657.4748043</v>
      </c>
      <c r="DW42" s="212">
        <v>23066.336143</v>
      </c>
      <c r="DX42" s="212">
        <v>0.81462546700000005</v>
      </c>
      <c r="DY42" s="212">
        <v>10.050929999999999</v>
      </c>
      <c r="DZ42" s="212">
        <v>221.997468</v>
      </c>
      <c r="EA42" s="212">
        <v>17.540182999999999</v>
      </c>
      <c r="EB42" s="212">
        <v>20.423971999999999</v>
      </c>
      <c r="EC42" s="212">
        <v>18.934263999999999</v>
      </c>
      <c r="ED42" s="212">
        <v>2208.9757829999999</v>
      </c>
      <c r="EE42" s="212">
        <v>22.624668</v>
      </c>
      <c r="EF42" s="212">
        <v>33.879460999999999</v>
      </c>
      <c r="EG42" s="212">
        <v>1.4658316</v>
      </c>
      <c r="EH42" s="212">
        <v>0.6416811</v>
      </c>
      <c r="EI42" s="212">
        <v>1.1465399000000001</v>
      </c>
      <c r="EJ42" s="212">
        <v>1.9017188700000001</v>
      </c>
      <c r="EK42" s="212">
        <v>1.6070941999999999</v>
      </c>
      <c r="EL42" s="212">
        <v>2.6981321</v>
      </c>
      <c r="EM42">
        <v>1.2795397500000001</v>
      </c>
      <c r="EN42">
        <v>2.2676680500000002</v>
      </c>
      <c r="EO42">
        <v>1.3764531</v>
      </c>
      <c r="EP42">
        <v>256.46632599999998</v>
      </c>
      <c r="EQ42">
        <v>181.67148499999999</v>
      </c>
      <c r="ER42">
        <v>15.834347299999999</v>
      </c>
      <c r="ES42">
        <v>13.936796899999999</v>
      </c>
      <c r="ET42">
        <v>8.7237674999999992</v>
      </c>
      <c r="EU42">
        <v>186.08967709999999</v>
      </c>
      <c r="EV42">
        <v>116.361063</v>
      </c>
      <c r="EW42">
        <v>17.455722300000001</v>
      </c>
      <c r="EX42">
        <v>101.0906397</v>
      </c>
      <c r="EY42">
        <v>2.3956719</v>
      </c>
      <c r="EZ42">
        <v>2278.2206716999999</v>
      </c>
      <c r="FA42" s="223">
        <v>8.3073119999999996</v>
      </c>
      <c r="FB42" s="223">
        <v>1.0112023000000001</v>
      </c>
      <c r="FC42" s="223">
        <v>1.9188601999999999</v>
      </c>
      <c r="FD42">
        <v>2.7993522</v>
      </c>
      <c r="FE42">
        <v>1.2206117999999999</v>
      </c>
      <c r="FF42">
        <v>1.5990006999999999</v>
      </c>
      <c r="FG42">
        <v>0.79898628000000005</v>
      </c>
      <c r="FH42">
        <v>1.12126379</v>
      </c>
      <c r="FI42">
        <v>0.83728026</v>
      </c>
      <c r="FJ42">
        <v>105.34100028</v>
      </c>
    </row>
    <row r="43" spans="1:166" x14ac:dyDescent="0.3">
      <c r="A43" s="223">
        <v>42</v>
      </c>
      <c r="B43" s="315">
        <v>42373</v>
      </c>
      <c r="C43" s="212">
        <v>1015829.7986</v>
      </c>
      <c r="D43" s="212">
        <v>104.26197637</v>
      </c>
      <c r="E43" s="212">
        <v>1.3453250000000001</v>
      </c>
      <c r="F43" s="212">
        <v>6.808554</v>
      </c>
      <c r="G43" s="212">
        <v>4.4344486592000001</v>
      </c>
      <c r="H43" s="212">
        <v>3.6631119459999999</v>
      </c>
      <c r="I43" s="212">
        <v>0.98554315100000001</v>
      </c>
      <c r="J43" s="212">
        <v>4.3119620000000003</v>
      </c>
      <c r="K43" s="212">
        <v>3.0624760000000002</v>
      </c>
      <c r="L43" s="212">
        <v>10.490208103000001</v>
      </c>
      <c r="M43" s="212">
        <v>0.90378909399999996</v>
      </c>
      <c r="N43" s="212">
        <v>1.1837454890000001</v>
      </c>
      <c r="O43" s="212">
        <v>1.9430712349999999</v>
      </c>
      <c r="P43" s="212">
        <v>1.276797685</v>
      </c>
      <c r="Q43" s="212">
        <v>1.5313680000000001</v>
      </c>
      <c r="R43" s="212">
        <v>1.71010174</v>
      </c>
      <c r="S43" s="212">
        <v>11.955556</v>
      </c>
      <c r="T43" s="212">
        <v>2.825970549</v>
      </c>
      <c r="U43" s="212">
        <v>3.185883172</v>
      </c>
      <c r="V43" s="212">
        <v>1.5505210439999999</v>
      </c>
      <c r="W43" s="212">
        <v>1.319968646</v>
      </c>
      <c r="X43" s="212">
        <v>3.307716154</v>
      </c>
      <c r="Y43" s="212">
        <v>1.8266720000000001</v>
      </c>
      <c r="Z43" s="212">
        <v>1.5955159999999999</v>
      </c>
      <c r="AA43" s="212">
        <v>1.278431699</v>
      </c>
      <c r="AB43" s="212">
        <v>1.108970864</v>
      </c>
      <c r="AC43" s="212">
        <v>1.113713588</v>
      </c>
      <c r="AD43" s="212">
        <v>1.3006492700000001</v>
      </c>
      <c r="AE43" s="212">
        <v>1.298580209</v>
      </c>
      <c r="AF43" s="212">
        <v>1.2422562960000001</v>
      </c>
      <c r="AG43" s="212">
        <v>9.1634994639999992</v>
      </c>
      <c r="AH43" s="212">
        <v>1.7371325339999999</v>
      </c>
      <c r="AI43" s="212">
        <v>3.7195819999999999</v>
      </c>
      <c r="AJ43" s="212">
        <v>2.2994970000000001</v>
      </c>
      <c r="AK43" s="212">
        <v>191.07714121999999</v>
      </c>
      <c r="AL43" s="212">
        <v>1.0374329</v>
      </c>
      <c r="AM43" s="212">
        <v>1.8353683999999999</v>
      </c>
      <c r="AN43" s="212">
        <v>8.4825812000000003</v>
      </c>
      <c r="AO43" s="212">
        <v>1.7309901999999999</v>
      </c>
      <c r="AP43" s="212">
        <v>1.7252216</v>
      </c>
      <c r="AQ43" s="212">
        <v>2.4053127000000001</v>
      </c>
      <c r="AR43" s="212">
        <v>8.4505996000000003</v>
      </c>
      <c r="AS43" s="212">
        <v>337.85850240000002</v>
      </c>
      <c r="AT43" s="212">
        <v>1.1176832999999999</v>
      </c>
      <c r="AU43" s="212">
        <v>2.9737407</v>
      </c>
      <c r="AV43" s="212">
        <v>2.4817474000000002</v>
      </c>
      <c r="AW43" s="212">
        <v>1.5145301</v>
      </c>
      <c r="AX43" s="212">
        <v>1.1841451000000001</v>
      </c>
      <c r="AY43" s="212">
        <v>2.4746168000000002</v>
      </c>
      <c r="AZ43" s="212" t="s">
        <v>830</v>
      </c>
      <c r="BA43" s="212">
        <v>1.853207724</v>
      </c>
      <c r="BB43" s="212">
        <v>2.3480384999999999</v>
      </c>
      <c r="BC43" s="212">
        <v>2.9516930000000001</v>
      </c>
      <c r="BD43" s="212">
        <v>1.071536</v>
      </c>
      <c r="BE43" s="212">
        <v>1.055264</v>
      </c>
      <c r="BF43" s="212">
        <v>1.044683</v>
      </c>
      <c r="BG43" s="212">
        <v>1.0667310000000001</v>
      </c>
      <c r="BH43" s="212">
        <v>1.050772</v>
      </c>
      <c r="BI43" s="212">
        <v>1.199087</v>
      </c>
      <c r="BJ43" s="212">
        <v>1.0681499999999999</v>
      </c>
      <c r="BK43" s="212">
        <v>1.1578029999999999</v>
      </c>
      <c r="BL43" s="212">
        <v>1.1931480000000001</v>
      </c>
      <c r="BM43" s="212">
        <v>1.1923079999999999</v>
      </c>
      <c r="BN43" s="212">
        <v>1.0405960000000001</v>
      </c>
      <c r="BO43" s="212">
        <v>1.116757</v>
      </c>
      <c r="BP43" s="212">
        <v>2.595596</v>
      </c>
      <c r="BQ43" s="212">
        <v>1.351207</v>
      </c>
      <c r="BR43" s="212">
        <v>1.415564</v>
      </c>
      <c r="BS43" s="212">
        <v>1.222372</v>
      </c>
      <c r="BT43" s="212">
        <v>1.6972560000000001</v>
      </c>
      <c r="BU43" s="212">
        <v>1.6854769999999999</v>
      </c>
      <c r="BV43" s="212">
        <v>1.867972</v>
      </c>
      <c r="BW43" s="212">
        <v>1.70926</v>
      </c>
      <c r="BX43" s="212">
        <v>1.6819219999999999</v>
      </c>
      <c r="BY43" s="212">
        <v>1.6724000000000001</v>
      </c>
      <c r="BZ43" s="212">
        <v>1.9259219999999999</v>
      </c>
      <c r="CA43" s="212">
        <v>1.862125</v>
      </c>
      <c r="CB43" s="212">
        <v>1.8776409999999999</v>
      </c>
      <c r="CC43" s="212">
        <v>1.8190980000000001</v>
      </c>
      <c r="CD43" s="212">
        <v>1.8199419999999999</v>
      </c>
      <c r="CE43" s="212">
        <v>1.7701229999999999</v>
      </c>
      <c r="CF43" s="212">
        <v>1.087005</v>
      </c>
      <c r="CG43" s="212">
        <v>1.245503</v>
      </c>
      <c r="CH43" s="212">
        <v>1.2664759999999999</v>
      </c>
      <c r="CI43" s="212">
        <v>2.8060800000000001</v>
      </c>
      <c r="CJ43" s="212">
        <v>0.911914</v>
      </c>
      <c r="CK43" s="212">
        <v>0.98866100000000001</v>
      </c>
      <c r="CL43" s="212">
        <v>0.634239</v>
      </c>
      <c r="CM43" s="212">
        <v>2.7850429999999999</v>
      </c>
      <c r="CN43" s="212">
        <v>2.063504</v>
      </c>
      <c r="CO43" s="212">
        <v>0.97426599999999997</v>
      </c>
      <c r="CP43" s="212">
        <v>1.000575</v>
      </c>
      <c r="CQ43" s="212">
        <v>1.254591</v>
      </c>
      <c r="CR43" s="212">
        <v>13.661265999999999</v>
      </c>
      <c r="CS43" s="212">
        <v>4.2604899999999999</v>
      </c>
      <c r="CT43" s="212">
        <v>1.9257599999999999</v>
      </c>
      <c r="CU43" s="212">
        <v>5.149159</v>
      </c>
      <c r="CV43" s="212">
        <v>9.1624280000000002</v>
      </c>
      <c r="CW43" s="212" t="s">
        <v>830</v>
      </c>
      <c r="CX43" s="212">
        <v>1.1982948382</v>
      </c>
      <c r="CY43" s="212">
        <v>1.9715158548</v>
      </c>
      <c r="CZ43" s="212">
        <v>1.1455986597000001</v>
      </c>
      <c r="DA43" s="212">
        <v>14.212876456</v>
      </c>
      <c r="DB43" s="212">
        <v>1.080676</v>
      </c>
      <c r="DC43" s="212">
        <v>1.061636</v>
      </c>
      <c r="DD43" s="212">
        <v>1.872638</v>
      </c>
      <c r="DE43" s="212">
        <v>1.7990600000000001</v>
      </c>
      <c r="DF43" s="212">
        <v>1.7441949999999999</v>
      </c>
      <c r="DG43" s="212">
        <v>1.0077454100000001</v>
      </c>
      <c r="DH43" s="212">
        <v>123.22942277</v>
      </c>
      <c r="DI43" s="212">
        <v>0.25305028000000002</v>
      </c>
      <c r="DJ43" s="212">
        <v>2.0394486000000001</v>
      </c>
      <c r="DK43" s="212">
        <v>1.9004761800000001</v>
      </c>
      <c r="DL43" s="212">
        <v>149912.37778000001</v>
      </c>
      <c r="DM43" s="212">
        <v>341.2693238</v>
      </c>
      <c r="DN43" s="212">
        <v>17.3091103</v>
      </c>
      <c r="DO43" s="212" t="s">
        <v>830</v>
      </c>
      <c r="DP43" s="212">
        <v>18097427.304000001</v>
      </c>
      <c r="DQ43" s="212">
        <v>1.4530419999999999</v>
      </c>
      <c r="DR43" s="212">
        <v>14.500579999999999</v>
      </c>
      <c r="DS43" s="212">
        <v>21.243703</v>
      </c>
      <c r="DT43" s="212">
        <v>1.7837033</v>
      </c>
      <c r="DU43" s="212">
        <v>1.0477683</v>
      </c>
      <c r="DV43" s="212">
        <v>1662.2938440999999</v>
      </c>
      <c r="DW43" s="212">
        <v>23063.333746</v>
      </c>
      <c r="DX43" s="212">
        <v>0.80464714400000004</v>
      </c>
      <c r="DY43" s="212">
        <v>9.7694419999999997</v>
      </c>
      <c r="DZ43" s="212">
        <v>222.11159599999999</v>
      </c>
      <c r="EA43" s="212">
        <v>17.564912</v>
      </c>
      <c r="EB43" s="212">
        <v>20.449860000000001</v>
      </c>
      <c r="EC43" s="212">
        <v>18.964205</v>
      </c>
      <c r="ED43" s="212">
        <v>2210.1413339999999</v>
      </c>
      <c r="EE43" s="212">
        <v>22.636693999999999</v>
      </c>
      <c r="EF43" s="212">
        <v>33.896996000000001</v>
      </c>
      <c r="EG43" s="212">
        <v>1.4218521</v>
      </c>
      <c r="EH43" s="212">
        <v>0.6421694</v>
      </c>
      <c r="EI43" s="212">
        <v>1.1478249</v>
      </c>
      <c r="EJ43" s="212" t="s">
        <v>830</v>
      </c>
      <c r="EK43" s="212">
        <v>1.6006742</v>
      </c>
      <c r="EL43" s="212">
        <v>2.6875301999999999</v>
      </c>
      <c r="EM43">
        <v>1.2796819699999999</v>
      </c>
      <c r="EN43">
        <v>2.26937246</v>
      </c>
      <c r="EO43">
        <v>1.3767992</v>
      </c>
      <c r="EP43">
        <v>256.94188800000001</v>
      </c>
      <c r="EQ43">
        <v>181.94920999999999</v>
      </c>
      <c r="ER43">
        <v>15.854542500000001</v>
      </c>
      <c r="ES43">
        <v>13.959056199999999</v>
      </c>
      <c r="ET43">
        <v>8.7283723000000002</v>
      </c>
      <c r="EU43">
        <v>186.38529980000001</v>
      </c>
      <c r="EV43">
        <v>113.2104999</v>
      </c>
      <c r="EW43">
        <v>17.465585900000001</v>
      </c>
      <c r="EX43">
        <v>101.14082430000001</v>
      </c>
      <c r="EY43">
        <v>2.4237598999999999</v>
      </c>
      <c r="EZ43">
        <v>2279.3886542999999</v>
      </c>
      <c r="FA43" s="223">
        <v>8.3108769999999996</v>
      </c>
      <c r="FB43" s="223">
        <v>0.97708150000000005</v>
      </c>
      <c r="FC43" s="223">
        <v>1.9216996</v>
      </c>
      <c r="FD43">
        <v>2.8007734000000002</v>
      </c>
      <c r="FE43">
        <v>1.2217239</v>
      </c>
      <c r="FF43">
        <v>1.6013512000000001</v>
      </c>
      <c r="FG43">
        <v>0.77944511999999999</v>
      </c>
      <c r="FH43">
        <v>1.12060994</v>
      </c>
      <c r="FI43">
        <v>0.83721524000000003</v>
      </c>
      <c r="FJ43">
        <v>105.57327741</v>
      </c>
    </row>
    <row r="44" spans="1:166" x14ac:dyDescent="0.3">
      <c r="A44" s="223">
        <v>43</v>
      </c>
      <c r="B44" s="315">
        <v>42374</v>
      </c>
      <c r="C44" s="212">
        <v>1015760.8092</v>
      </c>
      <c r="D44" s="212">
        <v>104.29990367000001</v>
      </c>
      <c r="E44" s="212">
        <v>1.351504</v>
      </c>
      <c r="F44" s="212">
        <v>6.8790677000000002</v>
      </c>
      <c r="G44" s="212">
        <v>4.4413934243000002</v>
      </c>
      <c r="H44" s="212">
        <v>3.8370306780000001</v>
      </c>
      <c r="I44" s="212">
        <v>1.0077588019999999</v>
      </c>
      <c r="J44" s="212">
        <v>4.3141689999999997</v>
      </c>
      <c r="K44" s="212">
        <v>3.063574</v>
      </c>
      <c r="L44" s="212">
        <v>10.495046144</v>
      </c>
      <c r="M44" s="212">
        <v>0.90989892500000003</v>
      </c>
      <c r="N44" s="212">
        <v>1.1958730909999999</v>
      </c>
      <c r="O44" s="212">
        <v>1.9439131970000001</v>
      </c>
      <c r="P44" s="212">
        <v>1.285571268</v>
      </c>
      <c r="Q44" s="212">
        <v>1.53207</v>
      </c>
      <c r="R44" s="212">
        <v>1.71674525</v>
      </c>
      <c r="S44" s="212">
        <v>12.006563</v>
      </c>
      <c r="T44" s="212">
        <v>2.841517896</v>
      </c>
      <c r="U44" s="212">
        <v>3.2026115389999998</v>
      </c>
      <c r="V44" s="212">
        <v>1.559742741</v>
      </c>
      <c r="W44" s="212">
        <v>1.325279627</v>
      </c>
      <c r="X44" s="212">
        <v>3.326217218</v>
      </c>
      <c r="Y44" s="212">
        <v>1.829005</v>
      </c>
      <c r="Z44" s="212">
        <v>1.596401</v>
      </c>
      <c r="AA44" s="212">
        <v>1.289332479</v>
      </c>
      <c r="AB44" s="212">
        <v>1.1105479659999999</v>
      </c>
      <c r="AC44" s="212">
        <v>1.117544407</v>
      </c>
      <c r="AD44" s="212">
        <v>1.3015824250000001</v>
      </c>
      <c r="AE44" s="212">
        <v>1.299512859</v>
      </c>
      <c r="AF44" s="212">
        <v>1.2509570329999999</v>
      </c>
      <c r="AG44" s="212">
        <v>9.1681487419999996</v>
      </c>
      <c r="AH44" s="212">
        <v>1.7388113679999999</v>
      </c>
      <c r="AI44" s="212">
        <v>3.7216689999999999</v>
      </c>
      <c r="AJ44" s="212">
        <v>2.3128470000000001</v>
      </c>
      <c r="AK44" s="212">
        <v>191.51063468000001</v>
      </c>
      <c r="AL44" s="212">
        <v>1.0448641999999999</v>
      </c>
      <c r="AM44" s="212">
        <v>1.8451826</v>
      </c>
      <c r="AN44" s="212">
        <v>8.4870373000000008</v>
      </c>
      <c r="AO44" s="212">
        <v>1.7320336999999999</v>
      </c>
      <c r="AP44" s="212">
        <v>1.7262576000000001</v>
      </c>
      <c r="AQ44" s="212">
        <v>2.4065503000000001</v>
      </c>
      <c r="AR44" s="212">
        <v>8.4549684999999997</v>
      </c>
      <c r="AS44" s="212">
        <v>340.11109340000002</v>
      </c>
      <c r="AT44" s="212">
        <v>1.1231865999999999</v>
      </c>
      <c r="AU44" s="212">
        <v>2.9751878999999999</v>
      </c>
      <c r="AV44" s="212">
        <v>2.4951184</v>
      </c>
      <c r="AW44" s="212">
        <v>1.5237445999999999</v>
      </c>
      <c r="AX44" s="212">
        <v>1.1893362999999999</v>
      </c>
      <c r="AY44" s="212">
        <v>2.4852088000000001</v>
      </c>
      <c r="AZ44" s="212" t="s">
        <v>830</v>
      </c>
      <c r="BA44" s="212">
        <v>1.8541652749999999</v>
      </c>
      <c r="BB44" s="212">
        <v>2.3619547000000001</v>
      </c>
      <c r="BC44" s="212">
        <v>2.9536959999999999</v>
      </c>
      <c r="BD44" s="212">
        <v>1.0724800000000001</v>
      </c>
      <c r="BE44" s="212">
        <v>1.0561929999999999</v>
      </c>
      <c r="BF44" s="212">
        <v>1.0456030000000001</v>
      </c>
      <c r="BG44" s="212">
        <v>1.0676699999999999</v>
      </c>
      <c r="BH44" s="212">
        <v>1.051696</v>
      </c>
      <c r="BI44" s="212">
        <v>1.1999489999999999</v>
      </c>
      <c r="BJ44" s="212">
        <v>1.0732280000000001</v>
      </c>
      <c r="BK44" s="212">
        <v>1.1660280000000001</v>
      </c>
      <c r="BL44" s="212">
        <v>1.1940029999999999</v>
      </c>
      <c r="BM44" s="212">
        <v>1.1931659999999999</v>
      </c>
      <c r="BN44" s="212">
        <v>1.0484359999999999</v>
      </c>
      <c r="BO44" s="212">
        <v>1.1254679999999999</v>
      </c>
      <c r="BP44" s="212">
        <v>2.59694</v>
      </c>
      <c r="BQ44" s="212">
        <v>1.3518699999999999</v>
      </c>
      <c r="BR44" s="212">
        <v>1.4209590000000001</v>
      </c>
      <c r="BS44" s="212">
        <v>1.2291730000000001</v>
      </c>
      <c r="BT44" s="212">
        <v>1.7039530000000001</v>
      </c>
      <c r="BU44" s="212">
        <v>1.686728</v>
      </c>
      <c r="BV44" s="212">
        <v>1.869273</v>
      </c>
      <c r="BW44" s="212">
        <v>1.7104919999999999</v>
      </c>
      <c r="BX44" s="212">
        <v>1.6831419999999999</v>
      </c>
      <c r="BY44" s="212">
        <v>1.673592</v>
      </c>
      <c r="BZ44" s="212">
        <v>1.9273709999999999</v>
      </c>
      <c r="CA44" s="212">
        <v>1.863424</v>
      </c>
      <c r="CB44" s="212">
        <v>1.878924</v>
      </c>
      <c r="CC44" s="212">
        <v>1.8204009999999999</v>
      </c>
      <c r="CD44" s="212">
        <v>1.821245</v>
      </c>
      <c r="CE44" s="212">
        <v>1.7713209999999999</v>
      </c>
      <c r="CF44" s="212">
        <v>1.0878620000000001</v>
      </c>
      <c r="CG44" s="212">
        <v>1.2568239999999999</v>
      </c>
      <c r="CH44" s="212">
        <v>1.2732950000000001</v>
      </c>
      <c r="CI44" s="212">
        <v>2.8080959999999999</v>
      </c>
      <c r="CJ44" s="212">
        <v>0.91190300000000002</v>
      </c>
      <c r="CK44" s="212">
        <v>0.98882700000000001</v>
      </c>
      <c r="CL44" s="212">
        <v>0.64030200000000004</v>
      </c>
      <c r="CM44" s="212">
        <v>2.7981660000000002</v>
      </c>
      <c r="CN44" s="212">
        <v>2.0680719999999999</v>
      </c>
      <c r="CO44" s="212">
        <v>0.98850300000000002</v>
      </c>
      <c r="CP44" s="212">
        <v>0.99724999999999997</v>
      </c>
      <c r="CQ44" s="212">
        <v>1.2552430000000001</v>
      </c>
      <c r="CR44" s="212">
        <v>13.667615</v>
      </c>
      <c r="CS44" s="212">
        <v>4.2625970000000004</v>
      </c>
      <c r="CT44" s="212">
        <v>1.934623</v>
      </c>
      <c r="CU44" s="212">
        <v>5.1508390000000004</v>
      </c>
      <c r="CV44" s="212">
        <v>9.1666860000000003</v>
      </c>
      <c r="CW44" s="212" t="s">
        <v>830</v>
      </c>
      <c r="CX44" s="212">
        <v>1.1989208258999999</v>
      </c>
      <c r="CY44" s="212">
        <v>1.9743886601</v>
      </c>
      <c r="CZ44" s="212">
        <v>1.1465336690000001</v>
      </c>
      <c r="DA44" s="212">
        <v>14.220014552</v>
      </c>
      <c r="DB44" s="212">
        <v>1.0816269999999999</v>
      </c>
      <c r="DC44" s="212">
        <v>1.066683</v>
      </c>
      <c r="DD44" s="212">
        <v>1.8804270000000001</v>
      </c>
      <c r="DE44" s="212">
        <v>1.808535</v>
      </c>
      <c r="DF44" s="212">
        <v>1.7464299999999999</v>
      </c>
      <c r="DG44" s="212">
        <v>1.0138807999999999</v>
      </c>
      <c r="DH44" s="212">
        <v>123.30280767000001</v>
      </c>
      <c r="DI44" s="212">
        <v>0.25325048</v>
      </c>
      <c r="DJ44" s="212">
        <v>2.0404091000000002</v>
      </c>
      <c r="DK44" s="212">
        <v>1.90075481</v>
      </c>
      <c r="DL44" s="212">
        <v>150010.75068</v>
      </c>
      <c r="DM44" s="212">
        <v>332.93261510000002</v>
      </c>
      <c r="DN44" s="212">
        <v>16.4767662</v>
      </c>
      <c r="DO44" s="212" t="s">
        <v>830</v>
      </c>
      <c r="DP44" s="212">
        <v>18096242.103999998</v>
      </c>
      <c r="DQ44" s="212">
        <v>1.4697031</v>
      </c>
      <c r="DR44" s="212">
        <v>14.507759399999999</v>
      </c>
      <c r="DS44" s="212">
        <v>21.254810299999999</v>
      </c>
      <c r="DT44" s="212">
        <v>1.7941156</v>
      </c>
      <c r="DU44" s="212">
        <v>1.0553969000000001</v>
      </c>
      <c r="DV44" s="212">
        <v>1663.0379786999999</v>
      </c>
      <c r="DW44" s="212">
        <v>23060.327759</v>
      </c>
      <c r="DX44" s="212">
        <v>0.818726277</v>
      </c>
      <c r="DY44" s="212">
        <v>9.8502019999999995</v>
      </c>
      <c r="DZ44" s="212">
        <v>222.225966</v>
      </c>
      <c r="EA44" s="212">
        <v>17.662082999999999</v>
      </c>
      <c r="EB44" s="212">
        <v>20.536885000000002</v>
      </c>
      <c r="EC44" s="212">
        <v>19.065753000000001</v>
      </c>
      <c r="ED44" s="212">
        <v>2211.2987670000002</v>
      </c>
      <c r="EE44" s="212">
        <v>22.649832</v>
      </c>
      <c r="EF44" s="212">
        <v>33.914575999999997</v>
      </c>
      <c r="EG44" s="212">
        <v>1.4264555999999999</v>
      </c>
      <c r="EH44" s="212">
        <v>0.64235050000000005</v>
      </c>
      <c r="EI44" s="212">
        <v>1.1508130999999999</v>
      </c>
      <c r="EJ44" s="212" t="s">
        <v>830</v>
      </c>
      <c r="EK44" s="212">
        <v>1.6081563000000001</v>
      </c>
      <c r="EL44" s="212">
        <v>2.7000918999999999</v>
      </c>
      <c r="EM44">
        <v>1.27982197</v>
      </c>
      <c r="EN44">
        <v>2.2710781600000001</v>
      </c>
      <c r="EO44">
        <v>1.3774010999999999</v>
      </c>
      <c r="EP44">
        <v>257.25854600000002</v>
      </c>
      <c r="EQ44">
        <v>182.748818</v>
      </c>
      <c r="ER44">
        <v>15.9222088</v>
      </c>
      <c r="ES44">
        <v>14.033152100000001</v>
      </c>
      <c r="ET44">
        <v>8.7329120000000007</v>
      </c>
      <c r="EU44">
        <v>187.38416649999999</v>
      </c>
      <c r="EV44">
        <v>113.3434851</v>
      </c>
      <c r="EW44">
        <v>17.4877076</v>
      </c>
      <c r="EX44">
        <v>101.1902489</v>
      </c>
      <c r="EY44">
        <v>2.3626676</v>
      </c>
      <c r="EZ44">
        <v>2280.5380209999998</v>
      </c>
      <c r="FA44" s="223">
        <v>8.3144299999999998</v>
      </c>
      <c r="FB44" s="223">
        <v>0.98952130000000005</v>
      </c>
      <c r="FC44" s="223">
        <v>1.9312762999999999</v>
      </c>
      <c r="FD44">
        <v>2.8021962</v>
      </c>
      <c r="FE44">
        <v>1.2234292</v>
      </c>
      <c r="FF44">
        <v>1.6098999000000001</v>
      </c>
      <c r="FG44">
        <v>0.78686725000000002</v>
      </c>
      <c r="FH44">
        <v>1.12154687</v>
      </c>
      <c r="FI44">
        <v>0.83714957000000001</v>
      </c>
      <c r="FJ44">
        <v>105.62187407</v>
      </c>
    </row>
    <row r="45" spans="1:166" x14ac:dyDescent="0.3">
      <c r="A45" s="223">
        <v>44</v>
      </c>
      <c r="B45" s="315">
        <v>42375</v>
      </c>
      <c r="C45" s="212">
        <v>1015630.798</v>
      </c>
      <c r="D45" s="212">
        <v>104.29590887000001</v>
      </c>
      <c r="E45" s="212">
        <v>1.3547559</v>
      </c>
      <c r="F45" s="212">
        <v>6.8810212000000002</v>
      </c>
      <c r="G45" s="212">
        <v>4.4648843229999997</v>
      </c>
      <c r="H45" s="212">
        <v>3.8957389459999998</v>
      </c>
      <c r="I45" s="212">
        <v>1.005343152</v>
      </c>
      <c r="J45" s="212">
        <v>4.3163739999999997</v>
      </c>
      <c r="K45" s="212">
        <v>3.0646930000000001</v>
      </c>
      <c r="L45" s="212">
        <v>10.500130644</v>
      </c>
      <c r="M45" s="212">
        <v>0.90008727600000005</v>
      </c>
      <c r="N45" s="212">
        <v>1.1837673710000001</v>
      </c>
      <c r="O45" s="212">
        <v>1.9448105440000001</v>
      </c>
      <c r="P45" s="212">
        <v>1.2897000729999999</v>
      </c>
      <c r="Q45" s="212">
        <v>1.5328189999999999</v>
      </c>
      <c r="R45" s="212">
        <v>1.720850488</v>
      </c>
      <c r="S45" s="212">
        <v>12.038008</v>
      </c>
      <c r="T45" s="212">
        <v>2.8506311110000002</v>
      </c>
      <c r="U45" s="212">
        <v>3.2127901310000002</v>
      </c>
      <c r="V45" s="212">
        <v>1.565332328</v>
      </c>
      <c r="W45" s="212">
        <v>1.328307012</v>
      </c>
      <c r="X45" s="212">
        <v>3.335265283</v>
      </c>
      <c r="Y45" s="212">
        <v>1.830622</v>
      </c>
      <c r="Z45" s="212">
        <v>1.5973329999999999</v>
      </c>
      <c r="AA45" s="212">
        <v>1.2938522189999999</v>
      </c>
      <c r="AB45" s="212">
        <v>1.1118387519999999</v>
      </c>
      <c r="AC45" s="212">
        <v>1.1200735850000001</v>
      </c>
      <c r="AD45" s="212">
        <v>1.3025162539999999</v>
      </c>
      <c r="AE45" s="212">
        <v>1.30044614</v>
      </c>
      <c r="AF45" s="212">
        <v>1.2554089850000001</v>
      </c>
      <c r="AG45" s="212">
        <v>9.1730513889999994</v>
      </c>
      <c r="AH45" s="212">
        <v>1.7404804890000001</v>
      </c>
      <c r="AI45" s="212">
        <v>3.723916</v>
      </c>
      <c r="AJ45" s="212">
        <v>2.320589</v>
      </c>
      <c r="AK45" s="212">
        <v>191.74929352999999</v>
      </c>
      <c r="AL45" s="212">
        <v>1.0488377</v>
      </c>
      <c r="AM45" s="212">
        <v>1.8511310000000001</v>
      </c>
      <c r="AN45" s="212">
        <v>8.4914629000000001</v>
      </c>
      <c r="AO45" s="212">
        <v>1.7342534999999999</v>
      </c>
      <c r="AP45" s="212">
        <v>1.7284664999999999</v>
      </c>
      <c r="AQ45" s="212">
        <v>2.4077909000000002</v>
      </c>
      <c r="AR45" s="212">
        <v>8.4593547999999998</v>
      </c>
      <c r="AS45" s="212">
        <v>334.93444010000002</v>
      </c>
      <c r="AT45" s="212">
        <v>1.1221506999999999</v>
      </c>
      <c r="AU45" s="212">
        <v>2.9766406999999999</v>
      </c>
      <c r="AV45" s="212">
        <v>2.5026472000000002</v>
      </c>
      <c r="AW45" s="212">
        <v>1.5291794999999999</v>
      </c>
      <c r="AX45" s="212">
        <v>1.1924948</v>
      </c>
      <c r="AY45" s="212">
        <v>2.4908386999999999</v>
      </c>
      <c r="AZ45" s="212" t="s">
        <v>830</v>
      </c>
      <c r="BA45" s="212">
        <v>1.8551178260000001</v>
      </c>
      <c r="BB45" s="212">
        <v>2.3698849000000002</v>
      </c>
      <c r="BC45" s="212">
        <v>2.9554649999999998</v>
      </c>
      <c r="BD45" s="212">
        <v>1.073415</v>
      </c>
      <c r="BE45" s="212">
        <v>1.057115</v>
      </c>
      <c r="BF45" s="212">
        <v>1.0465150000000001</v>
      </c>
      <c r="BG45" s="212">
        <v>1.0686009999999999</v>
      </c>
      <c r="BH45" s="212">
        <v>1.052613</v>
      </c>
      <c r="BI45" s="212">
        <v>1.2008110000000001</v>
      </c>
      <c r="BJ45" s="212">
        <v>1.0763819999999999</v>
      </c>
      <c r="BK45" s="212">
        <v>1.1711849999999999</v>
      </c>
      <c r="BL45" s="212">
        <v>1.194858</v>
      </c>
      <c r="BM45" s="212">
        <v>1.1940249999999999</v>
      </c>
      <c r="BN45" s="212">
        <v>1.05125</v>
      </c>
      <c r="BO45" s="212">
        <v>1.12927</v>
      </c>
      <c r="BP45" s="212">
        <v>2.5982949999999998</v>
      </c>
      <c r="BQ45" s="212">
        <v>1.3525339999999999</v>
      </c>
      <c r="BR45" s="212">
        <v>1.4244030000000001</v>
      </c>
      <c r="BS45" s="212">
        <v>1.2332909999999999</v>
      </c>
      <c r="BT45" s="212">
        <v>1.7078100000000001</v>
      </c>
      <c r="BU45" s="212">
        <v>1.68798</v>
      </c>
      <c r="BV45" s="212">
        <v>1.8705750000000001</v>
      </c>
      <c r="BW45" s="212">
        <v>1.7117260000000001</v>
      </c>
      <c r="BX45" s="212">
        <v>1.6843619999999999</v>
      </c>
      <c r="BY45" s="212">
        <v>1.674785</v>
      </c>
      <c r="BZ45" s="212">
        <v>1.92882</v>
      </c>
      <c r="CA45" s="212">
        <v>1.864724</v>
      </c>
      <c r="CB45" s="212">
        <v>1.880209</v>
      </c>
      <c r="CC45" s="212">
        <v>1.8217049999999999</v>
      </c>
      <c r="CD45" s="212">
        <v>1.822549</v>
      </c>
      <c r="CE45" s="212">
        <v>1.772521</v>
      </c>
      <c r="CF45" s="212">
        <v>1.0887199999999999</v>
      </c>
      <c r="CG45" s="212">
        <v>1.262135</v>
      </c>
      <c r="CH45" s="212">
        <v>1.276683</v>
      </c>
      <c r="CI45" s="212">
        <v>2.8098230000000002</v>
      </c>
      <c r="CJ45" s="212">
        <v>0.91189299999999995</v>
      </c>
      <c r="CK45" s="212">
        <v>0.98839900000000003</v>
      </c>
      <c r="CL45" s="212">
        <v>0.63039100000000003</v>
      </c>
      <c r="CM45" s="212">
        <v>2.766591</v>
      </c>
      <c r="CN45" s="212">
        <v>2.0517120000000002</v>
      </c>
      <c r="CO45" s="212">
        <v>0.98322500000000002</v>
      </c>
      <c r="CP45" s="212">
        <v>0.99269099999999999</v>
      </c>
      <c r="CQ45" s="212">
        <v>1.2558929999999999</v>
      </c>
      <c r="CR45" s="212">
        <v>13.673947</v>
      </c>
      <c r="CS45" s="212">
        <v>4.2646379999999997</v>
      </c>
      <c r="CT45" s="212">
        <v>1.9396009999999999</v>
      </c>
      <c r="CU45" s="212">
        <v>5.1525189999999998</v>
      </c>
      <c r="CV45" s="212">
        <v>9.1709300000000002</v>
      </c>
      <c r="CW45" s="212" t="s">
        <v>830</v>
      </c>
      <c r="CX45" s="212">
        <v>1.199546716</v>
      </c>
      <c r="CY45" s="212">
        <v>1.9843463206</v>
      </c>
      <c r="CZ45" s="212">
        <v>1.1472876446</v>
      </c>
      <c r="DA45" s="212">
        <v>14.227250695</v>
      </c>
      <c r="DB45" s="212">
        <v>1.0825709999999999</v>
      </c>
      <c r="DC45" s="212">
        <v>1.0698190000000001</v>
      </c>
      <c r="DD45" s="212">
        <v>1.88531</v>
      </c>
      <c r="DE45" s="212">
        <v>1.814122</v>
      </c>
      <c r="DF45" s="212">
        <v>1.7479849999999999</v>
      </c>
      <c r="DG45" s="212">
        <v>1.01699775</v>
      </c>
      <c r="DH45" s="212">
        <v>123.37625237</v>
      </c>
      <c r="DI45" s="212">
        <v>0.25335419999999997</v>
      </c>
      <c r="DJ45" s="212">
        <v>2.0413467000000001</v>
      </c>
      <c r="DK45" s="212">
        <v>1.90492982</v>
      </c>
      <c r="DL45" s="212">
        <v>150109.18799999999</v>
      </c>
      <c r="DM45" s="212">
        <v>333.10478389999997</v>
      </c>
      <c r="DN45" s="212">
        <v>16.1805156</v>
      </c>
      <c r="DO45" s="212" t="s">
        <v>830</v>
      </c>
      <c r="DP45" s="212">
        <v>18095056.980999999</v>
      </c>
      <c r="DQ45" s="212">
        <v>1.4683374</v>
      </c>
      <c r="DR45" s="212">
        <v>14.5149446</v>
      </c>
      <c r="DS45" s="212">
        <v>21.266170299999999</v>
      </c>
      <c r="DT45" s="212">
        <v>1.797301</v>
      </c>
      <c r="DU45" s="212">
        <v>1.0473722999999999</v>
      </c>
      <c r="DV45" s="212">
        <v>1663.7822751000001</v>
      </c>
      <c r="DW45" s="212">
        <v>23057.321630999999</v>
      </c>
      <c r="DX45" s="212">
        <v>0.819245746</v>
      </c>
      <c r="DY45" s="212">
        <v>9.72851</v>
      </c>
      <c r="DZ45" s="212">
        <v>222.35170600000001</v>
      </c>
      <c r="EA45" s="212">
        <v>17.709904000000002</v>
      </c>
      <c r="EB45" s="212">
        <v>20.590565000000002</v>
      </c>
      <c r="EC45" s="212">
        <v>19.127027999999999</v>
      </c>
      <c r="ED45" s="212">
        <v>2212.4427609999998</v>
      </c>
      <c r="EE45" s="212">
        <v>22.679126</v>
      </c>
      <c r="EF45" s="212">
        <v>33.932175999999998</v>
      </c>
      <c r="EG45" s="212">
        <v>1.4031528</v>
      </c>
      <c r="EH45" s="212">
        <v>0.64257989999999998</v>
      </c>
      <c r="EI45" s="212">
        <v>1.1511749</v>
      </c>
      <c r="EJ45" s="212" t="s">
        <v>830</v>
      </c>
      <c r="EK45" s="212">
        <v>1.6089245000000001</v>
      </c>
      <c r="EL45" s="212">
        <v>2.7013826000000001</v>
      </c>
      <c r="EM45">
        <v>1.2799617700000001</v>
      </c>
      <c r="EN45">
        <v>2.2727851299999999</v>
      </c>
      <c r="EO45">
        <v>1.3781085</v>
      </c>
      <c r="EP45">
        <v>257.56566299999997</v>
      </c>
      <c r="EQ45">
        <v>183.26422099999999</v>
      </c>
      <c r="ER45">
        <v>15.9638828</v>
      </c>
      <c r="ES45">
        <v>14.078462</v>
      </c>
      <c r="ET45">
        <v>8.7374451000000004</v>
      </c>
      <c r="EU45">
        <v>187.98719779999999</v>
      </c>
      <c r="EV45">
        <v>113.70166589999999</v>
      </c>
      <c r="EW45">
        <v>17.502938100000001</v>
      </c>
      <c r="EX45">
        <v>101.23956010000001</v>
      </c>
      <c r="EY45">
        <v>2.2541039999999999</v>
      </c>
      <c r="EZ45">
        <v>2281.6800234000002</v>
      </c>
      <c r="FA45" s="223">
        <v>8.3179700000000008</v>
      </c>
      <c r="FB45" s="223">
        <v>0.97970820000000003</v>
      </c>
      <c r="FC45" s="223">
        <v>1.9369970999999999</v>
      </c>
      <c r="FD45">
        <v>2.8036199000000002</v>
      </c>
      <c r="FE45">
        <v>1.2247372000000001</v>
      </c>
      <c r="FF45">
        <v>1.6142664</v>
      </c>
      <c r="FG45">
        <v>0.78140158999999998</v>
      </c>
      <c r="FH45">
        <v>1.1222678500000001</v>
      </c>
      <c r="FI45">
        <v>0.83708389000000005</v>
      </c>
      <c r="FJ45">
        <v>106.51799920000001</v>
      </c>
    </row>
    <row r="46" spans="1:166" x14ac:dyDescent="0.3">
      <c r="A46" s="223">
        <v>45</v>
      </c>
      <c r="B46" s="315">
        <v>42376</v>
      </c>
      <c r="C46" s="212">
        <v>1015560.8286</v>
      </c>
      <c r="D46" s="212">
        <v>104.23073445999999</v>
      </c>
      <c r="E46" s="212">
        <v>1.3546994000000001</v>
      </c>
      <c r="F46" s="212">
        <v>6.7407728000000002</v>
      </c>
      <c r="G46" s="212">
        <v>4.4788594859000002</v>
      </c>
      <c r="H46" s="212">
        <v>3.910281463</v>
      </c>
      <c r="I46" s="212">
        <v>0.98921365699999997</v>
      </c>
      <c r="J46" s="212">
        <v>4.3185830000000003</v>
      </c>
      <c r="K46" s="212">
        <v>3.0657760000000001</v>
      </c>
      <c r="L46" s="212">
        <v>10.504662688</v>
      </c>
      <c r="M46" s="212">
        <v>0.87766524700000004</v>
      </c>
      <c r="N46" s="212">
        <v>1.155217551</v>
      </c>
      <c r="O46" s="212">
        <v>1.9428026140000001</v>
      </c>
      <c r="P46" s="212">
        <v>1.2902715499999999</v>
      </c>
      <c r="Q46" s="212">
        <v>1.533625</v>
      </c>
      <c r="R46" s="212">
        <v>1.7223827169999999</v>
      </c>
      <c r="S46" s="212">
        <v>12.048678000000001</v>
      </c>
      <c r="T46" s="212">
        <v>2.8418336050000002</v>
      </c>
      <c r="U46" s="212">
        <v>3.202439311</v>
      </c>
      <c r="V46" s="212">
        <v>1.556000601</v>
      </c>
      <c r="W46" s="212">
        <v>1.326269141</v>
      </c>
      <c r="X46" s="212">
        <v>3.330080336</v>
      </c>
      <c r="Y46" s="212">
        <v>1.831539</v>
      </c>
      <c r="Z46" s="212">
        <v>1.598169</v>
      </c>
      <c r="AA46" s="212">
        <v>1.2920757789999999</v>
      </c>
      <c r="AB46" s="212">
        <v>1.1126509760000001</v>
      </c>
      <c r="AC46" s="212">
        <v>1.1208488919999999</v>
      </c>
      <c r="AD46" s="212">
        <v>1.303450752</v>
      </c>
      <c r="AE46" s="212">
        <v>1.301380142</v>
      </c>
      <c r="AF46" s="212">
        <v>1.254657514</v>
      </c>
      <c r="AG46" s="212">
        <v>9.1777521879999995</v>
      </c>
      <c r="AH46" s="212">
        <v>1.7417410879999999</v>
      </c>
      <c r="AI46" s="212">
        <v>3.7258589999999998</v>
      </c>
      <c r="AJ46" s="212">
        <v>2.314702</v>
      </c>
      <c r="AK46" s="212">
        <v>191.94073281999999</v>
      </c>
      <c r="AL46" s="212">
        <v>1.0499814000000001</v>
      </c>
      <c r="AM46" s="212">
        <v>1.8451401000000001</v>
      </c>
      <c r="AN46" s="212">
        <v>8.4959013999999993</v>
      </c>
      <c r="AO46" s="212">
        <v>1.7357597</v>
      </c>
      <c r="AP46" s="212">
        <v>1.7300073</v>
      </c>
      <c r="AQ46" s="212">
        <v>2.4090341</v>
      </c>
      <c r="AR46" s="212">
        <v>8.4637442000000007</v>
      </c>
      <c r="AS46" s="212">
        <v>326.29366809999999</v>
      </c>
      <c r="AT46" s="212">
        <v>1.0944214000000001</v>
      </c>
      <c r="AU46" s="212">
        <v>2.9780945999999999</v>
      </c>
      <c r="AV46" s="212">
        <v>2.4946584999999999</v>
      </c>
      <c r="AW46" s="212">
        <v>1.5201936</v>
      </c>
      <c r="AX46" s="212">
        <v>1.1935646</v>
      </c>
      <c r="AY46" s="212">
        <v>2.4869417999999999</v>
      </c>
      <c r="AZ46" s="212" t="s">
        <v>830</v>
      </c>
      <c r="BA46" s="212">
        <v>1.8560727450000001</v>
      </c>
      <c r="BB46" s="212">
        <v>2.3629647999999999</v>
      </c>
      <c r="BC46" s="212">
        <v>2.9569070000000002</v>
      </c>
      <c r="BD46" s="212">
        <v>1.074168</v>
      </c>
      <c r="BE46" s="212">
        <v>1.0578559999999999</v>
      </c>
      <c r="BF46" s="212">
        <v>1.0472490000000001</v>
      </c>
      <c r="BG46" s="212">
        <v>1.06935</v>
      </c>
      <c r="BH46" s="212">
        <v>1.05335</v>
      </c>
      <c r="BI46" s="212">
        <v>1.2016739999999999</v>
      </c>
      <c r="BJ46" s="212">
        <v>1.0773619999999999</v>
      </c>
      <c r="BK46" s="212">
        <v>1.1723079999999999</v>
      </c>
      <c r="BL46" s="212">
        <v>1.1957139999999999</v>
      </c>
      <c r="BM46" s="212">
        <v>1.194885</v>
      </c>
      <c r="BN46" s="212">
        <v>1.049687</v>
      </c>
      <c r="BO46" s="212">
        <v>1.1234770000000001</v>
      </c>
      <c r="BP46" s="212">
        <v>2.5996640000000002</v>
      </c>
      <c r="BQ46" s="212">
        <v>1.353197</v>
      </c>
      <c r="BR46" s="212">
        <v>1.425651</v>
      </c>
      <c r="BS46" s="212">
        <v>1.225821</v>
      </c>
      <c r="BT46" s="212">
        <v>1.7053130000000001</v>
      </c>
      <c r="BU46" s="212">
        <v>1.689233</v>
      </c>
      <c r="BV46" s="212">
        <v>1.871877</v>
      </c>
      <c r="BW46" s="212">
        <v>1.71296</v>
      </c>
      <c r="BX46" s="212">
        <v>1.6855830000000001</v>
      </c>
      <c r="BY46" s="212">
        <v>1.6759790000000001</v>
      </c>
      <c r="BZ46" s="212">
        <v>1.9302710000000001</v>
      </c>
      <c r="CA46" s="212">
        <v>1.866025</v>
      </c>
      <c r="CB46" s="212">
        <v>1.8814960000000001</v>
      </c>
      <c r="CC46" s="212">
        <v>1.82301</v>
      </c>
      <c r="CD46" s="212">
        <v>1.8238540000000001</v>
      </c>
      <c r="CE46" s="212">
        <v>1.7737210000000001</v>
      </c>
      <c r="CF46" s="212">
        <v>1.0895790000000001</v>
      </c>
      <c r="CG46" s="212">
        <v>1.2577929999999999</v>
      </c>
      <c r="CH46" s="212">
        <v>1.2746390000000001</v>
      </c>
      <c r="CI46" s="212">
        <v>2.811204</v>
      </c>
      <c r="CJ46" s="212">
        <v>0.87562600000000002</v>
      </c>
      <c r="CK46" s="212">
        <v>0.94954899999999998</v>
      </c>
      <c r="CL46" s="212">
        <v>0.61470999999999998</v>
      </c>
      <c r="CM46" s="212">
        <v>2.6851590000000001</v>
      </c>
      <c r="CN46" s="212">
        <v>2.018227</v>
      </c>
      <c r="CO46" s="212">
        <v>0.96736</v>
      </c>
      <c r="CP46" s="212">
        <v>0.98224599999999995</v>
      </c>
      <c r="CQ46" s="212">
        <v>1.256545</v>
      </c>
      <c r="CR46" s="212">
        <v>13.680305000000001</v>
      </c>
      <c r="CS46" s="212">
        <v>4.2666639999999996</v>
      </c>
      <c r="CT46" s="212">
        <v>1.9332990000000001</v>
      </c>
      <c r="CU46" s="212">
        <v>5.1542000000000003</v>
      </c>
      <c r="CV46" s="212">
        <v>9.1751869999999993</v>
      </c>
      <c r="CW46" s="212" t="s">
        <v>830</v>
      </c>
      <c r="CX46" s="212">
        <v>1.2002018696000001</v>
      </c>
      <c r="CY46" s="212">
        <v>1.9906130628000001</v>
      </c>
      <c r="CZ46" s="212">
        <v>1.1478891586</v>
      </c>
      <c r="DA46" s="212">
        <v>14.234870009</v>
      </c>
      <c r="DB46" s="212">
        <v>1.0833299999999999</v>
      </c>
      <c r="DC46" s="212">
        <v>1.0707930000000001</v>
      </c>
      <c r="DD46" s="212">
        <v>1.8869450000000001</v>
      </c>
      <c r="DE46" s="212">
        <v>1.8080849999999999</v>
      </c>
      <c r="DF46" s="212">
        <v>1.7488630000000001</v>
      </c>
      <c r="DG46" s="212">
        <v>1.0157544700000001</v>
      </c>
      <c r="DH46" s="212">
        <v>123.44978558</v>
      </c>
      <c r="DI46" s="212">
        <v>0.25317213999999999</v>
      </c>
      <c r="DJ46" s="212">
        <v>2.0422872000000001</v>
      </c>
      <c r="DK46" s="212">
        <v>1.9302703699999999</v>
      </c>
      <c r="DL46" s="212">
        <v>150207.68995999999</v>
      </c>
      <c r="DM46" s="212">
        <v>333.28961720000001</v>
      </c>
      <c r="DN46" s="212">
        <v>16.190795399999999</v>
      </c>
      <c r="DO46" s="212" t="s">
        <v>830</v>
      </c>
      <c r="DP46" s="212">
        <v>18093871.936999999</v>
      </c>
      <c r="DQ46" s="212">
        <v>1.4106069000000001</v>
      </c>
      <c r="DR46" s="212">
        <v>14.5221362</v>
      </c>
      <c r="DS46" s="212">
        <v>21.277505999999999</v>
      </c>
      <c r="DT46" s="212">
        <v>1.7967609</v>
      </c>
      <c r="DU46" s="212">
        <v>1.0284298999999999</v>
      </c>
      <c r="DV46" s="212">
        <v>1664.4944315</v>
      </c>
      <c r="DW46" s="212">
        <v>23053.039462000001</v>
      </c>
      <c r="DX46" s="212">
        <v>0.81627987199999996</v>
      </c>
      <c r="DY46" s="212">
        <v>9.4855429999999998</v>
      </c>
      <c r="DZ46" s="212">
        <v>222.46052399999999</v>
      </c>
      <c r="EA46" s="212">
        <v>17.682237000000001</v>
      </c>
      <c r="EB46" s="212">
        <v>20.609055000000001</v>
      </c>
      <c r="EC46" s="212">
        <v>19.066326</v>
      </c>
      <c r="ED46" s="212">
        <v>2213.5609850000001</v>
      </c>
      <c r="EE46" s="212">
        <v>22.699026</v>
      </c>
      <c r="EF46" s="212">
        <v>33.949759</v>
      </c>
      <c r="EG46" s="212">
        <v>1.4099660000000001</v>
      </c>
      <c r="EH46" s="212">
        <v>0.6427834</v>
      </c>
      <c r="EI46" s="212">
        <v>1.1485072999999999</v>
      </c>
      <c r="EJ46" s="212" t="s">
        <v>830</v>
      </c>
      <c r="EK46" s="212">
        <v>1.6075421000000001</v>
      </c>
      <c r="EL46" s="212">
        <v>2.6990631</v>
      </c>
      <c r="EM46">
        <v>1.2801026200000001</v>
      </c>
      <c r="EN46">
        <v>2.2744933999999999</v>
      </c>
      <c r="EO46">
        <v>1.3787396999999999</v>
      </c>
      <c r="EP46">
        <v>257.73916600000001</v>
      </c>
      <c r="EQ46">
        <v>182.816867</v>
      </c>
      <c r="ER46">
        <v>15.9784392</v>
      </c>
      <c r="ES46">
        <v>14.034525</v>
      </c>
      <c r="ET46">
        <v>8.7420062999999999</v>
      </c>
      <c r="EU46">
        <v>187.38861639999999</v>
      </c>
      <c r="EV46">
        <v>110.9832617</v>
      </c>
      <c r="EW46">
        <v>17.511570800000001</v>
      </c>
      <c r="EX46">
        <v>101.2892027</v>
      </c>
      <c r="EY46">
        <v>2.1902751999999999</v>
      </c>
      <c r="EZ46">
        <v>2282.8294455999999</v>
      </c>
      <c r="FA46" s="223">
        <v>8.3215199999999996</v>
      </c>
      <c r="FB46" s="223">
        <v>0.95398159999999999</v>
      </c>
      <c r="FC46" s="223">
        <v>1.9308400999999999</v>
      </c>
      <c r="FD46">
        <v>2.8050421000000001</v>
      </c>
      <c r="FE46">
        <v>1.2251477</v>
      </c>
      <c r="FF46">
        <v>1.6120338000000001</v>
      </c>
      <c r="FG46">
        <v>0.76810299999999998</v>
      </c>
      <c r="FH46">
        <v>1.1225991099999999</v>
      </c>
      <c r="FI46">
        <v>1.06385211</v>
      </c>
      <c r="FJ46">
        <v>106.90145578000001</v>
      </c>
    </row>
    <row r="47" spans="1:166" x14ac:dyDescent="0.3">
      <c r="A47" s="223">
        <v>46</v>
      </c>
      <c r="B47" s="315">
        <v>42377</v>
      </c>
      <c r="C47" s="212">
        <v>1015490.8179</v>
      </c>
      <c r="D47" s="212">
        <v>104.225855</v>
      </c>
      <c r="E47" s="212">
        <v>1.3543464000000001</v>
      </c>
      <c r="F47" s="212">
        <v>6.7372575000000001</v>
      </c>
      <c r="G47" s="212">
        <v>4.4641049545999998</v>
      </c>
      <c r="H47" s="212">
        <v>3.9779134209999998</v>
      </c>
      <c r="I47" s="212">
        <v>0.99178619000000001</v>
      </c>
      <c r="J47" s="212">
        <v>4.3207899999999997</v>
      </c>
      <c r="K47" s="212">
        <v>3.0668959999999998</v>
      </c>
      <c r="L47" s="212">
        <v>10.509218632</v>
      </c>
      <c r="M47" s="212">
        <v>0.87771826100000006</v>
      </c>
      <c r="N47" s="212">
        <v>1.1548192390000001</v>
      </c>
      <c r="O47" s="212">
        <v>1.9421593319999999</v>
      </c>
      <c r="P47" s="212">
        <v>1.2900868160000001</v>
      </c>
      <c r="Q47" s="212">
        <v>1.5343800000000001</v>
      </c>
      <c r="R47" s="212">
        <v>1.7223171310000001</v>
      </c>
      <c r="S47" s="212">
        <v>12.048282</v>
      </c>
      <c r="T47" s="212">
        <v>2.8370699049999999</v>
      </c>
      <c r="U47" s="212">
        <v>3.196702846</v>
      </c>
      <c r="V47" s="212">
        <v>1.551384834</v>
      </c>
      <c r="W47" s="212">
        <v>1.32570348</v>
      </c>
      <c r="X47" s="212">
        <v>3.3304686590000001</v>
      </c>
      <c r="Y47" s="212">
        <v>1.832508</v>
      </c>
      <c r="Z47" s="212">
        <v>1.5990089999999999</v>
      </c>
      <c r="AA47" s="212">
        <v>1.290941788</v>
      </c>
      <c r="AB47" s="212">
        <v>1.112636961</v>
      </c>
      <c r="AC47" s="212">
        <v>1.1206677030000001</v>
      </c>
      <c r="AD47" s="212">
        <v>1.303795898</v>
      </c>
      <c r="AE47" s="212">
        <v>1.301725891</v>
      </c>
      <c r="AF47" s="212">
        <v>1.253452655</v>
      </c>
      <c r="AG47" s="212">
        <v>9.1824603459999992</v>
      </c>
      <c r="AH47" s="212">
        <v>1.7418432960000001</v>
      </c>
      <c r="AI47" s="212">
        <v>3.7277130000000001</v>
      </c>
      <c r="AJ47" s="212">
        <v>2.311232</v>
      </c>
      <c r="AK47" s="212">
        <v>192.31871519000001</v>
      </c>
      <c r="AL47" s="212">
        <v>1.0502859</v>
      </c>
      <c r="AM47" s="212">
        <v>1.8418292999999999</v>
      </c>
      <c r="AN47" s="212">
        <v>8.5003937000000001</v>
      </c>
      <c r="AO47" s="212">
        <v>1.7366286</v>
      </c>
      <c r="AP47" s="212">
        <v>1.7308722000000001</v>
      </c>
      <c r="AQ47" s="212">
        <v>2.4102731999999998</v>
      </c>
      <c r="AR47" s="212">
        <v>8.4681364000000006</v>
      </c>
      <c r="AS47" s="212">
        <v>325.62153669999998</v>
      </c>
      <c r="AT47" s="212">
        <v>1.0998003000000001</v>
      </c>
      <c r="AU47" s="212">
        <v>2.9795495999999999</v>
      </c>
      <c r="AV47" s="212">
        <v>2.4905460000000001</v>
      </c>
      <c r="AW47" s="212">
        <v>1.5157217000000001</v>
      </c>
      <c r="AX47" s="212">
        <v>1.1935325000000001</v>
      </c>
      <c r="AY47" s="212">
        <v>2.4859502999999998</v>
      </c>
      <c r="AZ47" s="212" t="s">
        <v>830</v>
      </c>
      <c r="BA47" s="212">
        <v>1.8570365179999999</v>
      </c>
      <c r="BB47" s="212">
        <v>2.3600477999999998</v>
      </c>
      <c r="BC47" s="212">
        <v>2.958431</v>
      </c>
      <c r="BD47" s="212">
        <v>1.0741609999999999</v>
      </c>
      <c r="BE47" s="212">
        <v>1.05785</v>
      </c>
      <c r="BF47" s="212">
        <v>1.047242</v>
      </c>
      <c r="BG47" s="212">
        <v>1.069345</v>
      </c>
      <c r="BH47" s="212">
        <v>1.053345</v>
      </c>
      <c r="BI47" s="212">
        <v>1.2019930000000001</v>
      </c>
      <c r="BJ47" s="212">
        <v>1.0772980000000001</v>
      </c>
      <c r="BK47" s="212">
        <v>1.1719170000000001</v>
      </c>
      <c r="BL47" s="212">
        <v>1.196029</v>
      </c>
      <c r="BM47" s="212">
        <v>1.195203</v>
      </c>
      <c r="BN47" s="212">
        <v>1.048389</v>
      </c>
      <c r="BO47" s="212">
        <v>1.1188119999999999</v>
      </c>
      <c r="BP47" s="212">
        <v>2.6010740000000001</v>
      </c>
      <c r="BQ47" s="212">
        <v>1.353861</v>
      </c>
      <c r="BR47" s="212">
        <v>1.425576</v>
      </c>
      <c r="BS47" s="212">
        <v>1.2221919999999999</v>
      </c>
      <c r="BT47" s="212">
        <v>1.704693</v>
      </c>
      <c r="BU47" s="212">
        <v>1.6904060000000001</v>
      </c>
      <c r="BV47" s="212">
        <v>1.872314</v>
      </c>
      <c r="BW47" s="212">
        <v>1.7139500000000001</v>
      </c>
      <c r="BX47" s="212">
        <v>1.6866380000000001</v>
      </c>
      <c r="BY47" s="212">
        <v>1.677516</v>
      </c>
      <c r="BZ47" s="212">
        <v>1.9309529999999999</v>
      </c>
      <c r="CA47" s="212">
        <v>1.8666860000000001</v>
      </c>
      <c r="CB47" s="212">
        <v>1.881748</v>
      </c>
      <c r="CC47" s="212">
        <v>1.823944</v>
      </c>
      <c r="CD47" s="212">
        <v>1.824789</v>
      </c>
      <c r="CE47" s="212">
        <v>1.774464</v>
      </c>
      <c r="CF47" s="212">
        <v>1.0950709999999999</v>
      </c>
      <c r="CG47" s="212">
        <v>1.2572909999999999</v>
      </c>
      <c r="CH47" s="212">
        <v>1.274689</v>
      </c>
      <c r="CI47" s="212">
        <v>2.8126730000000002</v>
      </c>
      <c r="CJ47" s="212">
        <v>0.87753499999999995</v>
      </c>
      <c r="CK47" s="212">
        <v>0.95150599999999996</v>
      </c>
      <c r="CL47" s="212">
        <v>0.61547799999999997</v>
      </c>
      <c r="CM47" s="212">
        <v>2.682274</v>
      </c>
      <c r="CN47" s="212">
        <v>2.0021369999999998</v>
      </c>
      <c r="CO47" s="212">
        <v>0.95715399999999995</v>
      </c>
      <c r="CP47" s="212">
        <v>0.98526800000000003</v>
      </c>
      <c r="CQ47" s="212">
        <v>1.257196</v>
      </c>
      <c r="CR47" s="212">
        <v>13.686639</v>
      </c>
      <c r="CS47" s="212">
        <v>4.2690279999999996</v>
      </c>
      <c r="CT47" s="212">
        <v>1.9302840000000001</v>
      </c>
      <c r="CU47" s="212">
        <v>5.1558820000000001</v>
      </c>
      <c r="CV47" s="212">
        <v>9.1794370000000001</v>
      </c>
      <c r="CW47" s="212" t="s">
        <v>830</v>
      </c>
      <c r="CX47" s="212">
        <v>1.2008247802000001</v>
      </c>
      <c r="CY47" s="212">
        <v>1.984046886</v>
      </c>
      <c r="CZ47" s="212">
        <v>1.1484669373</v>
      </c>
      <c r="DA47" s="212">
        <v>14.242080098000001</v>
      </c>
      <c r="DB47" s="212">
        <v>1.083324</v>
      </c>
      <c r="DC47" s="212">
        <v>1.070729</v>
      </c>
      <c r="DD47" s="212">
        <v>1.8869530000000001</v>
      </c>
      <c r="DE47" s="212">
        <v>1.805032</v>
      </c>
      <c r="DF47" s="212">
        <v>1.749797</v>
      </c>
      <c r="DG47" s="212">
        <v>1.01518756</v>
      </c>
      <c r="DH47" s="212">
        <v>123.52331697</v>
      </c>
      <c r="DI47" s="212">
        <v>0.25316188000000001</v>
      </c>
      <c r="DJ47" s="212">
        <v>2.0432277999999999</v>
      </c>
      <c r="DK47" s="212">
        <v>1.9302842</v>
      </c>
      <c r="DL47" s="212">
        <v>150306.25678</v>
      </c>
      <c r="DM47" s="212">
        <v>333.46794010000002</v>
      </c>
      <c r="DN47" s="212">
        <v>16.201088500000001</v>
      </c>
      <c r="DO47" s="212" t="s">
        <v>830</v>
      </c>
      <c r="DP47" s="212">
        <v>18092677.035999998</v>
      </c>
      <c r="DQ47" s="212">
        <v>1.4049733</v>
      </c>
      <c r="DR47" s="212">
        <v>14.529194199999999</v>
      </c>
      <c r="DS47" s="212">
        <v>21.288659500000001</v>
      </c>
      <c r="DT47" s="212">
        <v>1.8110525</v>
      </c>
      <c r="DU47" s="212">
        <v>1.0266213</v>
      </c>
      <c r="DV47" s="212">
        <v>1665.2412105999999</v>
      </c>
      <c r="DW47" s="212">
        <v>23052.548265000001</v>
      </c>
      <c r="DX47" s="212">
        <v>0.81444347399999995</v>
      </c>
      <c r="DY47" s="212">
        <v>9.4802</v>
      </c>
      <c r="DZ47" s="212">
        <v>222.56952200000001</v>
      </c>
      <c r="EA47" s="212">
        <v>17.684391000000002</v>
      </c>
      <c r="EB47" s="212">
        <v>20.608114</v>
      </c>
      <c r="EC47" s="212">
        <v>19.032142</v>
      </c>
      <c r="ED47" s="212">
        <v>2214.7304760000002</v>
      </c>
      <c r="EE47" s="212">
        <v>22.710255</v>
      </c>
      <c r="EF47" s="212">
        <v>33.967374999999997</v>
      </c>
      <c r="EG47" s="212">
        <v>1.386293</v>
      </c>
      <c r="EH47" s="212">
        <v>0.64298520000000003</v>
      </c>
      <c r="EI47" s="212">
        <v>1.1490087</v>
      </c>
      <c r="EJ47" s="212" t="s">
        <v>830</v>
      </c>
      <c r="EK47" s="212">
        <v>1.6089230000000001</v>
      </c>
      <c r="EL47" s="212">
        <v>2.7015726999999998</v>
      </c>
      <c r="EM47">
        <v>1.28024494</v>
      </c>
      <c r="EN47">
        <v>2.2751717199999999</v>
      </c>
      <c r="EO47">
        <v>1.3793743999999999</v>
      </c>
      <c r="EP47">
        <v>257.73143199999998</v>
      </c>
      <c r="EQ47">
        <v>182.516918</v>
      </c>
      <c r="ER47">
        <v>15.977700199999999</v>
      </c>
      <c r="ES47">
        <v>14.009401</v>
      </c>
      <c r="ET47">
        <v>8.7466138000000004</v>
      </c>
      <c r="EU47">
        <v>187.05144949999999</v>
      </c>
      <c r="EV47">
        <v>110.48882380000001</v>
      </c>
      <c r="EW47">
        <v>17.520710000000001</v>
      </c>
      <c r="EX47">
        <v>101.3393875</v>
      </c>
      <c r="EY47">
        <v>2.1988251999999999</v>
      </c>
      <c r="EZ47">
        <v>2284.0059958000002</v>
      </c>
      <c r="FA47" s="223">
        <v>8.3250820000000001</v>
      </c>
      <c r="FB47" s="223">
        <v>0.95607330000000001</v>
      </c>
      <c r="FC47" s="223">
        <v>1.9274229000000001</v>
      </c>
      <c r="FD47">
        <v>2.8064619</v>
      </c>
      <c r="FE47">
        <v>1.2258757</v>
      </c>
      <c r="FF47">
        <v>1.6123151</v>
      </c>
      <c r="FG47">
        <v>0.76820710000000003</v>
      </c>
      <c r="FH47">
        <v>1.1232984699999999</v>
      </c>
      <c r="FI47">
        <v>1.06376765</v>
      </c>
      <c r="FJ47">
        <v>106.69744297</v>
      </c>
    </row>
    <row r="48" spans="1:166" x14ac:dyDescent="0.3">
      <c r="A48" s="223">
        <v>47</v>
      </c>
      <c r="B48" s="315">
        <v>42380</v>
      </c>
      <c r="C48" s="212">
        <v>1015420.742</v>
      </c>
      <c r="D48" s="212">
        <v>104.22137583</v>
      </c>
      <c r="E48" s="212">
        <v>1.3552310999999999</v>
      </c>
      <c r="F48" s="212">
        <v>6.6254270999999996</v>
      </c>
      <c r="G48" s="212">
        <v>4.4554079329</v>
      </c>
      <c r="H48" s="212">
        <v>3.790946597</v>
      </c>
      <c r="I48" s="212">
        <v>0.98219231200000001</v>
      </c>
      <c r="J48" s="212">
        <v>4.3230040000000001</v>
      </c>
      <c r="K48" s="212">
        <v>3.068012</v>
      </c>
      <c r="L48" s="212">
        <v>10.513875832</v>
      </c>
      <c r="M48" s="212">
        <v>0.86487567600000004</v>
      </c>
      <c r="N48" s="212">
        <v>1.1370356749999999</v>
      </c>
      <c r="O48" s="212">
        <v>1.941154338</v>
      </c>
      <c r="P48" s="212">
        <v>1.29074662</v>
      </c>
      <c r="Q48" s="212">
        <v>1.5351379999999999</v>
      </c>
      <c r="R48" s="212">
        <v>1.7231111880000001</v>
      </c>
      <c r="S48" s="212">
        <v>12.054643</v>
      </c>
      <c r="T48" s="212">
        <v>2.8404184770000001</v>
      </c>
      <c r="U48" s="212">
        <v>3.200740213</v>
      </c>
      <c r="V48" s="212">
        <v>1.554088948</v>
      </c>
      <c r="W48" s="212">
        <v>1.326532802</v>
      </c>
      <c r="X48" s="212">
        <v>3.3309107099999999</v>
      </c>
      <c r="Y48" s="212">
        <v>1.832956</v>
      </c>
      <c r="Z48" s="212">
        <v>1.599864</v>
      </c>
      <c r="AA48" s="212">
        <v>1.2908086110000001</v>
      </c>
      <c r="AB48" s="212">
        <v>1.1131770480000001</v>
      </c>
      <c r="AC48" s="212">
        <v>1.121194558</v>
      </c>
      <c r="AD48" s="212">
        <v>1.304694894</v>
      </c>
      <c r="AE48" s="212">
        <v>1.3026257109999999</v>
      </c>
      <c r="AF48" s="212">
        <v>1.2536191699999999</v>
      </c>
      <c r="AG48" s="212">
        <v>9.1871764509999991</v>
      </c>
      <c r="AH48" s="212">
        <v>1.7427268789999999</v>
      </c>
      <c r="AI48" s="212">
        <v>3.729622</v>
      </c>
      <c r="AJ48" s="212">
        <v>2.313844</v>
      </c>
      <c r="AK48" s="212">
        <v>192.43563798</v>
      </c>
      <c r="AL48" s="212">
        <v>1.0508694999999999</v>
      </c>
      <c r="AM48" s="212">
        <v>1.844171</v>
      </c>
      <c r="AN48" s="212">
        <v>8.5049045000000003</v>
      </c>
      <c r="AO48" s="212">
        <v>1.7375604</v>
      </c>
      <c r="AP48" s="212">
        <v>1.7318049</v>
      </c>
      <c r="AQ48" s="212">
        <v>2.4115150999999999</v>
      </c>
      <c r="AR48" s="212">
        <v>8.4725297000000008</v>
      </c>
      <c r="AS48" s="212">
        <v>320.31403019999999</v>
      </c>
      <c r="AT48" s="212">
        <v>1.0984058999999999</v>
      </c>
      <c r="AU48" s="212">
        <v>2.9810048</v>
      </c>
      <c r="AV48" s="212">
        <v>2.4938080999999999</v>
      </c>
      <c r="AW48" s="212">
        <v>1.5182359000000001</v>
      </c>
      <c r="AX48" s="212">
        <v>1.1941501000000001</v>
      </c>
      <c r="AY48" s="212">
        <v>2.4874906000000001</v>
      </c>
      <c r="AZ48" s="212" t="s">
        <v>830</v>
      </c>
      <c r="BA48" s="212">
        <v>1.857988623</v>
      </c>
      <c r="BB48" s="212">
        <v>2.3620101</v>
      </c>
      <c r="BC48" s="212">
        <v>2.9598450000000001</v>
      </c>
      <c r="BD48" s="212">
        <v>1.074684</v>
      </c>
      <c r="BE48" s="212">
        <v>1.0583640000000001</v>
      </c>
      <c r="BF48" s="212">
        <v>1.047752</v>
      </c>
      <c r="BG48" s="212">
        <v>1.0698650000000001</v>
      </c>
      <c r="BH48" s="212">
        <v>1.053857</v>
      </c>
      <c r="BI48" s="212">
        <v>1.2028220000000001</v>
      </c>
      <c r="BJ48" s="212">
        <v>1.077812</v>
      </c>
      <c r="BK48" s="212">
        <v>1.1728179999999999</v>
      </c>
      <c r="BL48" s="212">
        <v>1.196852</v>
      </c>
      <c r="BM48" s="212">
        <v>1.1960299999999999</v>
      </c>
      <c r="BN48" s="212">
        <v>1.0494680000000001</v>
      </c>
      <c r="BO48" s="212">
        <v>1.1209819999999999</v>
      </c>
      <c r="BP48" s="212">
        <v>2.6024430000000001</v>
      </c>
      <c r="BQ48" s="212">
        <v>1.3545259999999999</v>
      </c>
      <c r="BR48" s="212">
        <v>1.426267</v>
      </c>
      <c r="BS48" s="212">
        <v>1.224507</v>
      </c>
      <c r="BT48" s="212">
        <v>1.7056770000000001</v>
      </c>
      <c r="BU48" s="212">
        <v>1.6916089999999999</v>
      </c>
      <c r="BV48" s="212">
        <v>1.873572</v>
      </c>
      <c r="BW48" s="212">
        <v>1.7151380000000001</v>
      </c>
      <c r="BX48" s="212">
        <v>1.687811</v>
      </c>
      <c r="BY48" s="212">
        <v>1.678663</v>
      </c>
      <c r="BZ48" s="212">
        <v>1.932347</v>
      </c>
      <c r="CA48" s="212">
        <v>1.867942</v>
      </c>
      <c r="CB48" s="212">
        <v>1.882951</v>
      </c>
      <c r="CC48" s="212">
        <v>1.825204</v>
      </c>
      <c r="CD48" s="212">
        <v>1.826049</v>
      </c>
      <c r="CE48" s="212">
        <v>1.775625</v>
      </c>
      <c r="CF48" s="212">
        <v>1.0958939999999999</v>
      </c>
      <c r="CG48" s="212">
        <v>1.2572950000000001</v>
      </c>
      <c r="CH48" s="212">
        <v>1.274834</v>
      </c>
      <c r="CI48" s="212">
        <v>2.814006</v>
      </c>
      <c r="CJ48" s="212">
        <v>0.87752600000000003</v>
      </c>
      <c r="CK48" s="212">
        <v>0.951071</v>
      </c>
      <c r="CL48" s="212">
        <v>0.60549799999999998</v>
      </c>
      <c r="CM48" s="212">
        <v>2.6499809999999999</v>
      </c>
      <c r="CN48" s="212">
        <v>1.980871</v>
      </c>
      <c r="CO48" s="212">
        <v>0.947828</v>
      </c>
      <c r="CP48" s="212">
        <v>0.97855499999999995</v>
      </c>
      <c r="CQ48" s="212">
        <v>1.257849</v>
      </c>
      <c r="CR48" s="212">
        <v>13.693002</v>
      </c>
      <c r="CS48" s="212">
        <v>4.2710419999999996</v>
      </c>
      <c r="CT48" s="212">
        <v>1.9325589999999999</v>
      </c>
      <c r="CU48" s="212">
        <v>5.157565</v>
      </c>
      <c r="CV48" s="212">
        <v>9.1837049999999998</v>
      </c>
      <c r="CW48" s="212" t="s">
        <v>830</v>
      </c>
      <c r="CX48" s="212">
        <v>1.2014496104000001</v>
      </c>
      <c r="CY48" s="212">
        <v>1.9803183231000001</v>
      </c>
      <c r="CZ48" s="212">
        <v>1.1489400080000001</v>
      </c>
      <c r="DA48" s="212">
        <v>14.249325491</v>
      </c>
      <c r="DB48" s="212">
        <v>1.0838509999999999</v>
      </c>
      <c r="DC48" s="212">
        <v>1.0712410000000001</v>
      </c>
      <c r="DD48" s="212">
        <v>1.8879859999999999</v>
      </c>
      <c r="DE48" s="212">
        <v>1.8075110000000001</v>
      </c>
      <c r="DF48" s="212">
        <v>1.7502310000000001</v>
      </c>
      <c r="DG48" s="212">
        <v>1.01551864</v>
      </c>
      <c r="DH48" s="212">
        <v>123.59694648</v>
      </c>
      <c r="DI48" s="212">
        <v>0.2532046</v>
      </c>
      <c r="DJ48" s="212">
        <v>2.0441725000000002</v>
      </c>
      <c r="DK48" s="212">
        <v>1.92366875</v>
      </c>
      <c r="DL48" s="212">
        <v>150404.88779000001</v>
      </c>
      <c r="DM48" s="212">
        <v>333.63932929999999</v>
      </c>
      <c r="DN48" s="212">
        <v>16.211219799999999</v>
      </c>
      <c r="DO48" s="212" t="s">
        <v>830</v>
      </c>
      <c r="DP48" s="212">
        <v>18091481.863000002</v>
      </c>
      <c r="DQ48" s="212">
        <v>1.3560913999999999</v>
      </c>
      <c r="DR48" s="212">
        <v>14.5363863</v>
      </c>
      <c r="DS48" s="212">
        <v>21.300197600000001</v>
      </c>
      <c r="DT48" s="212">
        <v>1.8000847</v>
      </c>
      <c r="DU48" s="212">
        <v>1.0119161999999999</v>
      </c>
      <c r="DV48" s="212">
        <v>1665.9197059999999</v>
      </c>
      <c r="DW48" s="212">
        <v>23049.447380000001</v>
      </c>
      <c r="DX48" s="212">
        <v>0.814004599</v>
      </c>
      <c r="DY48" s="212">
        <v>9.3267330000000008</v>
      </c>
      <c r="DZ48" s="212">
        <v>222.674926</v>
      </c>
      <c r="EA48" s="212">
        <v>17.686631999999999</v>
      </c>
      <c r="EB48" s="212">
        <v>20.618791999999999</v>
      </c>
      <c r="EC48" s="212">
        <v>19.055122000000001</v>
      </c>
      <c r="ED48" s="212">
        <v>2215.8957780000001</v>
      </c>
      <c r="EE48" s="212">
        <v>22.722767999999999</v>
      </c>
      <c r="EF48" s="212">
        <v>33.985031999999997</v>
      </c>
      <c r="EG48" s="212">
        <v>1.3921513000000001</v>
      </c>
      <c r="EH48" s="212">
        <v>0.64315900000000004</v>
      </c>
      <c r="EI48" s="212">
        <v>1.1505787000000001</v>
      </c>
      <c r="EJ48" s="212" t="s">
        <v>830</v>
      </c>
      <c r="EK48" s="212">
        <v>1.6077035</v>
      </c>
      <c r="EL48" s="212">
        <v>2.6995252999999999</v>
      </c>
      <c r="EM48">
        <v>1.2803879600000001</v>
      </c>
      <c r="EN48">
        <v>2.2768172999999998</v>
      </c>
      <c r="EO48">
        <v>1.3800110000000001</v>
      </c>
      <c r="EP48">
        <v>257.864284</v>
      </c>
      <c r="EQ48">
        <v>182.70099400000001</v>
      </c>
      <c r="ER48">
        <v>15.986132</v>
      </c>
      <c r="ES48">
        <v>14.0265001</v>
      </c>
      <c r="ET48">
        <v>8.7512623000000005</v>
      </c>
      <c r="EU48">
        <v>187.27807899999999</v>
      </c>
      <c r="EV48">
        <v>109.3822243</v>
      </c>
      <c r="EW48">
        <v>17.524996600000001</v>
      </c>
      <c r="EX48">
        <v>101.3900452</v>
      </c>
      <c r="EY48">
        <v>2.1209587999999999</v>
      </c>
      <c r="EZ48">
        <v>2285.1925354</v>
      </c>
      <c r="FA48" s="223">
        <v>8.3286490000000004</v>
      </c>
      <c r="FB48" s="223">
        <v>0.93862310000000004</v>
      </c>
      <c r="FC48" s="223">
        <v>1.9296974</v>
      </c>
      <c r="FD48">
        <v>2.8078859</v>
      </c>
      <c r="FE48">
        <v>1.2260922000000001</v>
      </c>
      <c r="FF48">
        <v>1.6125058000000001</v>
      </c>
      <c r="FG48">
        <v>0.75984721</v>
      </c>
      <c r="FH48">
        <v>1.1241940100000001</v>
      </c>
      <c r="FI48">
        <v>1.06368303</v>
      </c>
      <c r="FJ48">
        <v>106.5991444</v>
      </c>
    </row>
    <row r="49" spans="1:166" x14ac:dyDescent="0.3">
      <c r="A49" s="223">
        <v>48</v>
      </c>
      <c r="B49" s="315">
        <v>42381</v>
      </c>
      <c r="C49" s="212">
        <v>1015350.6566</v>
      </c>
      <c r="D49" s="212">
        <v>104.21709075</v>
      </c>
      <c r="E49" s="212">
        <v>1.3571222000000001</v>
      </c>
      <c r="F49" s="212">
        <v>6.6611354</v>
      </c>
      <c r="G49" s="212">
        <v>4.4598429550000001</v>
      </c>
      <c r="H49" s="212">
        <v>3.8043045480000002</v>
      </c>
      <c r="I49" s="212">
        <v>0.98397887799999995</v>
      </c>
      <c r="J49" s="212">
        <v>4.3252199999999998</v>
      </c>
      <c r="K49" s="212">
        <v>3.0691039999999998</v>
      </c>
      <c r="L49" s="212">
        <v>10.51867154</v>
      </c>
      <c r="M49" s="212">
        <v>0.85812952899999995</v>
      </c>
      <c r="N49" s="212">
        <v>1.13247147</v>
      </c>
      <c r="O49" s="212">
        <v>1.938437747</v>
      </c>
      <c r="P49" s="212">
        <v>1.292204871</v>
      </c>
      <c r="Q49" s="212">
        <v>1.5358879999999999</v>
      </c>
      <c r="R49" s="212">
        <v>1.725205152</v>
      </c>
      <c r="S49" s="212">
        <v>12.069910999999999</v>
      </c>
      <c r="T49" s="212">
        <v>2.8440986719999999</v>
      </c>
      <c r="U49" s="212">
        <v>3.2049411010000002</v>
      </c>
      <c r="V49" s="212">
        <v>1.5562106010000001</v>
      </c>
      <c r="W49" s="212">
        <v>1.327867965</v>
      </c>
      <c r="X49" s="212">
        <v>3.3344612690000002</v>
      </c>
      <c r="Y49" s="212">
        <v>1.834552</v>
      </c>
      <c r="Z49" s="212">
        <v>1.6007439999999999</v>
      </c>
      <c r="AA49" s="212">
        <v>1.291387359</v>
      </c>
      <c r="AB49" s="212">
        <v>1.1140019329999999</v>
      </c>
      <c r="AC49" s="212">
        <v>1.122242714</v>
      </c>
      <c r="AD49" s="212">
        <v>1.305594683</v>
      </c>
      <c r="AE49" s="212">
        <v>1.3035262729999999</v>
      </c>
      <c r="AF49" s="212">
        <v>1.2547377790000001</v>
      </c>
      <c r="AG49" s="212">
        <v>9.1921148210000005</v>
      </c>
      <c r="AH49" s="212">
        <v>1.7440728329999999</v>
      </c>
      <c r="AI49" s="212">
        <v>3.7316379999999998</v>
      </c>
      <c r="AJ49" s="212">
        <v>2.3168660000000001</v>
      </c>
      <c r="AK49" s="212">
        <v>192.55150395000001</v>
      </c>
      <c r="AL49" s="212">
        <v>1.0529439</v>
      </c>
      <c r="AM49" s="212">
        <v>1.8465925000000001</v>
      </c>
      <c r="AN49" s="212">
        <v>8.5093905999999997</v>
      </c>
      <c r="AO49" s="212">
        <v>1.7379893</v>
      </c>
      <c r="AP49" s="212">
        <v>1.7322268000000001</v>
      </c>
      <c r="AQ49" s="212">
        <v>2.4127502999999999</v>
      </c>
      <c r="AR49" s="212">
        <v>8.4769252000000002</v>
      </c>
      <c r="AS49" s="212">
        <v>316.8155802</v>
      </c>
      <c r="AT49" s="212">
        <v>1.0982934</v>
      </c>
      <c r="AU49" s="212">
        <v>2.9824609999999998</v>
      </c>
      <c r="AV49" s="212">
        <v>2.4970772999999999</v>
      </c>
      <c r="AW49" s="212">
        <v>1.5202671999999999</v>
      </c>
      <c r="AX49" s="212">
        <v>1.1956526999999999</v>
      </c>
      <c r="AY49" s="212">
        <v>2.4899479000000002</v>
      </c>
      <c r="AZ49" s="212" t="s">
        <v>830</v>
      </c>
      <c r="BA49" s="212">
        <v>1.858943223</v>
      </c>
      <c r="BB49" s="212">
        <v>2.3649545999999999</v>
      </c>
      <c r="BC49" s="212">
        <v>2.9615200000000002</v>
      </c>
      <c r="BD49" s="212">
        <v>1.07541</v>
      </c>
      <c r="BE49" s="212">
        <v>1.0590790000000001</v>
      </c>
      <c r="BF49" s="212">
        <v>1.0484599999999999</v>
      </c>
      <c r="BG49" s="212">
        <v>1.0705880000000001</v>
      </c>
      <c r="BH49" s="212">
        <v>1.0545690000000001</v>
      </c>
      <c r="BI49" s="212">
        <v>1.2036530000000001</v>
      </c>
      <c r="BJ49" s="212">
        <v>1.0790390000000001</v>
      </c>
      <c r="BK49" s="212">
        <v>1.1745190000000001</v>
      </c>
      <c r="BL49" s="212">
        <v>1.197675</v>
      </c>
      <c r="BM49" s="212">
        <v>1.1968570000000001</v>
      </c>
      <c r="BN49" s="212">
        <v>1.050549</v>
      </c>
      <c r="BO49" s="212">
        <v>1.122263</v>
      </c>
      <c r="BP49" s="212">
        <v>2.6038039999999998</v>
      </c>
      <c r="BQ49" s="212">
        <v>1.355191</v>
      </c>
      <c r="BR49" s="212">
        <v>1.427907</v>
      </c>
      <c r="BS49" s="212">
        <v>1.2262</v>
      </c>
      <c r="BT49" s="212">
        <v>1.7073579999999999</v>
      </c>
      <c r="BU49" s="212">
        <v>1.692814</v>
      </c>
      <c r="BV49" s="212">
        <v>1.8748229999999999</v>
      </c>
      <c r="BW49" s="212">
        <v>1.7163269999999999</v>
      </c>
      <c r="BX49" s="212">
        <v>1.688985</v>
      </c>
      <c r="BY49" s="212">
        <v>1.6798109999999999</v>
      </c>
      <c r="BZ49" s="212">
        <v>1.9337420000000001</v>
      </c>
      <c r="CA49" s="212">
        <v>1.8692</v>
      </c>
      <c r="CB49" s="212">
        <v>1.8841540000000001</v>
      </c>
      <c r="CC49" s="212">
        <v>1.826465</v>
      </c>
      <c r="CD49" s="212">
        <v>1.82731</v>
      </c>
      <c r="CE49" s="212">
        <v>1.776786</v>
      </c>
      <c r="CF49" s="212">
        <v>1.0967169999999999</v>
      </c>
      <c r="CG49" s="212">
        <v>1.2587889999999999</v>
      </c>
      <c r="CH49" s="212">
        <v>1.276165</v>
      </c>
      <c r="CI49" s="212">
        <v>2.8156219999999998</v>
      </c>
      <c r="CJ49" s="212">
        <v>0.87751800000000002</v>
      </c>
      <c r="CK49" s="212">
        <v>0.95077900000000004</v>
      </c>
      <c r="CL49" s="212">
        <v>0.60138000000000003</v>
      </c>
      <c r="CM49" s="212">
        <v>2.6285349999999998</v>
      </c>
      <c r="CN49" s="212">
        <v>1.9996510000000001</v>
      </c>
      <c r="CO49" s="212">
        <v>0.95664899999999997</v>
      </c>
      <c r="CP49" s="212">
        <v>0.98051100000000002</v>
      </c>
      <c r="CQ49" s="212">
        <v>1.258502</v>
      </c>
      <c r="CR49" s="212">
        <v>13.699365</v>
      </c>
      <c r="CS49" s="212">
        <v>4.273091</v>
      </c>
      <c r="CT49" s="212">
        <v>1.934793</v>
      </c>
      <c r="CU49" s="212">
        <v>5.159249</v>
      </c>
      <c r="CV49" s="212">
        <v>9.1879729999999995</v>
      </c>
      <c r="CW49" s="212" t="s">
        <v>830</v>
      </c>
      <c r="CX49" s="212">
        <v>1.2020813388</v>
      </c>
      <c r="CY49" s="212">
        <v>1.9826030867</v>
      </c>
      <c r="CZ49" s="212">
        <v>1.1496782528</v>
      </c>
      <c r="DA49" s="212">
        <v>14.256566922999999</v>
      </c>
      <c r="DB49" s="212">
        <v>1.084584</v>
      </c>
      <c r="DC49" s="212">
        <v>1.0724610000000001</v>
      </c>
      <c r="DD49" s="212">
        <v>1.8903179999999999</v>
      </c>
      <c r="DE49" s="212">
        <v>1.8098000000000001</v>
      </c>
      <c r="DF49" s="212">
        <v>1.7517670000000001</v>
      </c>
      <c r="DG49" s="212">
        <v>1.01657262</v>
      </c>
      <c r="DH49" s="212">
        <v>123.67062416</v>
      </c>
      <c r="DI49" s="212">
        <v>0.25331434000000003</v>
      </c>
      <c r="DJ49" s="212">
        <v>2.0451126999999998</v>
      </c>
      <c r="DK49" s="212">
        <v>1.9062762</v>
      </c>
      <c r="DL49" s="212">
        <v>150503.58389000001</v>
      </c>
      <c r="DM49" s="212">
        <v>333.8151699</v>
      </c>
      <c r="DN49" s="212">
        <v>16.220265300000001</v>
      </c>
      <c r="DO49" s="212" t="s">
        <v>830</v>
      </c>
      <c r="DP49" s="212">
        <v>18090296.752999999</v>
      </c>
      <c r="DQ49" s="212">
        <v>1.3701593000000001</v>
      </c>
      <c r="DR49" s="212">
        <v>14.5435818</v>
      </c>
      <c r="DS49" s="212">
        <v>21.3115217</v>
      </c>
      <c r="DT49" s="212">
        <v>1.7986358</v>
      </c>
      <c r="DU49" s="212">
        <v>1.0105419</v>
      </c>
      <c r="DV49" s="212">
        <v>1666.6688703</v>
      </c>
      <c r="DW49" s="212">
        <v>23046.345689999998</v>
      </c>
      <c r="DX49" s="212">
        <v>0.814941735</v>
      </c>
      <c r="DY49" s="212">
        <v>9.2662720000000007</v>
      </c>
      <c r="DZ49" s="212">
        <v>222.81951699999999</v>
      </c>
      <c r="EA49" s="212">
        <v>17.705285</v>
      </c>
      <c r="EB49" s="212">
        <v>20.6449</v>
      </c>
      <c r="EC49" s="212">
        <v>19.080003999999999</v>
      </c>
      <c r="ED49" s="212">
        <v>2217.0677470000001</v>
      </c>
      <c r="EE49" s="212">
        <v>22.728414000000001</v>
      </c>
      <c r="EF49" s="212">
        <v>34.002671999999997</v>
      </c>
      <c r="EG49" s="212">
        <v>1.3983418999999999</v>
      </c>
      <c r="EH49" s="212">
        <v>0.64336199999999999</v>
      </c>
      <c r="EI49" s="212">
        <v>1.1515316</v>
      </c>
      <c r="EJ49" s="212" t="s">
        <v>830</v>
      </c>
      <c r="EK49" s="212">
        <v>1.6101407999999999</v>
      </c>
      <c r="EL49" s="212">
        <v>2.7036180999999999</v>
      </c>
      <c r="EM49">
        <v>1.2805302300000001</v>
      </c>
      <c r="EN49">
        <v>2.2784640600000001</v>
      </c>
      <c r="EO49">
        <v>1.3806381000000001</v>
      </c>
      <c r="EP49">
        <v>258.01042999999999</v>
      </c>
      <c r="EQ49">
        <v>182.90973700000001</v>
      </c>
      <c r="ER49">
        <v>16.006490500000002</v>
      </c>
      <c r="ES49">
        <v>14.044972100000001</v>
      </c>
      <c r="ET49">
        <v>8.7558892000000004</v>
      </c>
      <c r="EU49">
        <v>187.5230396</v>
      </c>
      <c r="EV49">
        <v>109.6624623</v>
      </c>
      <c r="EW49">
        <v>17.540022799999999</v>
      </c>
      <c r="EX49">
        <v>101.4404498</v>
      </c>
      <c r="EY49">
        <v>1.9592883999999999</v>
      </c>
      <c r="EZ49">
        <v>2286.3662813000001</v>
      </c>
      <c r="FA49" s="223">
        <v>8.3322210000000005</v>
      </c>
      <c r="FB49" s="223">
        <v>0.93639249999999996</v>
      </c>
      <c r="FC49" s="223">
        <v>1.9323538</v>
      </c>
      <c r="FD49">
        <v>2.80931</v>
      </c>
      <c r="FE49">
        <v>1.2272017</v>
      </c>
      <c r="FF49">
        <v>1.6143919</v>
      </c>
      <c r="FG49">
        <v>0.75932010000000005</v>
      </c>
      <c r="FH49">
        <v>1.1245123800000001</v>
      </c>
      <c r="FI49">
        <v>1.0635984199999999</v>
      </c>
      <c r="FJ49">
        <v>106.58345072</v>
      </c>
    </row>
    <row r="50" spans="1:166" x14ac:dyDescent="0.3">
      <c r="A50" s="223">
        <v>49</v>
      </c>
      <c r="B50" s="315">
        <v>42382</v>
      </c>
      <c r="C50" s="212">
        <v>1015280.5749</v>
      </c>
      <c r="D50" s="212">
        <v>104.21274052</v>
      </c>
      <c r="E50" s="212">
        <v>1.3591747000000001</v>
      </c>
      <c r="F50" s="212">
        <v>6.6049265000000004</v>
      </c>
      <c r="G50" s="212">
        <v>4.464911496</v>
      </c>
      <c r="H50" s="212">
        <v>3.7326725129999998</v>
      </c>
      <c r="I50" s="212">
        <v>0.98276412499999999</v>
      </c>
      <c r="J50" s="212">
        <v>4.3274340000000002</v>
      </c>
      <c r="K50" s="212">
        <v>3.070227</v>
      </c>
      <c r="L50" s="212">
        <v>10.523328297000001</v>
      </c>
      <c r="M50" s="212">
        <v>0.84804327000000002</v>
      </c>
      <c r="N50" s="212">
        <v>1.119646878</v>
      </c>
      <c r="O50" s="212">
        <v>1.937511572</v>
      </c>
      <c r="P50" s="212">
        <v>1.2944888080000001</v>
      </c>
      <c r="Q50" s="212">
        <v>1.536667</v>
      </c>
      <c r="R50" s="212">
        <v>1.7280116139999999</v>
      </c>
      <c r="S50" s="212">
        <v>12.08928</v>
      </c>
      <c r="T50" s="212">
        <v>2.8489198579999999</v>
      </c>
      <c r="U50" s="212">
        <v>3.2104167669999999</v>
      </c>
      <c r="V50" s="212">
        <v>1.5589192169999999</v>
      </c>
      <c r="W50" s="212">
        <v>1.329362463</v>
      </c>
      <c r="X50" s="212">
        <v>3.3379325299999998</v>
      </c>
      <c r="Y50" s="212">
        <v>1.835904</v>
      </c>
      <c r="Z50" s="212">
        <v>1.601599</v>
      </c>
      <c r="AA50" s="212">
        <v>1.2937477049999999</v>
      </c>
      <c r="AB50" s="212">
        <v>1.115116652</v>
      </c>
      <c r="AC50" s="212">
        <v>1.123810588</v>
      </c>
      <c r="AD50" s="212">
        <v>1.3064950900000001</v>
      </c>
      <c r="AE50" s="212">
        <v>1.304427491</v>
      </c>
      <c r="AF50" s="212">
        <v>1.2570360869999999</v>
      </c>
      <c r="AG50" s="212">
        <v>9.1968295930000004</v>
      </c>
      <c r="AH50" s="212">
        <v>1.7457497209999999</v>
      </c>
      <c r="AI50" s="212">
        <v>3.7337069999999999</v>
      </c>
      <c r="AJ50" s="212">
        <v>2.3209680000000001</v>
      </c>
      <c r="AK50" s="212">
        <v>192.72875837999999</v>
      </c>
      <c r="AL50" s="212">
        <v>1.0548899</v>
      </c>
      <c r="AM50" s="212">
        <v>1.849815</v>
      </c>
      <c r="AN50" s="212">
        <v>8.5138484999999999</v>
      </c>
      <c r="AO50" s="212">
        <v>1.7395080999999999</v>
      </c>
      <c r="AP50" s="212">
        <v>1.7337492999999999</v>
      </c>
      <c r="AQ50" s="212">
        <v>2.4139971999999998</v>
      </c>
      <c r="AR50" s="212">
        <v>8.4813237000000008</v>
      </c>
      <c r="AS50" s="212">
        <v>312.24798629999998</v>
      </c>
      <c r="AT50" s="212">
        <v>1.0881875999999999</v>
      </c>
      <c r="AU50" s="212">
        <v>2.983914</v>
      </c>
      <c r="AV50" s="212">
        <v>2.5012653999999999</v>
      </c>
      <c r="AW50" s="212">
        <v>1.5230418999999999</v>
      </c>
      <c r="AX50" s="212">
        <v>1.1975568999999999</v>
      </c>
      <c r="AY50" s="212">
        <v>2.4928620000000001</v>
      </c>
      <c r="AZ50" s="212" t="s">
        <v>830</v>
      </c>
      <c r="BA50" s="212">
        <v>1.859898863</v>
      </c>
      <c r="BB50" s="212">
        <v>2.369208</v>
      </c>
      <c r="BC50" s="212">
        <v>2.9631370000000001</v>
      </c>
      <c r="BD50" s="212">
        <v>1.0763640000000001</v>
      </c>
      <c r="BE50" s="212">
        <v>1.0600179999999999</v>
      </c>
      <c r="BF50" s="212">
        <v>1.0493889999999999</v>
      </c>
      <c r="BG50" s="212">
        <v>1.071537</v>
      </c>
      <c r="BH50" s="212">
        <v>1.0555030000000001</v>
      </c>
      <c r="BI50" s="212">
        <v>1.204483</v>
      </c>
      <c r="BJ50" s="212">
        <v>1.0808720000000001</v>
      </c>
      <c r="BK50" s="212">
        <v>1.177128</v>
      </c>
      <c r="BL50" s="212">
        <v>1.198499</v>
      </c>
      <c r="BM50" s="212">
        <v>1.1976850000000001</v>
      </c>
      <c r="BN50" s="212">
        <v>1.0525960000000001</v>
      </c>
      <c r="BO50" s="212">
        <v>1.1250770000000001</v>
      </c>
      <c r="BP50" s="212">
        <v>2.6051630000000001</v>
      </c>
      <c r="BQ50" s="212">
        <v>1.355856</v>
      </c>
      <c r="BR50" s="212">
        <v>1.4301219999999999</v>
      </c>
      <c r="BS50" s="212">
        <v>1.228443</v>
      </c>
      <c r="BT50" s="212">
        <v>1.709247</v>
      </c>
      <c r="BU50" s="212">
        <v>1.6940189999999999</v>
      </c>
      <c r="BV50" s="212">
        <v>1.8760749999999999</v>
      </c>
      <c r="BW50" s="212">
        <v>1.7175180000000001</v>
      </c>
      <c r="BX50" s="212">
        <v>1.6901600000000001</v>
      </c>
      <c r="BY50" s="212">
        <v>1.68096</v>
      </c>
      <c r="BZ50" s="212">
        <v>1.9351389999999999</v>
      </c>
      <c r="CA50" s="212">
        <v>1.870458</v>
      </c>
      <c r="CB50" s="212">
        <v>1.8853580000000001</v>
      </c>
      <c r="CC50" s="212">
        <v>1.8277270000000001</v>
      </c>
      <c r="CD50" s="212">
        <v>1.8285720000000001</v>
      </c>
      <c r="CE50" s="212">
        <v>1.7779480000000001</v>
      </c>
      <c r="CF50" s="212">
        <v>1.097542</v>
      </c>
      <c r="CG50" s="212">
        <v>1.2602249999999999</v>
      </c>
      <c r="CH50" s="212">
        <v>1.2773760000000001</v>
      </c>
      <c r="CI50" s="212">
        <v>2.8171780000000002</v>
      </c>
      <c r="CJ50" s="212">
        <v>0.83506499999999995</v>
      </c>
      <c r="CK50" s="212">
        <v>0.90575700000000003</v>
      </c>
      <c r="CL50" s="212">
        <v>0.59302699999999997</v>
      </c>
      <c r="CM50" s="212">
        <v>2.5669279999999999</v>
      </c>
      <c r="CN50" s="212">
        <v>1.957711</v>
      </c>
      <c r="CO50" s="212">
        <v>0.95081599999999999</v>
      </c>
      <c r="CP50" s="212">
        <v>0.98063500000000003</v>
      </c>
      <c r="CQ50" s="212">
        <v>1.259155</v>
      </c>
      <c r="CR50" s="212">
        <v>13.705726</v>
      </c>
      <c r="CS50" s="212">
        <v>4.2751279999999996</v>
      </c>
      <c r="CT50" s="212">
        <v>1.9376610000000001</v>
      </c>
      <c r="CU50" s="212">
        <v>5.1609309999999997</v>
      </c>
      <c r="CV50" s="212">
        <v>9.1922329999999999</v>
      </c>
      <c r="CW50" s="212" t="s">
        <v>830</v>
      </c>
      <c r="CX50" s="212">
        <v>1.2027086788000001</v>
      </c>
      <c r="CY50" s="212">
        <v>1.9850579209999999</v>
      </c>
      <c r="CZ50" s="212">
        <v>1.1503673134000001</v>
      </c>
      <c r="DA50" s="212">
        <v>14.263823407</v>
      </c>
      <c r="DB50" s="212">
        <v>1.0855459999999999</v>
      </c>
      <c r="DC50" s="212">
        <v>1.074282</v>
      </c>
      <c r="DD50" s="212">
        <v>1.8932979999999999</v>
      </c>
      <c r="DE50" s="212">
        <v>1.812789</v>
      </c>
      <c r="DF50" s="212">
        <v>1.753071</v>
      </c>
      <c r="DG50" s="212">
        <v>1.01795988</v>
      </c>
      <c r="DH50" s="212">
        <v>123.74414086</v>
      </c>
      <c r="DI50" s="212">
        <v>0.25343853</v>
      </c>
      <c r="DJ50" s="212">
        <v>2.0460530000000001</v>
      </c>
      <c r="DK50" s="212">
        <v>1.90624343</v>
      </c>
      <c r="DL50" s="212">
        <v>150602.34461999999</v>
      </c>
      <c r="DM50" s="212">
        <v>334.08819140000003</v>
      </c>
      <c r="DN50" s="212">
        <v>16.230137800000001</v>
      </c>
      <c r="DO50" s="212" t="s">
        <v>830</v>
      </c>
      <c r="DP50" s="212">
        <v>18089111.717999998</v>
      </c>
      <c r="DQ50" s="212">
        <v>1.3864542</v>
      </c>
      <c r="DR50" s="212">
        <v>14.5507635</v>
      </c>
      <c r="DS50" s="212">
        <v>21.3227115</v>
      </c>
      <c r="DT50" s="212">
        <v>1.8042358999999999</v>
      </c>
      <c r="DU50" s="212">
        <v>1.0024588999999999</v>
      </c>
      <c r="DV50" s="212">
        <v>1666.657776</v>
      </c>
      <c r="DW50" s="212">
        <v>23038.875988</v>
      </c>
      <c r="DX50" s="212">
        <v>0.82529621500000006</v>
      </c>
      <c r="DY50" s="212">
        <v>9.1394110000000008</v>
      </c>
      <c r="DZ50" s="212">
        <v>222.94031000000001</v>
      </c>
      <c r="EA50" s="212">
        <v>17.723465000000001</v>
      </c>
      <c r="EB50" s="212">
        <v>20.677887999999999</v>
      </c>
      <c r="EC50" s="212">
        <v>19.113201</v>
      </c>
      <c r="ED50" s="212">
        <v>2218.2294980000001</v>
      </c>
      <c r="EE50" s="212">
        <v>22.748239999999999</v>
      </c>
      <c r="EF50" s="212">
        <v>34.020322</v>
      </c>
      <c r="EG50" s="212">
        <v>1.4077887</v>
      </c>
      <c r="EH50" s="212">
        <v>0.64356389999999997</v>
      </c>
      <c r="EI50" s="212">
        <v>1.1523251000000001</v>
      </c>
      <c r="EJ50" s="212" t="s">
        <v>830</v>
      </c>
      <c r="EK50" s="212">
        <v>1.6073873000000001</v>
      </c>
      <c r="EL50" s="212">
        <v>2.6989949000000002</v>
      </c>
      <c r="EM50">
        <v>1.2806705599999999</v>
      </c>
      <c r="EN50">
        <v>2.2801120099999999</v>
      </c>
      <c r="EO50">
        <v>1.3812682000000001</v>
      </c>
      <c r="EP50">
        <v>257.97855800000002</v>
      </c>
      <c r="EQ50">
        <v>183.18263400000001</v>
      </c>
      <c r="ER50">
        <v>16.032258299999999</v>
      </c>
      <c r="ES50">
        <v>14.0695646</v>
      </c>
      <c r="ET50">
        <v>8.7604656999999992</v>
      </c>
      <c r="EU50">
        <v>187.849808</v>
      </c>
      <c r="EV50">
        <v>109.1714484</v>
      </c>
      <c r="EW50">
        <v>17.552891599999999</v>
      </c>
      <c r="EX50">
        <v>101.4902708</v>
      </c>
      <c r="EY50">
        <v>1.9037440000000001</v>
      </c>
      <c r="EZ50">
        <v>2287.5251549</v>
      </c>
      <c r="FA50" s="223">
        <v>8.3357799999999997</v>
      </c>
      <c r="FB50" s="223">
        <v>0.92616419999999999</v>
      </c>
      <c r="FC50" s="223">
        <v>1.9358115</v>
      </c>
      <c r="FD50">
        <v>2.8107312000000002</v>
      </c>
      <c r="FE50">
        <v>1.2281348999999999</v>
      </c>
      <c r="FF50">
        <v>1.6162087000000001</v>
      </c>
      <c r="FG50">
        <v>0.75457450000000004</v>
      </c>
      <c r="FH50">
        <v>1.12461236</v>
      </c>
      <c r="FI50">
        <v>1.0635138</v>
      </c>
      <c r="FJ50">
        <v>106.62655915000001</v>
      </c>
    </row>
    <row r="51" spans="1:166" x14ac:dyDescent="0.3">
      <c r="A51" s="223">
        <v>50</v>
      </c>
      <c r="B51" s="315">
        <v>42383</v>
      </c>
      <c r="C51" s="212">
        <v>1015210.4917</v>
      </c>
      <c r="D51" s="212">
        <v>104.2028995</v>
      </c>
      <c r="E51" s="212">
        <v>1.3592761</v>
      </c>
      <c r="F51" s="212">
        <v>6.6007904000000002</v>
      </c>
      <c r="G51" s="212">
        <v>4.4728619006999999</v>
      </c>
      <c r="H51" s="212">
        <v>3.7052552429999999</v>
      </c>
      <c r="I51" s="212">
        <v>0.98493982199999996</v>
      </c>
      <c r="J51" s="212">
        <v>4.3296510000000001</v>
      </c>
      <c r="K51" s="212">
        <v>3.0713219999999999</v>
      </c>
      <c r="L51" s="212">
        <v>10.527857139</v>
      </c>
      <c r="M51" s="212">
        <v>0.85548083900000005</v>
      </c>
      <c r="N51" s="212">
        <v>1.1282691170000001</v>
      </c>
      <c r="O51" s="212">
        <v>1.9416131489999999</v>
      </c>
      <c r="P51" s="212">
        <v>1.294256369</v>
      </c>
      <c r="Q51" s="212">
        <v>1.5374190000000001</v>
      </c>
      <c r="R51" s="212">
        <v>1.728541122</v>
      </c>
      <c r="S51" s="212">
        <v>12.092694</v>
      </c>
      <c r="T51" s="212">
        <v>2.8459572149999999</v>
      </c>
      <c r="U51" s="212">
        <v>3.2070960529999999</v>
      </c>
      <c r="V51" s="212">
        <v>1.5558276740000001</v>
      </c>
      <c r="W51" s="212">
        <v>1.3284708430000001</v>
      </c>
      <c r="X51" s="212">
        <v>3.3340262190000001</v>
      </c>
      <c r="Y51" s="212">
        <v>1.836794</v>
      </c>
      <c r="Z51" s="212">
        <v>1.6024320000000001</v>
      </c>
      <c r="AA51" s="212">
        <v>1.2929048000000001</v>
      </c>
      <c r="AB51" s="212">
        <v>1.115744238</v>
      </c>
      <c r="AC51" s="212">
        <v>1.1241353789999999</v>
      </c>
      <c r="AD51" s="212">
        <v>1.3073961249999999</v>
      </c>
      <c r="AE51" s="212">
        <v>1.3053293130000001</v>
      </c>
      <c r="AF51" s="212">
        <v>1.2562996390000001</v>
      </c>
      <c r="AG51" s="212">
        <v>9.2015459429999993</v>
      </c>
      <c r="AH51" s="212">
        <v>1.74685537</v>
      </c>
      <c r="AI51" s="212">
        <v>3.7355779999999998</v>
      </c>
      <c r="AJ51" s="212">
        <v>2.318651</v>
      </c>
      <c r="AK51" s="212">
        <v>192.77292919999999</v>
      </c>
      <c r="AL51" s="212">
        <v>1.0548835999999999</v>
      </c>
      <c r="AM51" s="212">
        <v>1.8478730999999999</v>
      </c>
      <c r="AN51" s="212">
        <v>8.5183149</v>
      </c>
      <c r="AO51" s="212">
        <v>1.7408075999999999</v>
      </c>
      <c r="AP51" s="212">
        <v>1.7350402</v>
      </c>
      <c r="AQ51" s="212">
        <v>2.4152391999999998</v>
      </c>
      <c r="AR51" s="212">
        <v>8.4857206999999999</v>
      </c>
      <c r="AS51" s="212">
        <v>316.73445579999998</v>
      </c>
      <c r="AT51" s="212">
        <v>1.0840592</v>
      </c>
      <c r="AU51" s="212">
        <v>2.9853703</v>
      </c>
      <c r="AV51" s="212">
        <v>2.4986899</v>
      </c>
      <c r="AW51" s="212">
        <v>1.5199811999999999</v>
      </c>
      <c r="AX51" s="212">
        <v>1.1978903000000001</v>
      </c>
      <c r="AY51" s="212">
        <v>2.4911029999999998</v>
      </c>
      <c r="AZ51" s="212" t="s">
        <v>830</v>
      </c>
      <c r="BA51" s="212">
        <v>1.8608546939999999</v>
      </c>
      <c r="BB51" s="212">
        <v>2.3670059999999999</v>
      </c>
      <c r="BC51" s="212">
        <v>2.964566</v>
      </c>
      <c r="BD51" s="212">
        <v>1.0770379999999999</v>
      </c>
      <c r="BE51" s="212">
        <v>1.060683</v>
      </c>
      <c r="BF51" s="212">
        <v>1.050047</v>
      </c>
      <c r="BG51" s="212">
        <v>1.072208</v>
      </c>
      <c r="BH51" s="212">
        <v>1.0561640000000001</v>
      </c>
      <c r="BI51" s="212">
        <v>1.2053149999999999</v>
      </c>
      <c r="BJ51" s="212">
        <v>1.0810569999999999</v>
      </c>
      <c r="BK51" s="212">
        <v>1.1770579999999999</v>
      </c>
      <c r="BL51" s="212">
        <v>1.1993240000000001</v>
      </c>
      <c r="BM51" s="212">
        <v>1.1985129999999999</v>
      </c>
      <c r="BN51" s="212">
        <v>1.0517449999999999</v>
      </c>
      <c r="BO51" s="212">
        <v>1.121899</v>
      </c>
      <c r="BP51" s="212">
        <v>2.6065339999999999</v>
      </c>
      <c r="BQ51" s="212">
        <v>1.356522</v>
      </c>
      <c r="BR51" s="212">
        <v>1.4305669999999999</v>
      </c>
      <c r="BS51" s="212">
        <v>1.2260629999999999</v>
      </c>
      <c r="BT51" s="212">
        <v>1.708083</v>
      </c>
      <c r="BU51" s="212">
        <v>1.6952069999999999</v>
      </c>
      <c r="BV51" s="212">
        <v>1.8773280000000001</v>
      </c>
      <c r="BW51" s="212">
        <v>1.7187380000000001</v>
      </c>
      <c r="BX51" s="212">
        <v>1.6910700000000001</v>
      </c>
      <c r="BY51" s="212">
        <v>1.6817759999999999</v>
      </c>
      <c r="BZ51" s="212">
        <v>1.936625</v>
      </c>
      <c r="CA51" s="212">
        <v>1.8717170000000001</v>
      </c>
      <c r="CB51" s="212">
        <v>1.886563</v>
      </c>
      <c r="CC51" s="212">
        <v>1.828989</v>
      </c>
      <c r="CD51" s="212">
        <v>1.8298350000000001</v>
      </c>
      <c r="CE51" s="212">
        <v>1.779158</v>
      </c>
      <c r="CF51" s="212">
        <v>1.101985</v>
      </c>
      <c r="CG51" s="212">
        <v>1.256751</v>
      </c>
      <c r="CH51" s="212">
        <v>1.2757750000000001</v>
      </c>
      <c r="CI51" s="212">
        <v>2.8185519999999999</v>
      </c>
      <c r="CJ51" s="212">
        <v>0.84678900000000001</v>
      </c>
      <c r="CK51" s="212">
        <v>0.91845600000000005</v>
      </c>
      <c r="CL51" s="212">
        <v>0.598464</v>
      </c>
      <c r="CM51" s="212">
        <v>2.6026009999999999</v>
      </c>
      <c r="CN51" s="212">
        <v>1.986103</v>
      </c>
      <c r="CO51" s="212">
        <v>0.95593099999999998</v>
      </c>
      <c r="CP51" s="212">
        <v>0.98342799999999997</v>
      </c>
      <c r="CQ51" s="212">
        <v>1.259808</v>
      </c>
      <c r="CR51" s="212">
        <v>13.712076</v>
      </c>
      <c r="CS51" s="212">
        <v>4.2771660000000002</v>
      </c>
      <c r="CT51" s="212">
        <v>1.936504</v>
      </c>
      <c r="CU51" s="212">
        <v>5.1626149999999997</v>
      </c>
      <c r="CV51" s="212">
        <v>9.1964930000000003</v>
      </c>
      <c r="CW51" s="212" t="s">
        <v>830</v>
      </c>
      <c r="CX51" s="212">
        <v>1.2033355979</v>
      </c>
      <c r="CY51" s="212">
        <v>1.9883160127999999</v>
      </c>
      <c r="CZ51" s="212">
        <v>1.1509513722</v>
      </c>
      <c r="DA51" s="212">
        <v>14.271057603999999</v>
      </c>
      <c r="DB51" s="212">
        <v>1.0862259999999999</v>
      </c>
      <c r="DC51" s="212">
        <v>1.0744659999999999</v>
      </c>
      <c r="DD51" s="212">
        <v>1.893761</v>
      </c>
      <c r="DE51" s="212">
        <v>1.8109090000000001</v>
      </c>
      <c r="DF51" s="212">
        <v>1.753927</v>
      </c>
      <c r="DG51" s="212">
        <v>1.0167122399999999</v>
      </c>
      <c r="DH51" s="212">
        <v>123.81796581</v>
      </c>
      <c r="DI51" s="212">
        <v>0.25349191999999998</v>
      </c>
      <c r="DJ51" s="212">
        <v>2.0469933</v>
      </c>
      <c r="DK51" s="212">
        <v>1.90757395</v>
      </c>
      <c r="DL51" s="212">
        <v>150701.17021000001</v>
      </c>
      <c r="DM51" s="212">
        <v>334.0283215</v>
      </c>
      <c r="DN51" s="212">
        <v>16.2400175</v>
      </c>
      <c r="DO51" s="212" t="s">
        <v>830</v>
      </c>
      <c r="DP51" s="212">
        <v>18087926.760000002</v>
      </c>
      <c r="DQ51" s="212">
        <v>1.3922239999999999</v>
      </c>
      <c r="DR51" s="212">
        <v>14.557819</v>
      </c>
      <c r="DS51" s="212">
        <v>21.333863099999999</v>
      </c>
      <c r="DT51" s="212">
        <v>1.8047153</v>
      </c>
      <c r="DU51" s="212">
        <v>1.0057450999999999</v>
      </c>
      <c r="DV51" s="212">
        <v>1667.3978666999999</v>
      </c>
      <c r="DW51" s="212">
        <v>23035.774316999999</v>
      </c>
      <c r="DX51" s="212">
        <v>0.82018871299999996</v>
      </c>
      <c r="DY51" s="212">
        <v>9.2411499999999993</v>
      </c>
      <c r="DZ51" s="212">
        <v>223.03468699999999</v>
      </c>
      <c r="EA51" s="212">
        <v>17.702855</v>
      </c>
      <c r="EB51" s="212">
        <v>20.683641999999999</v>
      </c>
      <c r="EC51" s="212">
        <v>19.092644</v>
      </c>
      <c r="ED51" s="212">
        <v>2219.3947619999999</v>
      </c>
      <c r="EE51" s="212">
        <v>22.76502</v>
      </c>
      <c r="EF51" s="212">
        <v>34.037965999999997</v>
      </c>
      <c r="EG51" s="212">
        <v>1.3974519999999999</v>
      </c>
      <c r="EH51" s="212">
        <v>0.64376650000000002</v>
      </c>
      <c r="EI51" s="212">
        <v>1.1519467000000001</v>
      </c>
      <c r="EJ51" s="212" t="s">
        <v>830</v>
      </c>
      <c r="EK51" s="212">
        <v>1.6072078000000001</v>
      </c>
      <c r="EL51" s="212">
        <v>2.6986937000000002</v>
      </c>
      <c r="EM51">
        <v>1.28081255</v>
      </c>
      <c r="EN51">
        <v>2.2817611599999998</v>
      </c>
      <c r="EO51">
        <v>1.3819013</v>
      </c>
      <c r="EP51">
        <v>258.102553</v>
      </c>
      <c r="EQ51">
        <v>183.04170500000001</v>
      </c>
      <c r="ER51">
        <v>16.036632600000001</v>
      </c>
      <c r="ES51">
        <v>14.055140099999999</v>
      </c>
      <c r="ET51">
        <v>8.7650772999999997</v>
      </c>
      <c r="EU51">
        <v>187.65388780000001</v>
      </c>
      <c r="EV51">
        <v>108.5568798</v>
      </c>
      <c r="EW51">
        <v>17.561256400000001</v>
      </c>
      <c r="EX51">
        <v>101.5404884</v>
      </c>
      <c r="EY51">
        <v>2.023917</v>
      </c>
      <c r="EZ51">
        <v>2288.6942383999999</v>
      </c>
      <c r="FA51" s="223">
        <v>8.3393409999999992</v>
      </c>
      <c r="FB51" s="223">
        <v>0.93741580000000002</v>
      </c>
      <c r="FC51" s="223">
        <v>1.9336990999999999</v>
      </c>
      <c r="FD51">
        <v>2.8121532</v>
      </c>
      <c r="FE51">
        <v>1.2285744999999999</v>
      </c>
      <c r="FF51">
        <v>1.6145242</v>
      </c>
      <c r="FG51">
        <v>0.75326176</v>
      </c>
      <c r="FH51">
        <v>1.12469172</v>
      </c>
      <c r="FI51">
        <v>1.0633035399999999</v>
      </c>
      <c r="FJ51">
        <v>106.81683973</v>
      </c>
    </row>
    <row r="52" spans="1:166" x14ac:dyDescent="0.3">
      <c r="A52" s="223">
        <v>51</v>
      </c>
      <c r="B52" s="315">
        <v>42384</v>
      </c>
      <c r="C52" s="212">
        <v>1015140.4118999999</v>
      </c>
      <c r="D52" s="212">
        <v>104.33398651</v>
      </c>
      <c r="E52" s="212">
        <v>1.3595394000000001</v>
      </c>
      <c r="F52" s="212">
        <v>6.5925291000000001</v>
      </c>
      <c r="G52" s="212">
        <v>4.4666792834000004</v>
      </c>
      <c r="H52" s="212">
        <v>3.7231028190000002</v>
      </c>
      <c r="I52" s="212">
        <v>0.975481826</v>
      </c>
      <c r="J52" s="212">
        <v>4.3318690000000002</v>
      </c>
      <c r="K52" s="212">
        <v>3.0724260000000001</v>
      </c>
      <c r="L52" s="212">
        <v>10.532384722</v>
      </c>
      <c r="M52" s="212">
        <v>0.83826885200000001</v>
      </c>
      <c r="N52" s="212">
        <v>1.1076122799999999</v>
      </c>
      <c r="O52" s="212">
        <v>1.9399070380000001</v>
      </c>
      <c r="P52" s="212">
        <v>1.29448002</v>
      </c>
      <c r="Q52" s="212">
        <v>1.5381739999999999</v>
      </c>
      <c r="R52" s="212">
        <v>1.730005673</v>
      </c>
      <c r="S52" s="212">
        <v>12.099978999999999</v>
      </c>
      <c r="T52" s="212">
        <v>2.8452554220000001</v>
      </c>
      <c r="U52" s="212">
        <v>3.2064178480000001</v>
      </c>
      <c r="V52" s="212">
        <v>1.5545584910000001</v>
      </c>
      <c r="W52" s="212">
        <v>1.3281096450000001</v>
      </c>
      <c r="X52" s="212">
        <v>3.3310222729999999</v>
      </c>
      <c r="Y52" s="212">
        <v>1.8373820000000001</v>
      </c>
      <c r="Z52" s="212">
        <v>1.6032649999999999</v>
      </c>
      <c r="AA52" s="212">
        <v>1.292063164</v>
      </c>
      <c r="AB52" s="212">
        <v>1.1166076469999999</v>
      </c>
      <c r="AC52" s="212">
        <v>1.124796898</v>
      </c>
      <c r="AD52" s="212">
        <v>1.3082972829999999</v>
      </c>
      <c r="AE52" s="212">
        <v>1.3062312549999999</v>
      </c>
      <c r="AF52" s="212">
        <v>1.2558699179999999</v>
      </c>
      <c r="AG52" s="212">
        <v>9.20626167</v>
      </c>
      <c r="AH52" s="212">
        <v>1.7481481560000001</v>
      </c>
      <c r="AI52" s="212">
        <v>3.73746</v>
      </c>
      <c r="AJ52" s="212">
        <v>2.318206</v>
      </c>
      <c r="AK52" s="212">
        <v>192.82902651000001</v>
      </c>
      <c r="AL52" s="212">
        <v>1.0551797999999999</v>
      </c>
      <c r="AM52" s="212">
        <v>1.8474628</v>
      </c>
      <c r="AN52" s="212">
        <v>8.5228242000000005</v>
      </c>
      <c r="AO52" s="212">
        <v>1.741662</v>
      </c>
      <c r="AP52" s="212">
        <v>1.7358861999999999</v>
      </c>
      <c r="AQ52" s="212">
        <v>2.4164846999999998</v>
      </c>
      <c r="AR52" s="212">
        <v>8.4901233999999999</v>
      </c>
      <c r="AS52" s="212">
        <v>309.28074329999998</v>
      </c>
      <c r="AT52" s="212">
        <v>1.0698755</v>
      </c>
      <c r="AU52" s="212">
        <v>2.9868286999999998</v>
      </c>
      <c r="AV52" s="212">
        <v>2.4981393000000001</v>
      </c>
      <c r="AW52" s="212">
        <v>1.5188718000000001</v>
      </c>
      <c r="AX52" s="212">
        <v>1.1985995</v>
      </c>
      <c r="AY52" s="212">
        <v>2.4902413000000001</v>
      </c>
      <c r="AZ52" s="212" t="s">
        <v>830</v>
      </c>
      <c r="BA52" s="212">
        <v>1.861813062</v>
      </c>
      <c r="BB52" s="212">
        <v>2.3666429</v>
      </c>
      <c r="BC52" s="212">
        <v>2.9659779999999998</v>
      </c>
      <c r="BD52" s="212">
        <v>1.07782</v>
      </c>
      <c r="BE52" s="212">
        <v>1.061453</v>
      </c>
      <c r="BF52" s="212">
        <v>1.0508090000000001</v>
      </c>
      <c r="BG52" s="212">
        <v>1.0729869999999999</v>
      </c>
      <c r="BH52" s="212">
        <v>1.0569299999999999</v>
      </c>
      <c r="BI52" s="212">
        <v>1.2061459999999999</v>
      </c>
      <c r="BJ52" s="212">
        <v>1.082209</v>
      </c>
      <c r="BK52" s="212">
        <v>1.177233</v>
      </c>
      <c r="BL52" s="212">
        <v>1.2001489999999999</v>
      </c>
      <c r="BM52" s="212">
        <v>1.199341</v>
      </c>
      <c r="BN52" s="212">
        <v>1.0515019999999999</v>
      </c>
      <c r="BO52" s="212">
        <v>1.11981</v>
      </c>
      <c r="BP52" s="212">
        <v>2.6079059999999998</v>
      </c>
      <c r="BQ52" s="212">
        <v>1.3571869999999999</v>
      </c>
      <c r="BR52" s="212">
        <v>1.4317299999999999</v>
      </c>
      <c r="BS52" s="212">
        <v>1.2250760000000001</v>
      </c>
      <c r="BT52" s="212">
        <v>1.707608</v>
      </c>
      <c r="BU52" s="212">
        <v>1.6964140000000001</v>
      </c>
      <c r="BV52" s="212">
        <v>1.878582</v>
      </c>
      <c r="BW52" s="212">
        <v>1.71993</v>
      </c>
      <c r="BX52" s="212">
        <v>1.692272</v>
      </c>
      <c r="BY52" s="212">
        <v>1.6829270000000001</v>
      </c>
      <c r="BZ52" s="212">
        <v>1.9380219999999999</v>
      </c>
      <c r="CA52" s="212">
        <v>1.872976</v>
      </c>
      <c r="CB52" s="212">
        <v>1.887769</v>
      </c>
      <c r="CC52" s="212">
        <v>1.830252</v>
      </c>
      <c r="CD52" s="212">
        <v>1.831099</v>
      </c>
      <c r="CE52" s="212">
        <v>1.780321</v>
      </c>
      <c r="CF52" s="212">
        <v>1.1028070000000001</v>
      </c>
      <c r="CG52" s="212">
        <v>1.254235</v>
      </c>
      <c r="CH52" s="212">
        <v>1.274602</v>
      </c>
      <c r="CI52" s="212">
        <v>2.8198949999999998</v>
      </c>
      <c r="CJ52" s="212">
        <v>0.82715399999999994</v>
      </c>
      <c r="CK52" s="212">
        <v>0.89719300000000002</v>
      </c>
      <c r="CL52" s="212">
        <v>0.58547000000000005</v>
      </c>
      <c r="CM52" s="212">
        <v>2.5416530000000002</v>
      </c>
      <c r="CN52" s="212">
        <v>1.9393260000000001</v>
      </c>
      <c r="CO52" s="212">
        <v>0.94416299999999997</v>
      </c>
      <c r="CP52" s="212">
        <v>0.97708600000000001</v>
      </c>
      <c r="CQ52" s="212">
        <v>1.2604610000000001</v>
      </c>
      <c r="CR52" s="212">
        <v>13.718436000000001</v>
      </c>
      <c r="CS52" s="212">
        <v>4.2792050000000001</v>
      </c>
      <c r="CT52" s="212">
        <v>1.9364349999999999</v>
      </c>
      <c r="CU52" s="212">
        <v>5.1642989999999998</v>
      </c>
      <c r="CV52" s="212">
        <v>9.2007589999999997</v>
      </c>
      <c r="CW52" s="212" t="s">
        <v>830</v>
      </c>
      <c r="CX52" s="212">
        <v>1.2039637011</v>
      </c>
      <c r="CY52" s="212">
        <v>1.9859796212</v>
      </c>
      <c r="CZ52" s="212">
        <v>1.1514731746</v>
      </c>
      <c r="DA52" s="212">
        <v>14.278299085</v>
      </c>
      <c r="DB52" s="212">
        <v>1.0870150000000001</v>
      </c>
      <c r="DC52" s="212">
        <v>1.075612</v>
      </c>
      <c r="DD52" s="212">
        <v>1.894914</v>
      </c>
      <c r="DE52" s="212">
        <v>1.8103039999999999</v>
      </c>
      <c r="DF52" s="212">
        <v>1.7544869999999999</v>
      </c>
      <c r="DG52" s="212">
        <v>1.0158474200000001</v>
      </c>
      <c r="DH52" s="212">
        <v>123.89164252</v>
      </c>
      <c r="DI52" s="212">
        <v>0.25356403999999999</v>
      </c>
      <c r="DJ52" s="212">
        <v>2.0479341</v>
      </c>
      <c r="DK52" s="212">
        <v>1.90890537</v>
      </c>
      <c r="DL52" s="212">
        <v>150800.06022000001</v>
      </c>
      <c r="DM52" s="212">
        <v>334.20332209999998</v>
      </c>
      <c r="DN52" s="212">
        <v>16.249900199999999</v>
      </c>
      <c r="DO52" s="212" t="s">
        <v>830</v>
      </c>
      <c r="DP52" s="212">
        <v>18086740.897</v>
      </c>
      <c r="DQ52" s="212">
        <v>1.3878438</v>
      </c>
      <c r="DR52" s="212">
        <v>14.565007</v>
      </c>
      <c r="DS52" s="212">
        <v>21.3450551</v>
      </c>
      <c r="DT52" s="212">
        <v>1.8046176</v>
      </c>
      <c r="DU52" s="212">
        <v>0.99243769999999998</v>
      </c>
      <c r="DV52" s="212">
        <v>1668.1389766</v>
      </c>
      <c r="DW52" s="212">
        <v>23032.671331000001</v>
      </c>
      <c r="DX52" s="212">
        <v>0.82713176899999996</v>
      </c>
      <c r="DY52" s="212">
        <v>9.0376049999999992</v>
      </c>
      <c r="DZ52" s="212">
        <v>223.127455</v>
      </c>
      <c r="EA52" s="212">
        <v>17.687073000000002</v>
      </c>
      <c r="EB52" s="212">
        <v>20.695968000000001</v>
      </c>
      <c r="EC52" s="212">
        <v>19.088405999999999</v>
      </c>
      <c r="ED52" s="212">
        <v>2220.6621719999998</v>
      </c>
      <c r="EE52" s="212">
        <v>22.776266</v>
      </c>
      <c r="EF52" s="212">
        <v>34.055641000000001</v>
      </c>
      <c r="EG52" s="212">
        <v>1.3887875000000001</v>
      </c>
      <c r="EH52" s="212">
        <v>0.64396909999999996</v>
      </c>
      <c r="EI52" s="212">
        <v>1.1517211000000001</v>
      </c>
      <c r="EJ52" s="212" t="s">
        <v>830</v>
      </c>
      <c r="EK52" s="212">
        <v>1.604282</v>
      </c>
      <c r="EL52" s="212">
        <v>2.6937861999999999</v>
      </c>
      <c r="EM52">
        <v>1.28073726</v>
      </c>
      <c r="EN52">
        <v>2.2834115000000001</v>
      </c>
      <c r="EO52">
        <v>1.3825320000000001</v>
      </c>
      <c r="EP52">
        <v>258.28557699999999</v>
      </c>
      <c r="EQ52">
        <v>183.01421400000001</v>
      </c>
      <c r="ER52">
        <v>16.0463375</v>
      </c>
      <c r="ES52">
        <v>14.0521814</v>
      </c>
      <c r="ET52">
        <v>8.7696982999999999</v>
      </c>
      <c r="EU52">
        <v>187.61269849999999</v>
      </c>
      <c r="EV52">
        <v>106.977553</v>
      </c>
      <c r="EW52">
        <v>17.566658</v>
      </c>
      <c r="EX52">
        <v>101.5908137</v>
      </c>
      <c r="EY52">
        <v>1.8790719</v>
      </c>
      <c r="EZ52">
        <v>2289.8723024999999</v>
      </c>
      <c r="FA52" s="223">
        <v>8.3429120000000001</v>
      </c>
      <c r="FB52" s="223">
        <v>0.91693020000000003</v>
      </c>
      <c r="FC52" s="223">
        <v>1.9335667000000001</v>
      </c>
      <c r="FD52">
        <v>2.8136084000000001</v>
      </c>
      <c r="FE52">
        <v>1.2289289000000001</v>
      </c>
      <c r="FF52">
        <v>1.6132436000000001</v>
      </c>
      <c r="FG52">
        <v>0.74334058999999997</v>
      </c>
      <c r="FH52">
        <v>1.1242209999999999</v>
      </c>
      <c r="FI52">
        <v>1.0632189599999999</v>
      </c>
      <c r="FJ52">
        <v>106.74254197</v>
      </c>
    </row>
    <row r="53" spans="1:166" x14ac:dyDescent="0.3">
      <c r="A53" s="223">
        <v>52</v>
      </c>
      <c r="B53" s="315">
        <v>42387</v>
      </c>
      <c r="C53" s="212">
        <v>1015064.5488</v>
      </c>
      <c r="D53" s="212">
        <v>104.3144254</v>
      </c>
      <c r="E53" s="212">
        <v>1.3616387999999999</v>
      </c>
      <c r="F53" s="212">
        <v>6.5564593999999996</v>
      </c>
      <c r="G53" s="212">
        <v>4.4663940442000003</v>
      </c>
      <c r="H53" s="212">
        <v>3.7092721869999998</v>
      </c>
      <c r="I53" s="212">
        <v>0.96578657300000004</v>
      </c>
      <c r="J53" s="212">
        <v>4.3340870000000002</v>
      </c>
      <c r="K53" s="212">
        <v>3.073515</v>
      </c>
      <c r="L53" s="212">
        <v>10.536955841999999</v>
      </c>
      <c r="M53" s="212">
        <v>0.82651493700000001</v>
      </c>
      <c r="N53" s="212">
        <v>1.09464166</v>
      </c>
      <c r="O53" s="212">
        <v>1.938297747</v>
      </c>
      <c r="P53" s="212">
        <v>1.2972437560000001</v>
      </c>
      <c r="Q53" s="212">
        <v>1.5389269999999999</v>
      </c>
      <c r="R53" s="212">
        <v>1.7328100259999999</v>
      </c>
      <c r="S53" s="212">
        <v>12.119486999999999</v>
      </c>
      <c r="T53" s="212">
        <v>2.8515590639999999</v>
      </c>
      <c r="U53" s="212">
        <v>3.2135349500000001</v>
      </c>
      <c r="V53" s="212">
        <v>1.5586700250000001</v>
      </c>
      <c r="W53" s="212">
        <v>1.3299760899999999</v>
      </c>
      <c r="X53" s="212">
        <v>3.3354687240000001</v>
      </c>
      <c r="Y53" s="212">
        <v>1.8380780000000001</v>
      </c>
      <c r="Z53" s="212">
        <v>1.604104</v>
      </c>
      <c r="AA53" s="212">
        <v>1.295744462</v>
      </c>
      <c r="AB53" s="212">
        <v>1.1177086119999999</v>
      </c>
      <c r="AC53" s="212">
        <v>1.126537787</v>
      </c>
      <c r="AD53" s="212">
        <v>1.309255378</v>
      </c>
      <c r="AE53" s="212">
        <v>1.3071900359999999</v>
      </c>
      <c r="AF53" s="212">
        <v>1.2589715319999999</v>
      </c>
      <c r="AG53" s="212">
        <v>9.2109814799999992</v>
      </c>
      <c r="AH53" s="212">
        <v>1.7497019620000001</v>
      </c>
      <c r="AI53" s="212">
        <v>3.739525</v>
      </c>
      <c r="AJ53" s="212">
        <v>2.323429</v>
      </c>
      <c r="AK53" s="212">
        <v>193.06078371000001</v>
      </c>
      <c r="AL53" s="212">
        <v>1.0570857</v>
      </c>
      <c r="AM53" s="212">
        <v>1.8516048000000001</v>
      </c>
      <c r="AN53" s="212">
        <v>8.5273439999999994</v>
      </c>
      <c r="AO53" s="212">
        <v>1.7422282</v>
      </c>
      <c r="AP53" s="212">
        <v>1.7364473</v>
      </c>
      <c r="AQ53" s="212">
        <v>2.4177293</v>
      </c>
      <c r="AR53" s="212">
        <v>8.4945278999999996</v>
      </c>
      <c r="AS53" s="212">
        <v>304.25730429999999</v>
      </c>
      <c r="AT53" s="212">
        <v>1.0622638</v>
      </c>
      <c r="AU53" s="212">
        <v>2.9882876999999999</v>
      </c>
      <c r="AV53" s="212">
        <v>2.5035788000000001</v>
      </c>
      <c r="AW53" s="212">
        <v>1.5228721999999999</v>
      </c>
      <c r="AX53" s="212">
        <v>1.2004883</v>
      </c>
      <c r="AY53" s="212">
        <v>2.4929361000000001</v>
      </c>
      <c r="AZ53" s="212" t="s">
        <v>830</v>
      </c>
      <c r="BA53" s="212">
        <v>1.8627696650000001</v>
      </c>
      <c r="BB53" s="212">
        <v>2.3720238</v>
      </c>
      <c r="BC53" s="212">
        <v>2.967476</v>
      </c>
      <c r="BD53" s="212">
        <v>1.078721</v>
      </c>
      <c r="BE53" s="212">
        <v>1.0623389999999999</v>
      </c>
      <c r="BF53" s="212">
        <v>1.051687</v>
      </c>
      <c r="BG53" s="212">
        <v>1.0738829999999999</v>
      </c>
      <c r="BH53" s="212">
        <v>1.057812</v>
      </c>
      <c r="BI53" s="212">
        <v>1.20706</v>
      </c>
      <c r="BJ53" s="212">
        <v>1.0842719999999999</v>
      </c>
      <c r="BK53" s="212">
        <v>1.180293</v>
      </c>
      <c r="BL53" s="212">
        <v>1.201055</v>
      </c>
      <c r="BM53" s="212">
        <v>1.2002520000000001</v>
      </c>
      <c r="BN53" s="212">
        <v>1.054273</v>
      </c>
      <c r="BO53" s="212">
        <v>1.122984</v>
      </c>
      <c r="BP53" s="212">
        <v>2.6092680000000001</v>
      </c>
      <c r="BQ53" s="212">
        <v>1.357853</v>
      </c>
      <c r="BR53" s="212">
        <v>1.4340059999999999</v>
      </c>
      <c r="BS53" s="212">
        <v>1.228345</v>
      </c>
      <c r="BT53" s="212">
        <v>1.7099960000000001</v>
      </c>
      <c r="BU53" s="212">
        <v>1.6976329999999999</v>
      </c>
      <c r="BV53" s="212">
        <v>1.879837</v>
      </c>
      <c r="BW53" s="212">
        <v>1.721122</v>
      </c>
      <c r="BX53" s="212">
        <v>1.693487</v>
      </c>
      <c r="BY53" s="212">
        <v>1.6840919999999999</v>
      </c>
      <c r="BZ53" s="212">
        <v>1.9394199999999999</v>
      </c>
      <c r="CA53" s="212">
        <v>1.8742369999999999</v>
      </c>
      <c r="CB53" s="212">
        <v>1.888976</v>
      </c>
      <c r="CC53" s="212">
        <v>1.8315170000000001</v>
      </c>
      <c r="CD53" s="212">
        <v>1.832363</v>
      </c>
      <c r="CE53" s="212">
        <v>1.781485</v>
      </c>
      <c r="CF53" s="212">
        <v>1.103629</v>
      </c>
      <c r="CG53" s="212">
        <v>1.2569109999999999</v>
      </c>
      <c r="CH53" s="212">
        <v>1.2762690000000001</v>
      </c>
      <c r="CI53" s="212">
        <v>2.8213140000000001</v>
      </c>
      <c r="CJ53" s="212">
        <v>0.81370600000000004</v>
      </c>
      <c r="CK53" s="212">
        <v>0.88264100000000001</v>
      </c>
      <c r="CL53" s="212">
        <v>0.57639399999999996</v>
      </c>
      <c r="CM53" s="212">
        <v>2.5000710000000002</v>
      </c>
      <c r="CN53" s="212">
        <v>1.938874</v>
      </c>
      <c r="CO53" s="212">
        <v>0.93393599999999999</v>
      </c>
      <c r="CP53" s="212">
        <v>0.97412699999999997</v>
      </c>
      <c r="CQ53" s="212">
        <v>1.2611140000000001</v>
      </c>
      <c r="CR53" s="212">
        <v>13.724812999999999</v>
      </c>
      <c r="CS53" s="212">
        <v>4.2812239999999999</v>
      </c>
      <c r="CT53" s="212">
        <v>1.9401839999999999</v>
      </c>
      <c r="CU53" s="212">
        <v>5.1659839999999999</v>
      </c>
      <c r="CV53" s="212">
        <v>9.2050370000000008</v>
      </c>
      <c r="CW53" s="212" t="s">
        <v>830</v>
      </c>
      <c r="CX53" s="212">
        <v>1.2045928361</v>
      </c>
      <c r="CY53" s="212">
        <v>1.9856208012000001</v>
      </c>
      <c r="CZ53" s="212">
        <v>1.1519536574</v>
      </c>
      <c r="DA53" s="212">
        <v>14.285542785000001</v>
      </c>
      <c r="DB53" s="212">
        <v>1.087923</v>
      </c>
      <c r="DC53" s="212">
        <v>1.077663</v>
      </c>
      <c r="DD53" s="212">
        <v>1.897972</v>
      </c>
      <c r="DE53" s="212">
        <v>1.8145230000000001</v>
      </c>
      <c r="DF53" s="212">
        <v>1.755152</v>
      </c>
      <c r="DG53" s="212">
        <v>1.01708607</v>
      </c>
      <c r="DH53" s="212">
        <v>123.96553329</v>
      </c>
      <c r="DI53" s="212">
        <v>0.25215713000000001</v>
      </c>
      <c r="DJ53" s="212">
        <v>2.0488762</v>
      </c>
      <c r="DK53" s="212">
        <v>1.92294806</v>
      </c>
      <c r="DL53" s="212">
        <v>150899.01576000001</v>
      </c>
      <c r="DM53" s="212">
        <v>334.37740020000001</v>
      </c>
      <c r="DN53" s="212">
        <v>16.259255899999999</v>
      </c>
      <c r="DO53" s="212" t="s">
        <v>830</v>
      </c>
      <c r="DP53" s="212">
        <v>18085510.901000001</v>
      </c>
      <c r="DQ53" s="212">
        <v>1.3687602000000001</v>
      </c>
      <c r="DR53" s="212">
        <v>14.5721974</v>
      </c>
      <c r="DS53" s="212">
        <v>21.356265499999999</v>
      </c>
      <c r="DT53" s="212">
        <v>1.8076464999999999</v>
      </c>
      <c r="DU53" s="212">
        <v>0.98281110000000005</v>
      </c>
      <c r="DV53" s="212">
        <v>1668.870038</v>
      </c>
      <c r="DW53" s="212">
        <v>23029.571469999999</v>
      </c>
      <c r="DX53" s="212">
        <v>0.82730649999999994</v>
      </c>
      <c r="DY53" s="212">
        <v>8.8947730000000007</v>
      </c>
      <c r="DZ53" s="212">
        <v>223.23822999999999</v>
      </c>
      <c r="EA53" s="212">
        <v>17.710789999999999</v>
      </c>
      <c r="EB53" s="212">
        <v>20.729174</v>
      </c>
      <c r="EC53" s="212">
        <v>19.13083</v>
      </c>
      <c r="ED53" s="212">
        <v>2221.841081</v>
      </c>
      <c r="EE53" s="212">
        <v>22.784008</v>
      </c>
      <c r="EF53" s="212">
        <v>34.073317000000003</v>
      </c>
      <c r="EG53" s="212">
        <v>1.3988114</v>
      </c>
      <c r="EH53" s="212">
        <v>0.64417139999999995</v>
      </c>
      <c r="EI53" s="212">
        <v>1.1531661</v>
      </c>
      <c r="EJ53" s="212" t="s">
        <v>830</v>
      </c>
      <c r="EK53" s="212">
        <v>1.5989171</v>
      </c>
      <c r="EL53" s="212">
        <v>2.6847783000000001</v>
      </c>
      <c r="EM53">
        <v>1.2808793999999999</v>
      </c>
      <c r="EN53">
        <v>2.2851606100000001</v>
      </c>
      <c r="EO53">
        <v>1.3831623</v>
      </c>
      <c r="EP53">
        <v>258.44447600000001</v>
      </c>
      <c r="EQ53">
        <v>183.37936099999999</v>
      </c>
      <c r="ER53">
        <v>16.0722761</v>
      </c>
      <c r="ES53">
        <v>14.0836296</v>
      </c>
      <c r="ET53">
        <v>8.7743257999999997</v>
      </c>
      <c r="EU53">
        <v>188.03094720000001</v>
      </c>
      <c r="EV53">
        <v>106.12193670000001</v>
      </c>
      <c r="EW53">
        <v>17.573101000000001</v>
      </c>
      <c r="EX53">
        <v>101.6412132</v>
      </c>
      <c r="EY53">
        <v>1.7649144000000001</v>
      </c>
      <c r="EZ53">
        <v>2291.0483548000002</v>
      </c>
      <c r="FA53" s="223">
        <v>8.3464960000000001</v>
      </c>
      <c r="FB53" s="223">
        <v>0.90455019999999997</v>
      </c>
      <c r="FC53" s="223">
        <v>1.9377880000000001</v>
      </c>
      <c r="FD53">
        <v>2.8150358</v>
      </c>
      <c r="FE53">
        <v>1.2293993000000001</v>
      </c>
      <c r="FF53">
        <v>1.6151975999999999</v>
      </c>
      <c r="FG53">
        <v>0.73802031999999995</v>
      </c>
      <c r="FH53">
        <v>1.1246677300000001</v>
      </c>
      <c r="FI53">
        <v>1.0631343799999999</v>
      </c>
      <c r="FJ53">
        <v>106.66825300000001</v>
      </c>
    </row>
    <row r="54" spans="1:166" x14ac:dyDescent="0.3">
      <c r="A54" s="223">
        <v>53</v>
      </c>
      <c r="B54" s="315">
        <v>42388</v>
      </c>
      <c r="C54" s="212">
        <v>1014994.4534</v>
      </c>
      <c r="D54" s="212">
        <v>104.29750719</v>
      </c>
      <c r="E54" s="212">
        <v>1.3636146</v>
      </c>
      <c r="F54" s="212">
        <v>6.5418225999999997</v>
      </c>
      <c r="G54" s="212">
        <v>4.4754385387999998</v>
      </c>
      <c r="H54" s="212">
        <v>3.693169428</v>
      </c>
      <c r="I54" s="212">
        <v>0.97230990699999997</v>
      </c>
      <c r="J54" s="212">
        <v>4.3363050000000003</v>
      </c>
      <c r="K54" s="212">
        <v>3.0746329999999999</v>
      </c>
      <c r="L54" s="212">
        <v>10.541446990000001</v>
      </c>
      <c r="M54" s="212">
        <v>0.826355108</v>
      </c>
      <c r="N54" s="212">
        <v>1.0970630029999999</v>
      </c>
      <c r="O54" s="212">
        <v>1.939084442</v>
      </c>
      <c r="P54" s="212">
        <v>1.2976271779999999</v>
      </c>
      <c r="Q54" s="212">
        <v>1.5396860000000001</v>
      </c>
      <c r="R54" s="212">
        <v>1.738667376</v>
      </c>
      <c r="S54" s="212">
        <v>12.148997</v>
      </c>
      <c r="T54" s="212">
        <v>2.8435191</v>
      </c>
      <c r="U54" s="212">
        <v>3.2041490069999998</v>
      </c>
      <c r="V54" s="212">
        <v>1.54859411</v>
      </c>
      <c r="W54" s="212">
        <v>1.328559287</v>
      </c>
      <c r="X54" s="212">
        <v>3.3332898969999998</v>
      </c>
      <c r="Y54" s="212">
        <v>1.840716</v>
      </c>
      <c r="Z54" s="212">
        <v>1.604932</v>
      </c>
      <c r="AA54" s="212">
        <v>1.2934184879999999</v>
      </c>
      <c r="AB54" s="212">
        <v>1.1200244960000001</v>
      </c>
      <c r="AC54" s="212">
        <v>1.1287165320000001</v>
      </c>
      <c r="AD54" s="212">
        <v>1.3102141869999999</v>
      </c>
      <c r="AE54" s="212">
        <v>1.308149555</v>
      </c>
      <c r="AF54" s="212">
        <v>1.257722</v>
      </c>
      <c r="AG54" s="212">
        <v>9.2157014949999994</v>
      </c>
      <c r="AH54" s="212">
        <v>1.75323355</v>
      </c>
      <c r="AI54" s="212">
        <v>3.7415120000000002</v>
      </c>
      <c r="AJ54" s="212">
        <v>2.3181919999999998</v>
      </c>
      <c r="AK54" s="212">
        <v>193.24115402999999</v>
      </c>
      <c r="AL54" s="212">
        <v>1.0590307000000001</v>
      </c>
      <c r="AM54" s="212">
        <v>1.8462915</v>
      </c>
      <c r="AN54" s="212">
        <v>8.5318245000000008</v>
      </c>
      <c r="AO54" s="212">
        <v>1.7428869</v>
      </c>
      <c r="AP54" s="212">
        <v>1.7371017</v>
      </c>
      <c r="AQ54" s="212">
        <v>2.4189761000000001</v>
      </c>
      <c r="AR54" s="212">
        <v>8.4989285999999993</v>
      </c>
      <c r="AS54" s="212">
        <v>305.18806139999998</v>
      </c>
      <c r="AT54" s="212">
        <v>1.0635945</v>
      </c>
      <c r="AU54" s="212">
        <v>2.9897455000000002</v>
      </c>
      <c r="AV54" s="212">
        <v>2.4959896000000001</v>
      </c>
      <c r="AW54" s="212">
        <v>1.5130250000000001</v>
      </c>
      <c r="AX54" s="212">
        <v>1.2034406</v>
      </c>
      <c r="AY54" s="212">
        <v>2.4909390999999999</v>
      </c>
      <c r="AZ54" s="212" t="s">
        <v>830</v>
      </c>
      <c r="BA54" s="212">
        <v>1.8637366909999999</v>
      </c>
      <c r="BB54" s="212">
        <v>2.3655195999999998</v>
      </c>
      <c r="BC54" s="212">
        <v>2.9693130000000001</v>
      </c>
      <c r="BD54" s="212">
        <v>1.0806450000000001</v>
      </c>
      <c r="BE54" s="212">
        <v>1.0642339999999999</v>
      </c>
      <c r="BF54" s="212">
        <v>1.053563</v>
      </c>
      <c r="BG54" s="212">
        <v>1.0757969999999999</v>
      </c>
      <c r="BH54" s="212">
        <v>1.0596969999999999</v>
      </c>
      <c r="BI54" s="212">
        <v>1.207975</v>
      </c>
      <c r="BJ54" s="212">
        <v>1.0884320000000001</v>
      </c>
      <c r="BK54" s="212">
        <v>1.181678</v>
      </c>
      <c r="BL54" s="212">
        <v>1.201962</v>
      </c>
      <c r="BM54" s="212">
        <v>1.201163</v>
      </c>
      <c r="BN54" s="212">
        <v>1.0506819999999999</v>
      </c>
      <c r="BO54" s="212">
        <v>1.1196200000000001</v>
      </c>
      <c r="BP54" s="212">
        <v>2.6106289999999999</v>
      </c>
      <c r="BQ54" s="212">
        <v>1.3585199999999999</v>
      </c>
      <c r="BR54" s="212">
        <v>1.4383760000000001</v>
      </c>
      <c r="BS54" s="212">
        <v>1.2204090000000001</v>
      </c>
      <c r="BT54" s="212">
        <v>1.7082170000000001</v>
      </c>
      <c r="BU54" s="212">
        <v>1.6988589999999999</v>
      </c>
      <c r="BV54" s="212">
        <v>1.881092</v>
      </c>
      <c r="BW54" s="212">
        <v>1.7223170000000001</v>
      </c>
      <c r="BX54" s="212">
        <v>1.6947019999999999</v>
      </c>
      <c r="BY54" s="212">
        <v>1.685257</v>
      </c>
      <c r="BZ54" s="212">
        <v>1.9407479999999999</v>
      </c>
      <c r="CA54" s="212">
        <v>1.875491</v>
      </c>
      <c r="CB54" s="212">
        <v>1.8901810000000001</v>
      </c>
      <c r="CC54" s="212">
        <v>1.8327819999999999</v>
      </c>
      <c r="CD54" s="212">
        <v>1.833629</v>
      </c>
      <c r="CE54" s="212">
        <v>1.782653</v>
      </c>
      <c r="CF54" s="212">
        <v>1.1044529999999999</v>
      </c>
      <c r="CG54" s="212">
        <v>1.2535639999999999</v>
      </c>
      <c r="CH54" s="212">
        <v>1.2753319999999999</v>
      </c>
      <c r="CI54" s="212">
        <v>2.8231090000000001</v>
      </c>
      <c r="CJ54" s="212">
        <v>0.82223100000000005</v>
      </c>
      <c r="CK54" s="212">
        <v>0.89169600000000004</v>
      </c>
      <c r="CL54" s="212">
        <v>0.57821400000000001</v>
      </c>
      <c r="CM54" s="212">
        <v>2.512276</v>
      </c>
      <c r="CN54" s="212">
        <v>1.947565</v>
      </c>
      <c r="CO54" s="212">
        <v>0.92809699999999995</v>
      </c>
      <c r="CP54" s="212">
        <v>0.96627700000000005</v>
      </c>
      <c r="CQ54" s="212">
        <v>1.261768</v>
      </c>
      <c r="CR54" s="212">
        <v>13.731185</v>
      </c>
      <c r="CS54" s="212">
        <v>4.2833119999999996</v>
      </c>
      <c r="CT54" s="212">
        <v>1.9340790000000001</v>
      </c>
      <c r="CU54" s="212">
        <v>5.1676700000000002</v>
      </c>
      <c r="CV54" s="212">
        <v>9.209308</v>
      </c>
      <c r="CW54" s="212" t="s">
        <v>830</v>
      </c>
      <c r="CX54" s="212">
        <v>1.2052181492</v>
      </c>
      <c r="CY54" s="212">
        <v>1.9899502572000001</v>
      </c>
      <c r="CZ54" s="212">
        <v>1.1533264219999999</v>
      </c>
      <c r="DA54" s="212">
        <v>14.292674515</v>
      </c>
      <c r="DB54" s="212">
        <v>1.0898639999999999</v>
      </c>
      <c r="DC54" s="212">
        <v>1.081798</v>
      </c>
      <c r="DD54" s="212">
        <v>1.9025449999999999</v>
      </c>
      <c r="DE54" s="212">
        <v>1.8086960000000001</v>
      </c>
      <c r="DF54" s="212">
        <v>1.757698</v>
      </c>
      <c r="DG54" s="212">
        <v>1.0168189999999999</v>
      </c>
      <c r="DH54" s="212">
        <v>124.03924331</v>
      </c>
      <c r="DI54" s="212">
        <v>0.25363089</v>
      </c>
      <c r="DJ54" s="212">
        <v>2.0498188000000002</v>
      </c>
      <c r="DK54" s="212">
        <v>1.92354724</v>
      </c>
      <c r="DL54" s="212">
        <v>150998.03594</v>
      </c>
      <c r="DM54" s="212">
        <v>334.62118249999997</v>
      </c>
      <c r="DN54" s="212">
        <v>16.268744600000002</v>
      </c>
      <c r="DO54" s="212" t="s">
        <v>830</v>
      </c>
      <c r="DP54" s="212">
        <v>18084325.072000001</v>
      </c>
      <c r="DQ54" s="212">
        <v>1.3718296000000001</v>
      </c>
      <c r="DR54" s="212">
        <v>14.579371800000001</v>
      </c>
      <c r="DS54" s="212">
        <v>21.3678761</v>
      </c>
      <c r="DT54" s="212">
        <v>1.8103332000000001</v>
      </c>
      <c r="DU54" s="212">
        <v>0.98308289999999998</v>
      </c>
      <c r="DV54" s="212">
        <v>1669.6204565999999</v>
      </c>
      <c r="DW54" s="212">
        <v>23026.470282999999</v>
      </c>
      <c r="DX54" s="212">
        <v>0.80828947699999998</v>
      </c>
      <c r="DY54" s="212">
        <v>8.9300090000000001</v>
      </c>
      <c r="DZ54" s="212">
        <v>223.40864500000001</v>
      </c>
      <c r="EA54" s="212">
        <v>17.699368</v>
      </c>
      <c r="EB54" s="212">
        <v>20.779899</v>
      </c>
      <c r="EC54" s="212">
        <v>19.077071</v>
      </c>
      <c r="ED54" s="212">
        <v>2223.011477</v>
      </c>
      <c r="EE54" s="212">
        <v>22.792936000000001</v>
      </c>
      <c r="EF54" s="212">
        <v>34.090998999999996</v>
      </c>
      <c r="EG54" s="212">
        <v>1.3825319</v>
      </c>
      <c r="EH54" s="212">
        <v>0.64437429999999996</v>
      </c>
      <c r="EI54" s="212">
        <v>1.150339</v>
      </c>
      <c r="EJ54" s="212" t="s">
        <v>830</v>
      </c>
      <c r="EK54" s="212">
        <v>1.5991295000000001</v>
      </c>
      <c r="EL54" s="212">
        <v>2.6851351999999999</v>
      </c>
      <c r="EM54">
        <v>1.2810204000000001</v>
      </c>
      <c r="EN54">
        <v>2.28691106</v>
      </c>
      <c r="EO54" s="221">
        <v>1.3837748000000001</v>
      </c>
      <c r="EP54">
        <v>258.57812899999999</v>
      </c>
      <c r="EQ54">
        <v>183.01411300000001</v>
      </c>
      <c r="ER54">
        <v>16.112536899999998</v>
      </c>
      <c r="ES54">
        <v>14.0438136</v>
      </c>
      <c r="ET54">
        <v>8.7789207999999999</v>
      </c>
      <c r="EU54">
        <v>187.49760610000001</v>
      </c>
      <c r="EV54">
        <v>106.3490954</v>
      </c>
      <c r="EW54">
        <v>17.598447100000001</v>
      </c>
      <c r="EX54">
        <v>101.6912334</v>
      </c>
      <c r="EY54">
        <v>1.7232635000000001</v>
      </c>
      <c r="EZ54">
        <v>2292.2134326</v>
      </c>
      <c r="FA54" s="223">
        <v>8.3500619999999994</v>
      </c>
      <c r="FB54" s="223">
        <v>0.91091699999999998</v>
      </c>
      <c r="FC54" s="223">
        <v>1.9321546999999999</v>
      </c>
      <c r="FD54">
        <v>2.8164614000000001</v>
      </c>
      <c r="FE54">
        <v>1.2310874000000001</v>
      </c>
      <c r="FF54">
        <v>1.6148169999999999</v>
      </c>
      <c r="FG54">
        <v>0.73693878999999995</v>
      </c>
      <c r="FH54">
        <v>1.12370517</v>
      </c>
      <c r="FI54">
        <v>1.0630497999999999</v>
      </c>
      <c r="FJ54">
        <v>106.96775427999999</v>
      </c>
    </row>
    <row r="55" spans="1:166" x14ac:dyDescent="0.3">
      <c r="A55" s="223">
        <v>54</v>
      </c>
      <c r="B55" s="315">
        <v>42389</v>
      </c>
      <c r="C55" s="212">
        <v>1014924.3961</v>
      </c>
      <c r="D55" s="212">
        <v>104.3999214</v>
      </c>
      <c r="E55" s="212">
        <v>1.3643097</v>
      </c>
      <c r="F55" s="212">
        <v>6.4675805000000004</v>
      </c>
      <c r="G55" s="212">
        <v>4.4619181969000001</v>
      </c>
      <c r="H55" s="212">
        <v>3.6918108080000001</v>
      </c>
      <c r="I55" s="212">
        <v>0.96723263100000001</v>
      </c>
      <c r="J55" s="212">
        <v>4.3385210000000001</v>
      </c>
      <c r="K55" s="212">
        <v>3.075758</v>
      </c>
      <c r="L55" s="212">
        <v>10.546118396000001</v>
      </c>
      <c r="M55" s="212">
        <v>0.81627145199999995</v>
      </c>
      <c r="N55" s="212">
        <v>1.0867887119999999</v>
      </c>
      <c r="O55" s="212">
        <v>1.9386010950000001</v>
      </c>
      <c r="P55" s="212">
        <v>1.2959157370000001</v>
      </c>
      <c r="Q55" s="212">
        <v>1.540432</v>
      </c>
      <c r="R55" s="212">
        <v>1.742044782</v>
      </c>
      <c r="S55" s="212">
        <v>12.168927</v>
      </c>
      <c r="T55" s="212">
        <v>2.8324431830000001</v>
      </c>
      <c r="U55" s="212">
        <v>3.1914430930000002</v>
      </c>
      <c r="V55" s="212">
        <v>1.5368512459999999</v>
      </c>
      <c r="W55" s="212">
        <v>1.3267176759999999</v>
      </c>
      <c r="X55" s="212">
        <v>3.3309577419999998</v>
      </c>
      <c r="Y55" s="212">
        <v>1.8433980000000001</v>
      </c>
      <c r="Z55" s="212">
        <v>1.605742</v>
      </c>
      <c r="AA55" s="212">
        <v>1.287451616</v>
      </c>
      <c r="AB55" s="212">
        <v>1.1215851889999999</v>
      </c>
      <c r="AC55" s="212">
        <v>1.129555876</v>
      </c>
      <c r="AD55" s="212">
        <v>1.311173696</v>
      </c>
      <c r="AE55" s="212">
        <v>1.30910974</v>
      </c>
      <c r="AF55" s="212">
        <v>1.252852702</v>
      </c>
      <c r="AG55" s="212">
        <v>9.2204131789999995</v>
      </c>
      <c r="AH55" s="212">
        <v>1.755794348</v>
      </c>
      <c r="AI55" s="212">
        <v>3.7434379999999998</v>
      </c>
      <c r="AJ55" s="212">
        <v>2.3106529999999998</v>
      </c>
      <c r="AK55" s="212">
        <v>193.26188142999999</v>
      </c>
      <c r="AL55" s="212">
        <v>1.0614215</v>
      </c>
      <c r="AM55" s="212">
        <v>1.8390133</v>
      </c>
      <c r="AN55" s="212">
        <v>8.5362913999999996</v>
      </c>
      <c r="AO55" s="212">
        <v>1.7454129</v>
      </c>
      <c r="AP55" s="212">
        <v>1.7396357</v>
      </c>
      <c r="AQ55" s="212">
        <v>2.4202218000000002</v>
      </c>
      <c r="AR55" s="212">
        <v>8.5033004000000005</v>
      </c>
      <c r="AS55" s="212">
        <v>301.90074800000002</v>
      </c>
      <c r="AT55" s="212">
        <v>1.0581560999999999</v>
      </c>
      <c r="AU55" s="212">
        <v>2.9911929000000002</v>
      </c>
      <c r="AV55" s="212">
        <v>2.4859678999999999</v>
      </c>
      <c r="AW55" s="212">
        <v>1.5015335999999999</v>
      </c>
      <c r="AX55" s="212">
        <v>1.2054897</v>
      </c>
      <c r="AY55" s="212">
        <v>2.4880336999999999</v>
      </c>
      <c r="AZ55" s="212" t="s">
        <v>830</v>
      </c>
      <c r="BA55" s="212">
        <v>1.8647082020000001</v>
      </c>
      <c r="BB55" s="212">
        <v>2.3562968</v>
      </c>
      <c r="BC55" s="212">
        <v>2.970974</v>
      </c>
      <c r="BD55" s="212">
        <v>1.0820920000000001</v>
      </c>
      <c r="BE55" s="212">
        <v>1.0656589999999999</v>
      </c>
      <c r="BF55" s="212">
        <v>1.0549740000000001</v>
      </c>
      <c r="BG55" s="212">
        <v>1.077237</v>
      </c>
      <c r="BH55" s="212">
        <v>1.061115</v>
      </c>
      <c r="BI55" s="212">
        <v>1.20889</v>
      </c>
      <c r="BJ55" s="212">
        <v>1.0903149999999999</v>
      </c>
      <c r="BK55" s="212">
        <v>1.181913</v>
      </c>
      <c r="BL55" s="212">
        <v>1.2028700000000001</v>
      </c>
      <c r="BM55" s="212">
        <v>1.202075</v>
      </c>
      <c r="BN55" s="212">
        <v>1.045228</v>
      </c>
      <c r="BO55" s="212">
        <v>1.110814</v>
      </c>
      <c r="BP55" s="212">
        <v>2.611993</v>
      </c>
      <c r="BQ55" s="212">
        <v>1.3591869999999999</v>
      </c>
      <c r="BR55" s="212">
        <v>1.4408669999999999</v>
      </c>
      <c r="BS55" s="212">
        <v>1.211147</v>
      </c>
      <c r="BT55" s="212">
        <v>1.7058009999999999</v>
      </c>
      <c r="BU55" s="212">
        <v>1.7000850000000001</v>
      </c>
      <c r="BV55" s="212">
        <v>1.882349</v>
      </c>
      <c r="BW55" s="212">
        <v>1.7235130000000001</v>
      </c>
      <c r="BX55" s="212">
        <v>1.6959169999999999</v>
      </c>
      <c r="BY55" s="212">
        <v>1.686423</v>
      </c>
      <c r="BZ55" s="212">
        <v>1.9420770000000001</v>
      </c>
      <c r="CA55" s="212">
        <v>1.876746</v>
      </c>
      <c r="CB55" s="212">
        <v>1.8913880000000001</v>
      </c>
      <c r="CC55" s="212">
        <v>1.8340479999999999</v>
      </c>
      <c r="CD55" s="212">
        <v>1.8348949999999999</v>
      </c>
      <c r="CE55" s="212">
        <v>1.7838210000000001</v>
      </c>
      <c r="CF55" s="212">
        <v>1.1052759999999999</v>
      </c>
      <c r="CG55" s="212">
        <v>1.25013</v>
      </c>
      <c r="CH55" s="212">
        <v>1.274357</v>
      </c>
      <c r="CI55" s="212">
        <v>2.8247179999999998</v>
      </c>
      <c r="CJ55" s="212">
        <v>0.80387500000000001</v>
      </c>
      <c r="CK55" s="212">
        <v>0.87211300000000003</v>
      </c>
      <c r="CL55" s="212">
        <v>0.572577</v>
      </c>
      <c r="CM55" s="212">
        <v>2.477344</v>
      </c>
      <c r="CN55" s="212">
        <v>1.927897</v>
      </c>
      <c r="CO55" s="212">
        <v>0.92408900000000005</v>
      </c>
      <c r="CP55" s="212">
        <v>0.95926900000000004</v>
      </c>
      <c r="CQ55" s="212">
        <v>1.2624219999999999</v>
      </c>
      <c r="CR55" s="212">
        <v>13.737562</v>
      </c>
      <c r="CS55" s="212">
        <v>4.2853729999999999</v>
      </c>
      <c r="CT55" s="212">
        <v>1.9260980000000001</v>
      </c>
      <c r="CU55" s="212">
        <v>5.1693550000000004</v>
      </c>
      <c r="CV55" s="212">
        <v>9.2135840000000009</v>
      </c>
      <c r="CW55" s="212" t="s">
        <v>830</v>
      </c>
      <c r="CX55" s="212">
        <v>1.2058530136000001</v>
      </c>
      <c r="CY55" s="212">
        <v>1.9830672300000001</v>
      </c>
      <c r="CZ55" s="212">
        <v>1.1547600747</v>
      </c>
      <c r="DA55" s="212">
        <v>14.299810483</v>
      </c>
      <c r="DB55" s="212">
        <v>1.091324</v>
      </c>
      <c r="DC55" s="212">
        <v>1.083669</v>
      </c>
      <c r="DD55" s="212">
        <v>1.9056249999999999</v>
      </c>
      <c r="DE55" s="212">
        <v>1.800951</v>
      </c>
      <c r="DF55" s="212">
        <v>1.760289</v>
      </c>
      <c r="DG55" s="212">
        <v>1.01665125</v>
      </c>
      <c r="DH55" s="212">
        <v>124.11321134000001</v>
      </c>
      <c r="DI55" s="212">
        <v>0.2536699</v>
      </c>
      <c r="DJ55" s="212">
        <v>2.0507616999999998</v>
      </c>
      <c r="DK55" s="212">
        <v>1.92362612</v>
      </c>
      <c r="DL55" s="212">
        <v>151097.12096999999</v>
      </c>
      <c r="DM55" s="212">
        <v>334.76324979999998</v>
      </c>
      <c r="DN55" s="212">
        <v>16.278238000000002</v>
      </c>
      <c r="DO55" s="212" t="s">
        <v>830</v>
      </c>
      <c r="DP55" s="212">
        <v>18083093.050000001</v>
      </c>
      <c r="DQ55" s="212">
        <v>1.3586176000000001</v>
      </c>
      <c r="DR55" s="212">
        <v>14.586572200000001</v>
      </c>
      <c r="DS55" s="212">
        <v>21.3789309</v>
      </c>
      <c r="DT55" s="212">
        <v>1.8116722000000001</v>
      </c>
      <c r="DU55" s="212">
        <v>0.97391729999999999</v>
      </c>
      <c r="DV55" s="212">
        <v>1670.3609667999999</v>
      </c>
      <c r="DW55" s="212">
        <v>23023.369224999999</v>
      </c>
      <c r="DX55" s="212">
        <v>0.781112794</v>
      </c>
      <c r="DY55" s="212">
        <v>8.8329509999999996</v>
      </c>
      <c r="DZ55" s="212">
        <v>223.501195</v>
      </c>
      <c r="EA55" s="212">
        <v>17.687760999999998</v>
      </c>
      <c r="EB55" s="212">
        <v>20.813741</v>
      </c>
      <c r="EC55" s="212">
        <v>19.003153999999999</v>
      </c>
      <c r="ED55" s="212">
        <v>2224.174763</v>
      </c>
      <c r="EE55" s="212">
        <v>22.825438999999999</v>
      </c>
      <c r="EF55" s="212">
        <v>34.108691</v>
      </c>
      <c r="EG55" s="212">
        <v>1.3612371000000001</v>
      </c>
      <c r="EH55" s="212">
        <v>0.65442529999999999</v>
      </c>
      <c r="EI55" s="212">
        <v>1.1510039000000001</v>
      </c>
      <c r="EJ55" s="212" t="s">
        <v>830</v>
      </c>
      <c r="EK55" s="212">
        <v>1.5988374999999999</v>
      </c>
      <c r="EL55" s="212">
        <v>2.6846451999999998</v>
      </c>
      <c r="EM55">
        <v>1.2781806499999999</v>
      </c>
      <c r="EN55">
        <v>2.2886628500000001</v>
      </c>
      <c r="EO55" s="221">
        <v>1.3843932999999999</v>
      </c>
      <c r="EP55">
        <v>258.76781</v>
      </c>
      <c r="EQ55">
        <v>182.356719</v>
      </c>
      <c r="ER55">
        <v>16.1388745</v>
      </c>
      <c r="ES55">
        <v>13.989222</v>
      </c>
      <c r="ET55">
        <v>8.7835137999999997</v>
      </c>
      <c r="EU55">
        <v>186.76697350000001</v>
      </c>
      <c r="EV55">
        <v>105.12062299999999</v>
      </c>
      <c r="EW55">
        <v>17.624241399999999</v>
      </c>
      <c r="EX55">
        <v>101.7412281</v>
      </c>
      <c r="EY55">
        <v>1.6621429999999999</v>
      </c>
      <c r="EZ55">
        <v>2293.3775347000001</v>
      </c>
      <c r="FA55" s="223">
        <v>8.3536070000000002</v>
      </c>
      <c r="FB55" s="223">
        <v>0.90100959999999997</v>
      </c>
      <c r="FC55" s="223">
        <v>1.9245097</v>
      </c>
      <c r="FD55">
        <v>2.8178901000000001</v>
      </c>
      <c r="FE55">
        <v>1.2326287</v>
      </c>
      <c r="FF55">
        <v>1.6144942</v>
      </c>
      <c r="FG55">
        <v>0.73099345000000004</v>
      </c>
      <c r="FH55">
        <v>1.1252901099999999</v>
      </c>
      <c r="FI55">
        <v>1.0629652199999999</v>
      </c>
      <c r="FJ55">
        <v>106.77094545</v>
      </c>
    </row>
    <row r="56" spans="1:166" x14ac:dyDescent="0.3">
      <c r="A56" s="223">
        <v>55</v>
      </c>
      <c r="B56" s="315">
        <v>42390</v>
      </c>
      <c r="C56" s="212">
        <v>1014853.8021</v>
      </c>
      <c r="D56" s="212">
        <v>104.3954081</v>
      </c>
      <c r="E56" s="212">
        <v>1.3738832000000001</v>
      </c>
      <c r="F56" s="212">
        <v>6.5214074000000002</v>
      </c>
      <c r="G56" s="212">
        <v>4.4431723946000004</v>
      </c>
      <c r="H56" s="212">
        <v>3.6927108099999999</v>
      </c>
      <c r="I56" s="212">
        <v>0.96925417599999997</v>
      </c>
      <c r="J56" s="212">
        <v>4.3407429999999998</v>
      </c>
      <c r="K56" s="212">
        <v>3.076851</v>
      </c>
      <c r="L56" s="212">
        <v>10.550280546</v>
      </c>
      <c r="M56" s="212">
        <v>0.81978528500000003</v>
      </c>
      <c r="N56" s="212">
        <v>1.088199412</v>
      </c>
      <c r="O56" s="212">
        <v>1.9395401320000001</v>
      </c>
      <c r="P56" s="212">
        <v>1.308240375</v>
      </c>
      <c r="Q56" s="212">
        <v>1.541185</v>
      </c>
      <c r="R56" s="212">
        <v>1.757912095</v>
      </c>
      <c r="S56" s="212">
        <v>12.273552</v>
      </c>
      <c r="T56" s="212">
        <v>2.843632312</v>
      </c>
      <c r="U56" s="212">
        <v>3.2033145589999998</v>
      </c>
      <c r="V56" s="212">
        <v>1.537891055</v>
      </c>
      <c r="W56" s="212">
        <v>1.3300557879999999</v>
      </c>
      <c r="X56" s="212">
        <v>3.3403129329999999</v>
      </c>
      <c r="Y56" s="212">
        <v>1.8467629999999999</v>
      </c>
      <c r="Z56" s="212">
        <v>1.606557</v>
      </c>
      <c r="AA56" s="212">
        <v>1.2948040249999999</v>
      </c>
      <c r="AB56" s="212">
        <v>1.1259244479999999</v>
      </c>
      <c r="AC56" s="212">
        <v>1.1369438160000001</v>
      </c>
      <c r="AD56" s="212">
        <v>1.31213391</v>
      </c>
      <c r="AE56" s="212">
        <v>1.3100706790000001</v>
      </c>
      <c r="AF56" s="212">
        <v>1.262049854</v>
      </c>
      <c r="AG56" s="212">
        <v>9.2251285660000004</v>
      </c>
      <c r="AH56" s="212">
        <v>1.760492068</v>
      </c>
      <c r="AI56" s="212">
        <v>3.7463730000000002</v>
      </c>
      <c r="AJ56" s="212">
        <v>2.3224520000000002</v>
      </c>
      <c r="AK56" s="212">
        <v>193.82502414999999</v>
      </c>
      <c r="AL56" s="212">
        <v>1.0758003</v>
      </c>
      <c r="AM56" s="212">
        <v>1.8462419000000001</v>
      </c>
      <c r="AN56" s="212">
        <v>8.5407293000000006</v>
      </c>
      <c r="AO56" s="212">
        <v>1.7479891999999999</v>
      </c>
      <c r="AP56" s="212">
        <v>1.7422017999999999</v>
      </c>
      <c r="AQ56" s="212">
        <v>2.4214676000000002</v>
      </c>
      <c r="AR56" s="212">
        <v>8.5076946000000007</v>
      </c>
      <c r="AS56" s="212">
        <v>302.4862033</v>
      </c>
      <c r="AT56" s="212">
        <v>1.0615805</v>
      </c>
      <c r="AU56" s="212">
        <v>2.9926482000000001</v>
      </c>
      <c r="AV56" s="212">
        <v>2.4954874</v>
      </c>
      <c r="AW56" s="212">
        <v>1.5025763000000001</v>
      </c>
      <c r="AX56" s="212">
        <v>1.2159484</v>
      </c>
      <c r="AY56" s="212">
        <v>2.4945586</v>
      </c>
      <c r="AZ56" s="212" t="s">
        <v>830</v>
      </c>
      <c r="BA56" s="212">
        <v>1.8656827309999999</v>
      </c>
      <c r="BB56" s="212">
        <v>2.3666407</v>
      </c>
      <c r="BC56" s="212">
        <v>2.9731100000000001</v>
      </c>
      <c r="BD56" s="212">
        <v>1.0850390000000001</v>
      </c>
      <c r="BE56" s="212">
        <v>1.0685610000000001</v>
      </c>
      <c r="BF56" s="212">
        <v>1.0578460000000001</v>
      </c>
      <c r="BG56" s="212">
        <v>1.0801689999999999</v>
      </c>
      <c r="BH56" s="212">
        <v>1.0640000000000001</v>
      </c>
      <c r="BI56" s="212">
        <v>1.209805</v>
      </c>
      <c r="BJ56" s="212">
        <v>1.1021479999999999</v>
      </c>
      <c r="BK56" s="212">
        <v>1.1949749999999999</v>
      </c>
      <c r="BL56" s="212">
        <v>1.2037789999999999</v>
      </c>
      <c r="BM56" s="212">
        <v>1.2029879999999999</v>
      </c>
      <c r="BN56" s="212">
        <v>1.051145</v>
      </c>
      <c r="BO56" s="212">
        <v>1.1112200000000001</v>
      </c>
      <c r="BP56" s="212">
        <v>2.613343</v>
      </c>
      <c r="BQ56" s="212">
        <v>1.3598539999999999</v>
      </c>
      <c r="BR56" s="212">
        <v>1.4530719999999999</v>
      </c>
      <c r="BS56" s="212">
        <v>1.2119470000000001</v>
      </c>
      <c r="BT56" s="212">
        <v>1.710154</v>
      </c>
      <c r="BU56" s="212">
        <v>1.7013130000000001</v>
      </c>
      <c r="BV56" s="212">
        <v>1.8836059999999999</v>
      </c>
      <c r="BW56" s="212">
        <v>1.724709</v>
      </c>
      <c r="BX56" s="212">
        <v>1.6971339999999999</v>
      </c>
      <c r="BY56" s="212">
        <v>1.6875899999999999</v>
      </c>
      <c r="BZ56" s="212">
        <v>1.943406</v>
      </c>
      <c r="CA56" s="212">
        <v>1.878001</v>
      </c>
      <c r="CB56" s="212">
        <v>1.8925920000000001</v>
      </c>
      <c r="CC56" s="212">
        <v>1.835315</v>
      </c>
      <c r="CD56" s="212">
        <v>1.8361620000000001</v>
      </c>
      <c r="CE56" s="212">
        <v>1.784991</v>
      </c>
      <c r="CF56" s="212">
        <v>1.106071</v>
      </c>
      <c r="CG56" s="212">
        <v>1.254481</v>
      </c>
      <c r="CH56" s="212">
        <v>1.2778099999999999</v>
      </c>
      <c r="CI56" s="212">
        <v>2.826959</v>
      </c>
      <c r="CJ56" s="212">
        <v>0.81261300000000003</v>
      </c>
      <c r="CK56" s="212">
        <v>0.88135699999999995</v>
      </c>
      <c r="CL56" s="212">
        <v>0.57518499999999995</v>
      </c>
      <c r="CM56" s="212">
        <v>2.4874139999999998</v>
      </c>
      <c r="CN56" s="212">
        <v>1.9862599999999999</v>
      </c>
      <c r="CO56" s="212">
        <v>0.92416699999999996</v>
      </c>
      <c r="CP56" s="212">
        <v>0.96084099999999995</v>
      </c>
      <c r="CQ56" s="212">
        <v>1.2630760000000001</v>
      </c>
      <c r="CR56" s="212">
        <v>13.743945</v>
      </c>
      <c r="CS56" s="212">
        <v>4.2874629999999998</v>
      </c>
      <c r="CT56" s="212">
        <v>1.929827</v>
      </c>
      <c r="CU56" s="212">
        <v>5.1710419999999999</v>
      </c>
      <c r="CV56" s="212">
        <v>9.2178599999999999</v>
      </c>
      <c r="CW56" s="212" t="s">
        <v>830</v>
      </c>
      <c r="CX56" s="212">
        <v>1.2064769799999999</v>
      </c>
      <c r="CY56" s="212">
        <v>1.9746680952</v>
      </c>
      <c r="CZ56" s="212">
        <v>1.1565223878999999</v>
      </c>
      <c r="DA56" s="212">
        <v>14.307118356</v>
      </c>
      <c r="DB56" s="212">
        <v>1.0942959999999999</v>
      </c>
      <c r="DC56" s="212">
        <v>1.095431</v>
      </c>
      <c r="DD56" s="212">
        <v>1.921959</v>
      </c>
      <c r="DE56" s="212">
        <v>1.807515</v>
      </c>
      <c r="DF56" s="212">
        <v>1.7635179999999999</v>
      </c>
      <c r="DG56" s="212">
        <v>1.02229671</v>
      </c>
      <c r="DH56" s="212">
        <v>124.18722599</v>
      </c>
      <c r="DI56" s="212">
        <v>0.25377451000000001</v>
      </c>
      <c r="DJ56" s="212">
        <v>2.0517059</v>
      </c>
      <c r="DK56" s="212">
        <v>1.9244501300000001</v>
      </c>
      <c r="DL56" s="212">
        <v>151196.27139000001</v>
      </c>
      <c r="DM56" s="212">
        <v>334.93981689999998</v>
      </c>
      <c r="DN56" s="212">
        <v>16.287742000000001</v>
      </c>
      <c r="DO56" s="212" t="s">
        <v>830</v>
      </c>
      <c r="DP56" s="212">
        <v>18081905.254999999</v>
      </c>
      <c r="DQ56" s="212">
        <v>1.3882148999999999</v>
      </c>
      <c r="DR56" s="212">
        <v>14.5937758</v>
      </c>
      <c r="DS56" s="212">
        <v>21.389602</v>
      </c>
      <c r="DT56" s="212">
        <v>1.829232</v>
      </c>
      <c r="DU56" s="212">
        <v>0.97770389999999996</v>
      </c>
      <c r="DV56" s="212">
        <v>1671.0529895</v>
      </c>
      <c r="DW56" s="212">
        <v>23018.310334000002</v>
      </c>
      <c r="DX56" s="212">
        <v>0.78146014399999997</v>
      </c>
      <c r="DY56" s="212">
        <v>8.8401789999999991</v>
      </c>
      <c r="DZ56" s="212">
        <v>223.679824</v>
      </c>
      <c r="EA56" s="212">
        <v>17.738249</v>
      </c>
      <c r="EB56" s="212">
        <v>20.991184000000001</v>
      </c>
      <c r="EC56" s="212">
        <v>19.078030999999999</v>
      </c>
      <c r="ED56" s="212">
        <v>2225.3433869999999</v>
      </c>
      <c r="EE56" s="212">
        <v>22.858667000000001</v>
      </c>
      <c r="EF56" s="212">
        <v>34.126387000000001</v>
      </c>
      <c r="EG56" s="212">
        <v>1.3669779</v>
      </c>
      <c r="EH56" s="212">
        <v>0.64978119999999995</v>
      </c>
      <c r="EI56" s="212">
        <v>1.1491399</v>
      </c>
      <c r="EJ56" s="212" t="s">
        <v>830</v>
      </c>
      <c r="EK56" s="212">
        <v>1.6067434</v>
      </c>
      <c r="EL56" s="212">
        <v>2.6979204000000001</v>
      </c>
      <c r="EM56">
        <v>1.27831977</v>
      </c>
      <c r="EN56">
        <v>2.2904159800000001</v>
      </c>
      <c r="EO56" s="221">
        <v>1.3849916</v>
      </c>
      <c r="EP56">
        <v>259.35863899999998</v>
      </c>
      <c r="EQ56">
        <v>182.982789</v>
      </c>
      <c r="ER56">
        <v>16.277018300000002</v>
      </c>
      <c r="ES56">
        <v>14.044678599999999</v>
      </c>
      <c r="ET56">
        <v>8.7881025000000008</v>
      </c>
      <c r="EU56">
        <v>187.5057985</v>
      </c>
      <c r="EV56">
        <v>105.74955319999999</v>
      </c>
      <c r="EW56">
        <v>17.656325899999999</v>
      </c>
      <c r="EX56">
        <v>101.79117170000001</v>
      </c>
      <c r="EY56">
        <v>1.7632808</v>
      </c>
      <c r="EZ56">
        <v>2294.5486642000001</v>
      </c>
      <c r="FA56" s="223">
        <v>8.3571609999999996</v>
      </c>
      <c r="FB56" s="223">
        <v>0.89992249999999996</v>
      </c>
      <c r="FC56" s="223">
        <v>1.9317858999999999</v>
      </c>
      <c r="FD56">
        <v>2.8193201000000001</v>
      </c>
      <c r="FE56">
        <v>1.2352272</v>
      </c>
      <c r="FF56">
        <v>1.6193898</v>
      </c>
      <c r="FG56">
        <v>0.73189196999999995</v>
      </c>
      <c r="FH56">
        <v>1.12910322</v>
      </c>
      <c r="FI56">
        <v>1.0628800599999999</v>
      </c>
      <c r="FJ56">
        <v>106.27337231999999</v>
      </c>
    </row>
    <row r="57" spans="1:166" x14ac:dyDescent="0.3">
      <c r="A57" s="223">
        <v>56</v>
      </c>
      <c r="B57" s="315">
        <v>42391</v>
      </c>
      <c r="C57" s="212">
        <v>1014782.9924</v>
      </c>
      <c r="D57" s="212">
        <v>104.39190415</v>
      </c>
      <c r="E57" s="212">
        <v>1.3755945999999999</v>
      </c>
      <c r="F57" s="212">
        <v>6.5468647999999998</v>
      </c>
      <c r="G57" s="212">
        <v>4.4566492521000001</v>
      </c>
      <c r="H57" s="212">
        <v>3.6868471110000001</v>
      </c>
      <c r="I57" s="212">
        <v>0.97474893200000001</v>
      </c>
      <c r="J57" s="212">
        <v>4.3429849999999997</v>
      </c>
      <c r="K57" s="212">
        <v>3.0779610000000002</v>
      </c>
      <c r="L57" s="212">
        <v>10.554883443</v>
      </c>
      <c r="M57" s="212">
        <v>0.82449044599999999</v>
      </c>
      <c r="N57" s="212">
        <v>1.09661041</v>
      </c>
      <c r="O57" s="212">
        <v>1.940482644</v>
      </c>
      <c r="P57" s="212">
        <v>1.309277971</v>
      </c>
      <c r="Q57" s="212">
        <v>1.5419320000000001</v>
      </c>
      <c r="R57" s="212">
        <v>1.760828061</v>
      </c>
      <c r="S57" s="212">
        <v>12.291358000000001</v>
      </c>
      <c r="T57" s="212">
        <v>2.8472960810000001</v>
      </c>
      <c r="U57" s="212">
        <v>3.2072593189999998</v>
      </c>
      <c r="V57" s="212">
        <v>1.5396711489999999</v>
      </c>
      <c r="W57" s="212">
        <v>1.332038608</v>
      </c>
      <c r="X57" s="212">
        <v>3.3481190930000002</v>
      </c>
      <c r="Y57" s="212">
        <v>1.8479159999999999</v>
      </c>
      <c r="Z57" s="212">
        <v>1.6074040000000001</v>
      </c>
      <c r="AA57" s="212">
        <v>1.295969849</v>
      </c>
      <c r="AB57" s="212">
        <v>1.1268588829999999</v>
      </c>
      <c r="AC57" s="212">
        <v>1.138081401</v>
      </c>
      <c r="AD57" s="212">
        <v>1.313094837</v>
      </c>
      <c r="AE57" s="212">
        <v>1.311032346</v>
      </c>
      <c r="AF57" s="212">
        <v>1.2631555590000001</v>
      </c>
      <c r="AG57" s="212">
        <v>9.2298306500000002</v>
      </c>
      <c r="AH57" s="212">
        <v>1.7620166390000001</v>
      </c>
      <c r="AI57" s="212">
        <v>3.748389</v>
      </c>
      <c r="AJ57" s="212">
        <v>2.3254429999999999</v>
      </c>
      <c r="AK57" s="212">
        <v>193.96099593</v>
      </c>
      <c r="AL57" s="212">
        <v>1.0783631</v>
      </c>
      <c r="AM57" s="212">
        <v>1.8485537000000001</v>
      </c>
      <c r="AN57" s="212">
        <v>8.5450202999999991</v>
      </c>
      <c r="AO57" s="212">
        <v>1.7511862</v>
      </c>
      <c r="AP57" s="212">
        <v>1.7454059</v>
      </c>
      <c r="AQ57" s="212">
        <v>2.4227151999999998</v>
      </c>
      <c r="AR57" s="212">
        <v>8.5120868999999999</v>
      </c>
      <c r="AS57" s="212">
        <v>305.01050679999997</v>
      </c>
      <c r="AT57" s="212">
        <v>1.0797044</v>
      </c>
      <c r="AU57" s="212">
        <v>2.9941027</v>
      </c>
      <c r="AV57" s="212">
        <v>2.4982538999999999</v>
      </c>
      <c r="AW57" s="212">
        <v>1.5039286000000001</v>
      </c>
      <c r="AX57" s="212">
        <v>1.2177945999999999</v>
      </c>
      <c r="AY57" s="212">
        <v>2.4979859000000002</v>
      </c>
      <c r="AZ57" s="212" t="s">
        <v>830</v>
      </c>
      <c r="BA57" s="212">
        <v>1.86664549</v>
      </c>
      <c r="BB57" s="212">
        <v>2.3697854</v>
      </c>
      <c r="BC57" s="212">
        <v>2.974872</v>
      </c>
      <c r="BD57" s="212">
        <v>1.085772</v>
      </c>
      <c r="BE57" s="212">
        <v>1.069283</v>
      </c>
      <c r="BF57" s="212">
        <v>1.0585610000000001</v>
      </c>
      <c r="BG57" s="212">
        <v>1.0808979999999999</v>
      </c>
      <c r="BH57" s="212">
        <v>1.064719</v>
      </c>
      <c r="BI57" s="212">
        <v>1.2107220000000001</v>
      </c>
      <c r="BJ57" s="212">
        <v>1.104088</v>
      </c>
      <c r="BK57" s="212">
        <v>1.1961059999999999</v>
      </c>
      <c r="BL57" s="212">
        <v>1.204688</v>
      </c>
      <c r="BM57" s="212">
        <v>1.2039010000000001</v>
      </c>
      <c r="BN57" s="212">
        <v>1.05169</v>
      </c>
      <c r="BO57" s="212">
        <v>1.1115200000000001</v>
      </c>
      <c r="BP57" s="212">
        <v>2.6147939999999998</v>
      </c>
      <c r="BQ57" s="212">
        <v>1.3605210000000001</v>
      </c>
      <c r="BR57" s="212">
        <v>1.4552259999999999</v>
      </c>
      <c r="BS57" s="212">
        <v>1.2132989999999999</v>
      </c>
      <c r="BT57" s="212">
        <v>1.7127019999999999</v>
      </c>
      <c r="BU57" s="212">
        <v>1.705112</v>
      </c>
      <c r="BV57" s="212">
        <v>1.8848640000000001</v>
      </c>
      <c r="BW57" s="212">
        <v>1.7261649999999999</v>
      </c>
      <c r="BX57" s="212">
        <v>1.6987479999999999</v>
      </c>
      <c r="BY57" s="212">
        <v>1.6892579999999999</v>
      </c>
      <c r="BZ57" s="212">
        <v>1.945468</v>
      </c>
      <c r="CA57" s="212">
        <v>1.8792580000000001</v>
      </c>
      <c r="CB57" s="212">
        <v>1.893802</v>
      </c>
      <c r="CC57" s="212">
        <v>1.8365830000000001</v>
      </c>
      <c r="CD57" s="212">
        <v>1.837431</v>
      </c>
      <c r="CE57" s="212">
        <v>1.7865709999999999</v>
      </c>
      <c r="CF57" s="212">
        <v>1.110344</v>
      </c>
      <c r="CG57" s="212">
        <v>1.2593019999999999</v>
      </c>
      <c r="CH57" s="212">
        <v>1.2807919999999999</v>
      </c>
      <c r="CI57" s="212">
        <v>2.828541</v>
      </c>
      <c r="CJ57" s="212">
        <v>0.81495200000000001</v>
      </c>
      <c r="CK57" s="212">
        <v>0.88403699999999996</v>
      </c>
      <c r="CL57" s="212">
        <v>0.57979199999999997</v>
      </c>
      <c r="CM57" s="212">
        <v>2.504067</v>
      </c>
      <c r="CN57" s="212">
        <v>1.987949</v>
      </c>
      <c r="CO57" s="212">
        <v>0.93714600000000003</v>
      </c>
      <c r="CP57" s="212">
        <v>0.96767199999999998</v>
      </c>
      <c r="CQ57" s="212">
        <v>1.2637320000000001</v>
      </c>
      <c r="CR57" s="212">
        <v>13.750335</v>
      </c>
      <c r="CS57" s="212">
        <v>4.2900229999999997</v>
      </c>
      <c r="CT57" s="212">
        <v>1.932186</v>
      </c>
      <c r="CU57" s="212">
        <v>5.1727290000000004</v>
      </c>
      <c r="CV57" s="212">
        <v>9.2221419999999998</v>
      </c>
      <c r="CW57" s="212" t="s">
        <v>830</v>
      </c>
      <c r="CX57" s="212">
        <v>1.2071084102</v>
      </c>
      <c r="CY57" s="212">
        <v>1.9805909785</v>
      </c>
      <c r="CZ57" s="212">
        <v>1.1572402400999999</v>
      </c>
      <c r="DA57" s="212">
        <v>14.314294637</v>
      </c>
      <c r="DB57" s="212">
        <v>1.095035</v>
      </c>
      <c r="DC57" s="212">
        <v>1.0973599999999999</v>
      </c>
      <c r="DD57" s="212">
        <v>1.9247030000000001</v>
      </c>
      <c r="DE57" s="212">
        <v>1.809868</v>
      </c>
      <c r="DF57" s="212">
        <v>1.7646329999999999</v>
      </c>
      <c r="DG57" s="212">
        <v>1.0248081499999999</v>
      </c>
      <c r="DH57" s="212">
        <v>124.26121723</v>
      </c>
      <c r="DI57" s="212">
        <v>0.25386676000000002</v>
      </c>
      <c r="DJ57" s="212">
        <v>2.0526537999999999</v>
      </c>
      <c r="DK57" s="212">
        <v>1.9258702000000001</v>
      </c>
      <c r="DL57" s="212">
        <v>151295.42092</v>
      </c>
      <c r="DM57" s="212">
        <v>335.11569050000003</v>
      </c>
      <c r="DN57" s="212">
        <v>16.297248</v>
      </c>
      <c r="DO57" s="212" t="s">
        <v>830</v>
      </c>
      <c r="DP57" s="212">
        <v>18080763.712000001</v>
      </c>
      <c r="DQ57" s="212">
        <v>1.3979659</v>
      </c>
      <c r="DR57" s="212">
        <v>14.600990599999999</v>
      </c>
      <c r="DS57" s="212">
        <v>21.400855400000001</v>
      </c>
      <c r="DT57" s="212">
        <v>1.829834</v>
      </c>
      <c r="DU57" s="212">
        <v>0.98571640000000005</v>
      </c>
      <c r="DV57" s="212">
        <v>1671.7842274</v>
      </c>
      <c r="DW57" s="212">
        <v>23015.201223</v>
      </c>
      <c r="DX57" s="212">
        <v>0.806760119</v>
      </c>
      <c r="DY57" s="212">
        <v>8.927721</v>
      </c>
      <c r="DZ57" s="212">
        <v>223.84402499999999</v>
      </c>
      <c r="EA57" s="212">
        <v>17.779978</v>
      </c>
      <c r="EB57" s="212">
        <v>21.021377000000001</v>
      </c>
      <c r="EC57" s="212">
        <v>19.101775</v>
      </c>
      <c r="ED57" s="212">
        <v>2226.4883110000001</v>
      </c>
      <c r="EE57" s="212">
        <v>22.90071</v>
      </c>
      <c r="EF57" s="212">
        <v>34.144095999999998</v>
      </c>
      <c r="EG57" s="212">
        <v>1.3533887</v>
      </c>
      <c r="EH57" s="212">
        <v>0.64998219999999995</v>
      </c>
      <c r="EI57" s="212">
        <v>1.1501509999999999</v>
      </c>
      <c r="EJ57" s="212" t="s">
        <v>830</v>
      </c>
      <c r="EK57" s="212">
        <v>1.6110773</v>
      </c>
      <c r="EL57" s="212">
        <v>2.7051978999999999</v>
      </c>
      <c r="EM57">
        <v>1.2784525600000001</v>
      </c>
      <c r="EN57">
        <v>2.2921704599999999</v>
      </c>
      <c r="EO57" s="221">
        <v>1.3856231999999999</v>
      </c>
      <c r="EP57">
        <v>259.46597200000002</v>
      </c>
      <c r="EQ57">
        <v>183.15543199999999</v>
      </c>
      <c r="ER57">
        <v>16.300125399999999</v>
      </c>
      <c r="ES57">
        <v>14.062325700000001</v>
      </c>
      <c r="ET57">
        <v>8.7925129999999996</v>
      </c>
      <c r="EU57">
        <v>187.73979410000001</v>
      </c>
      <c r="EV57">
        <v>106.6976153</v>
      </c>
      <c r="EW57">
        <v>17.6672984</v>
      </c>
      <c r="EX57">
        <v>101.8390479</v>
      </c>
      <c r="EY57">
        <v>1.7413135</v>
      </c>
      <c r="EZ57">
        <v>2295.6552342999998</v>
      </c>
      <c r="FA57" s="223">
        <v>8.3606940000000005</v>
      </c>
      <c r="FB57" s="223">
        <v>0.91447619999999996</v>
      </c>
      <c r="FC57" s="223">
        <v>1.9336698000000001</v>
      </c>
      <c r="FD57">
        <v>2.8207605999999998</v>
      </c>
      <c r="FE57">
        <v>1.2364776</v>
      </c>
      <c r="FF57">
        <v>1.6229813</v>
      </c>
      <c r="FG57">
        <v>0.73668338</v>
      </c>
      <c r="FH57">
        <v>1.1295454199999999</v>
      </c>
      <c r="FI57">
        <v>1.0627948899999999</v>
      </c>
      <c r="FJ57">
        <v>106.87602887</v>
      </c>
    </row>
    <row r="58" spans="1:166" x14ac:dyDescent="0.3">
      <c r="A58" s="223">
        <v>57</v>
      </c>
      <c r="B58" s="315">
        <v>42394</v>
      </c>
      <c r="C58" s="212">
        <v>1014712.9937</v>
      </c>
      <c r="D58" s="212">
        <v>104.38777087</v>
      </c>
      <c r="E58" s="212">
        <v>1.3768937000000001</v>
      </c>
      <c r="F58" s="212">
        <v>6.5459550999999996</v>
      </c>
      <c r="G58" s="212">
        <v>4.4633606425999997</v>
      </c>
      <c r="H58" s="212">
        <v>3.6866254889999999</v>
      </c>
      <c r="I58" s="212">
        <v>0.97480027999999996</v>
      </c>
      <c r="J58" s="212">
        <v>4.3452109999999999</v>
      </c>
      <c r="K58" s="212">
        <v>3.0790829999999998</v>
      </c>
      <c r="L58" s="212">
        <v>10.559506738</v>
      </c>
      <c r="M58" s="212">
        <v>0.82445204000000005</v>
      </c>
      <c r="N58" s="212">
        <v>1.0965706609999999</v>
      </c>
      <c r="O58" s="212">
        <v>1.9414422149999999</v>
      </c>
      <c r="P58" s="212">
        <v>1.3104400570000001</v>
      </c>
      <c r="Q58" s="212">
        <v>1.542686</v>
      </c>
      <c r="R58" s="212">
        <v>1.7627628129999999</v>
      </c>
      <c r="S58" s="212">
        <v>12.304962</v>
      </c>
      <c r="T58" s="212">
        <v>2.8504619899999999</v>
      </c>
      <c r="U58" s="212">
        <v>3.2109003889999999</v>
      </c>
      <c r="V58" s="212">
        <v>1.541360528</v>
      </c>
      <c r="W58" s="212">
        <v>1.3330229840000001</v>
      </c>
      <c r="X58" s="212">
        <v>3.349938517</v>
      </c>
      <c r="Y58" s="212">
        <v>1.848865</v>
      </c>
      <c r="Z58" s="212">
        <v>1.6082540000000001</v>
      </c>
      <c r="AA58" s="212">
        <v>1.2974927979999999</v>
      </c>
      <c r="AB58" s="212">
        <v>1.1280969199999999</v>
      </c>
      <c r="AC58" s="212">
        <v>1.139352948</v>
      </c>
      <c r="AD58" s="212">
        <v>1.3145895460000001</v>
      </c>
      <c r="AE58" s="212">
        <v>1.312526783</v>
      </c>
      <c r="AF58" s="212">
        <v>1.2646307750000001</v>
      </c>
      <c r="AG58" s="212">
        <v>9.2345245400000007</v>
      </c>
      <c r="AH58" s="212">
        <v>1.7636393050000001</v>
      </c>
      <c r="AI58" s="212">
        <v>3.7503700000000002</v>
      </c>
      <c r="AJ58" s="212">
        <v>2.3279909999999999</v>
      </c>
      <c r="AK58" s="212">
        <v>194.13546740999999</v>
      </c>
      <c r="AL58" s="212">
        <v>1.0795823</v>
      </c>
      <c r="AM58" s="212">
        <v>1.8506621000000001</v>
      </c>
      <c r="AN58" s="212">
        <v>8.5494249999999994</v>
      </c>
      <c r="AO58" s="212">
        <v>1.7522903999999999</v>
      </c>
      <c r="AP58" s="212">
        <v>1.7465063000000001</v>
      </c>
      <c r="AQ58" s="212">
        <v>2.4239630000000001</v>
      </c>
      <c r="AR58" s="212">
        <v>8.5164839000000008</v>
      </c>
      <c r="AS58" s="212">
        <v>305.0028398</v>
      </c>
      <c r="AT58" s="212">
        <v>1.0797467999999999</v>
      </c>
      <c r="AU58" s="212">
        <v>2.9955588999999998</v>
      </c>
      <c r="AV58" s="212">
        <v>2.5010892</v>
      </c>
      <c r="AW58" s="212">
        <v>1.505698</v>
      </c>
      <c r="AX58" s="212">
        <v>1.2191463</v>
      </c>
      <c r="AY58" s="212">
        <v>2.4998860000000001</v>
      </c>
      <c r="AZ58" s="212" t="s">
        <v>830</v>
      </c>
      <c r="BA58" s="212">
        <v>1.8676060830000001</v>
      </c>
      <c r="BB58" s="212">
        <v>2.3725090999999998</v>
      </c>
      <c r="BC58" s="212">
        <v>2.9764349999999999</v>
      </c>
      <c r="BD58" s="212">
        <v>1.0869610000000001</v>
      </c>
      <c r="BE58" s="212">
        <v>1.070454</v>
      </c>
      <c r="BF58" s="212">
        <v>1.0597209999999999</v>
      </c>
      <c r="BG58" s="212">
        <v>1.082082</v>
      </c>
      <c r="BH58" s="212">
        <v>1.0658840000000001</v>
      </c>
      <c r="BI58" s="212">
        <v>1.2121310000000001</v>
      </c>
      <c r="BJ58" s="212">
        <v>1.1053249999999999</v>
      </c>
      <c r="BK58" s="212">
        <v>1.1974750000000001</v>
      </c>
      <c r="BL58" s="212">
        <v>1.206088</v>
      </c>
      <c r="BM58" s="212">
        <v>1.2053050000000001</v>
      </c>
      <c r="BN58" s="212">
        <v>1.0529219999999999</v>
      </c>
      <c r="BO58" s="212">
        <v>1.1128309999999999</v>
      </c>
      <c r="BP58" s="212">
        <v>2.6161650000000001</v>
      </c>
      <c r="BQ58" s="212">
        <v>1.361189</v>
      </c>
      <c r="BR58" s="212">
        <v>1.4568160000000001</v>
      </c>
      <c r="BS58" s="212">
        <v>1.2147269999999999</v>
      </c>
      <c r="BT58" s="212">
        <v>1.71397</v>
      </c>
      <c r="BU58" s="212">
        <v>1.706887</v>
      </c>
      <c r="BV58" s="212">
        <v>1.8871169999999999</v>
      </c>
      <c r="BW58" s="212">
        <v>1.727373</v>
      </c>
      <c r="BX58" s="212">
        <v>1.7006939999999999</v>
      </c>
      <c r="BY58" s="212">
        <v>1.690542</v>
      </c>
      <c r="BZ58" s="212">
        <v>1.947376</v>
      </c>
      <c r="CA58" s="212">
        <v>1.8810150000000001</v>
      </c>
      <c r="CB58" s="212">
        <v>1.8961349999999999</v>
      </c>
      <c r="CC58" s="212">
        <v>1.837852</v>
      </c>
      <c r="CD58" s="212">
        <v>1.8387</v>
      </c>
      <c r="CE58" s="212">
        <v>1.7879160000000001</v>
      </c>
      <c r="CF58" s="212">
        <v>1.1113360000000001</v>
      </c>
      <c r="CG58" s="212">
        <v>1.2599720000000001</v>
      </c>
      <c r="CH58" s="212">
        <v>1.281461</v>
      </c>
      <c r="CI58" s="212">
        <v>2.830031</v>
      </c>
      <c r="CJ58" s="212">
        <v>0.81494</v>
      </c>
      <c r="CK58" s="212">
        <v>0.88403600000000004</v>
      </c>
      <c r="CL58" s="212">
        <v>0.57977500000000004</v>
      </c>
      <c r="CM58" s="212">
        <v>2.5036800000000001</v>
      </c>
      <c r="CN58" s="212">
        <v>1.9863109999999999</v>
      </c>
      <c r="CO58" s="212">
        <v>0.93712399999999996</v>
      </c>
      <c r="CP58" s="212">
        <v>0.96775699999999998</v>
      </c>
      <c r="CQ58" s="212">
        <v>1.2643880000000001</v>
      </c>
      <c r="CR58" s="212">
        <v>13.756724</v>
      </c>
      <c r="CS58" s="212">
        <v>4.2920699999999998</v>
      </c>
      <c r="CT58" s="212">
        <v>1.934488</v>
      </c>
      <c r="CU58" s="212">
        <v>5.1744180000000002</v>
      </c>
      <c r="CV58" s="212">
        <v>9.2264289999999995</v>
      </c>
      <c r="CW58" s="212" t="s">
        <v>830</v>
      </c>
      <c r="CX58" s="212">
        <v>1.2077415595000001</v>
      </c>
      <c r="CY58" s="212">
        <v>1.9833504538</v>
      </c>
      <c r="CZ58" s="212">
        <v>1.1578443053</v>
      </c>
      <c r="DA58" s="212">
        <v>14.32145362</v>
      </c>
      <c r="DB58" s="212">
        <v>1.0962350000000001</v>
      </c>
      <c r="DC58" s="212">
        <v>1.098589</v>
      </c>
      <c r="DD58" s="212">
        <v>1.9268289999999999</v>
      </c>
      <c r="DE58" s="212">
        <v>1.8119609999999999</v>
      </c>
      <c r="DF58" s="212">
        <v>1.765547</v>
      </c>
      <c r="DG58" s="212">
        <v>1.0254150200000001</v>
      </c>
      <c r="DH58" s="212">
        <v>124.33525699</v>
      </c>
      <c r="DI58" s="212">
        <v>0.25390151</v>
      </c>
      <c r="DJ58" s="212">
        <v>2.0535999</v>
      </c>
      <c r="DK58" s="212">
        <v>1.9202890699999999</v>
      </c>
      <c r="DL58" s="212">
        <v>151394.63529999999</v>
      </c>
      <c r="DM58" s="212">
        <v>335.2917099</v>
      </c>
      <c r="DN58" s="212">
        <v>16.306761900000001</v>
      </c>
      <c r="DO58" s="212" t="s">
        <v>830</v>
      </c>
      <c r="DP58" s="212">
        <v>18079577.844999999</v>
      </c>
      <c r="DQ58" s="212">
        <v>1.3978344</v>
      </c>
      <c r="DR58" s="212">
        <v>14.6082106</v>
      </c>
      <c r="DS58" s="212">
        <v>21.4124458</v>
      </c>
      <c r="DT58" s="212">
        <v>1.8302601999999999</v>
      </c>
      <c r="DU58" s="212">
        <v>0.98645459999999996</v>
      </c>
      <c r="DV58" s="212">
        <v>1672.5228818999999</v>
      </c>
      <c r="DW58" s="212">
        <v>23012.098391</v>
      </c>
      <c r="DX58" s="212">
        <v>0.80736487000000001</v>
      </c>
      <c r="DY58" s="212">
        <v>8.9276289999999996</v>
      </c>
      <c r="DZ58" s="212">
        <v>223.95914500000001</v>
      </c>
      <c r="EA58" s="212">
        <v>17.78969</v>
      </c>
      <c r="EB58" s="212">
        <v>21.044689000000002</v>
      </c>
      <c r="EC58" s="212">
        <v>19.12369</v>
      </c>
      <c r="ED58" s="212">
        <v>2227.6433059999999</v>
      </c>
      <c r="EE58" s="212">
        <v>22.915759999999999</v>
      </c>
      <c r="EF58" s="212">
        <v>34.161831999999997</v>
      </c>
      <c r="EG58" s="212">
        <v>1.3534254999999999</v>
      </c>
      <c r="EH58" s="212">
        <v>0.65018419999999999</v>
      </c>
      <c r="EI58" s="212">
        <v>1.1503486999999999</v>
      </c>
      <c r="EJ58" s="212" t="s">
        <v>830</v>
      </c>
      <c r="EK58" s="212">
        <v>1.6116775999999999</v>
      </c>
      <c r="EL58" s="212">
        <v>2.7062073</v>
      </c>
      <c r="EM58">
        <v>1.2783738099999999</v>
      </c>
      <c r="EN58">
        <v>2.29485823</v>
      </c>
      <c r="EO58" s="221">
        <v>1.3862547000000001</v>
      </c>
      <c r="EP58">
        <v>259.64034800000002</v>
      </c>
      <c r="EQ58">
        <v>183.363867</v>
      </c>
      <c r="ER58">
        <v>16.318567300000002</v>
      </c>
      <c r="ES58">
        <v>14.0785404</v>
      </c>
      <c r="ET58">
        <v>8.7970512999999997</v>
      </c>
      <c r="EU58">
        <v>187.95466279999999</v>
      </c>
      <c r="EV58">
        <v>106.69636269999999</v>
      </c>
      <c r="EW58">
        <v>17.676251199999999</v>
      </c>
      <c r="EX58">
        <v>101.8884037</v>
      </c>
      <c r="EY58">
        <v>1.7410924000000001</v>
      </c>
      <c r="EZ58">
        <v>2296.7945767000001</v>
      </c>
      <c r="FA58" s="223">
        <v>8.3642629999999993</v>
      </c>
      <c r="FB58" s="223">
        <v>0.91434729999999997</v>
      </c>
      <c r="FC58" s="223">
        <v>1.9358926000000001</v>
      </c>
      <c r="FD58">
        <v>2.8221913000000001</v>
      </c>
      <c r="FE58">
        <v>1.2371342999999999</v>
      </c>
      <c r="FF58">
        <v>1.6238912000000001</v>
      </c>
      <c r="FG58">
        <v>0.73663420999999996</v>
      </c>
      <c r="FH58">
        <v>1.13012399</v>
      </c>
      <c r="FI58">
        <v>1.0627097299999999</v>
      </c>
      <c r="FJ58">
        <v>106.96767009</v>
      </c>
    </row>
    <row r="59" spans="1:166" x14ac:dyDescent="0.3">
      <c r="A59" s="223">
        <v>58</v>
      </c>
      <c r="B59" s="315">
        <v>42395</v>
      </c>
      <c r="C59" s="212">
        <v>1014642.9489</v>
      </c>
      <c r="D59" s="212">
        <v>104.38427182</v>
      </c>
      <c r="E59" s="212">
        <v>1.3795767000000001</v>
      </c>
      <c r="F59" s="212">
        <v>6.4424174000000001</v>
      </c>
      <c r="G59" s="212">
        <v>4.4666723381000004</v>
      </c>
      <c r="H59" s="212">
        <v>3.6069920990000002</v>
      </c>
      <c r="I59" s="212">
        <v>0.96456425400000001</v>
      </c>
      <c r="J59" s="212">
        <v>4.3474339999999998</v>
      </c>
      <c r="K59" s="212">
        <v>3.0802</v>
      </c>
      <c r="L59" s="212">
        <v>10.563983302</v>
      </c>
      <c r="M59" s="212">
        <v>0.812512291</v>
      </c>
      <c r="N59" s="212">
        <v>1.0791474679999999</v>
      </c>
      <c r="O59" s="212">
        <v>1.9414201719999999</v>
      </c>
      <c r="P59" s="212">
        <v>1.3136086499999999</v>
      </c>
      <c r="Q59" s="212">
        <v>1.543431</v>
      </c>
      <c r="R59" s="212">
        <v>1.765352918</v>
      </c>
      <c r="S59" s="212">
        <v>12.325113</v>
      </c>
      <c r="T59" s="212">
        <v>2.861548424</v>
      </c>
      <c r="U59" s="212">
        <v>3.2232804509999999</v>
      </c>
      <c r="V59" s="212">
        <v>1.5495992430000001</v>
      </c>
      <c r="W59" s="212">
        <v>1.337269306</v>
      </c>
      <c r="X59" s="212">
        <v>3.3648445730000001</v>
      </c>
      <c r="Y59" s="212">
        <v>1.8506419999999999</v>
      </c>
      <c r="Z59" s="212">
        <v>1.609081</v>
      </c>
      <c r="AA59" s="212">
        <v>1.3014095160000001</v>
      </c>
      <c r="AB59" s="212">
        <v>1.128813751</v>
      </c>
      <c r="AC59" s="212">
        <v>1.1409873189999999</v>
      </c>
      <c r="AD59" s="212">
        <v>1.3156412049999999</v>
      </c>
      <c r="AE59" s="212">
        <v>1.3135789840000001</v>
      </c>
      <c r="AF59" s="212">
        <v>1.2670667339999999</v>
      </c>
      <c r="AG59" s="212">
        <v>9.2392078959999999</v>
      </c>
      <c r="AH59" s="212">
        <v>1.7647115849999999</v>
      </c>
      <c r="AI59" s="212">
        <v>3.7525780000000002</v>
      </c>
      <c r="AJ59" s="212">
        <v>2.336389</v>
      </c>
      <c r="AK59" s="212">
        <v>194.33187760000001</v>
      </c>
      <c r="AL59" s="212">
        <v>1.0814528999999999</v>
      </c>
      <c r="AM59" s="212">
        <v>1.8577577999999999</v>
      </c>
      <c r="AN59" s="212">
        <v>8.5539202000000003</v>
      </c>
      <c r="AO59" s="212">
        <v>1.7531973000000001</v>
      </c>
      <c r="AP59" s="212">
        <v>1.7474114000000001</v>
      </c>
      <c r="AQ59" s="212">
        <v>2.4252142999999999</v>
      </c>
      <c r="AR59" s="212">
        <v>8.5208858999999997</v>
      </c>
      <c r="AS59" s="212">
        <v>300.73180500000001</v>
      </c>
      <c r="AT59" s="212">
        <v>1.0687652999999999</v>
      </c>
      <c r="AU59" s="212">
        <v>2.997017</v>
      </c>
      <c r="AV59" s="212">
        <v>2.5106747</v>
      </c>
      <c r="AW59" s="212">
        <v>1.5137712000000001</v>
      </c>
      <c r="AX59" s="212">
        <v>1.2211025</v>
      </c>
      <c r="AY59" s="212">
        <v>2.5079289</v>
      </c>
      <c r="AZ59" s="212" t="s">
        <v>830</v>
      </c>
      <c r="BA59" s="212">
        <v>1.8685655969999999</v>
      </c>
      <c r="BB59" s="212">
        <v>2.3816663</v>
      </c>
      <c r="BC59" s="212">
        <v>2.978316</v>
      </c>
      <c r="BD59" s="212">
        <v>1.087467</v>
      </c>
      <c r="BE59" s="212">
        <v>1.070953</v>
      </c>
      <c r="BF59" s="212">
        <v>1.060214</v>
      </c>
      <c r="BG59" s="212">
        <v>1.082586</v>
      </c>
      <c r="BH59" s="212">
        <v>1.0663800000000001</v>
      </c>
      <c r="BI59" s="212">
        <v>1.2131320000000001</v>
      </c>
      <c r="BJ59" s="212">
        <v>1.1071549999999999</v>
      </c>
      <c r="BK59" s="212">
        <v>1.2018040000000001</v>
      </c>
      <c r="BL59" s="212">
        <v>1.2070810000000001</v>
      </c>
      <c r="BM59" s="212">
        <v>1.2063010000000001</v>
      </c>
      <c r="BN59" s="212">
        <v>1.0552440000000001</v>
      </c>
      <c r="BO59" s="212">
        <v>1.119019</v>
      </c>
      <c r="BP59" s="212">
        <v>2.6175160000000002</v>
      </c>
      <c r="BQ59" s="212">
        <v>1.3618570000000001</v>
      </c>
      <c r="BR59" s="212">
        <v>1.4589540000000001</v>
      </c>
      <c r="BS59" s="212">
        <v>1.221204</v>
      </c>
      <c r="BT59" s="212">
        <v>1.7195</v>
      </c>
      <c r="BU59" s="212">
        <v>1.7082139999999999</v>
      </c>
      <c r="BV59" s="212">
        <v>1.888477</v>
      </c>
      <c r="BW59" s="212">
        <v>1.7285729999999999</v>
      </c>
      <c r="BX59" s="212">
        <v>1.7020189999999999</v>
      </c>
      <c r="BY59" s="212">
        <v>1.691729</v>
      </c>
      <c r="BZ59" s="212">
        <v>1.948815</v>
      </c>
      <c r="CA59" s="212">
        <v>1.8823730000000001</v>
      </c>
      <c r="CB59" s="212">
        <v>1.89744</v>
      </c>
      <c r="CC59" s="212">
        <v>1.839134</v>
      </c>
      <c r="CD59" s="212">
        <v>1.8399829999999999</v>
      </c>
      <c r="CE59" s="212">
        <v>1.7892429999999999</v>
      </c>
      <c r="CF59" s="212">
        <v>1.112195</v>
      </c>
      <c r="CG59" s="212">
        <v>1.269701</v>
      </c>
      <c r="CH59" s="212">
        <v>1.28722</v>
      </c>
      <c r="CI59" s="212">
        <v>2.8318349999999999</v>
      </c>
      <c r="CJ59" s="212">
        <v>0.796377</v>
      </c>
      <c r="CK59" s="212">
        <v>0.864151</v>
      </c>
      <c r="CL59" s="212">
        <v>0.56948799999999999</v>
      </c>
      <c r="CM59" s="212">
        <v>2.4626459999999999</v>
      </c>
      <c r="CN59" s="212">
        <v>1.975833</v>
      </c>
      <c r="CO59" s="212">
        <v>0.92036399999999996</v>
      </c>
      <c r="CP59" s="212">
        <v>0.95164800000000005</v>
      </c>
      <c r="CQ59" s="212">
        <v>1.265042</v>
      </c>
      <c r="CR59" s="212">
        <v>13.763109999999999</v>
      </c>
      <c r="CS59" s="212">
        <v>4.2940899999999997</v>
      </c>
      <c r="CT59" s="212">
        <v>1.941838</v>
      </c>
      <c r="CU59" s="212">
        <v>5.1761080000000002</v>
      </c>
      <c r="CV59" s="212">
        <v>9.2307100000000002</v>
      </c>
      <c r="CW59" s="212" t="s">
        <v>830</v>
      </c>
      <c r="CX59" s="212">
        <v>1.2083436048</v>
      </c>
      <c r="CY59" s="212">
        <v>1.9849148131000001</v>
      </c>
      <c r="CZ59" s="212">
        <v>1.1588062700999999</v>
      </c>
      <c r="DA59" s="212">
        <v>14.327539744999999</v>
      </c>
      <c r="DB59" s="212">
        <v>1.096746</v>
      </c>
      <c r="DC59" s="212">
        <v>1.100409</v>
      </c>
      <c r="DD59" s="212">
        <v>1.9299569999999999</v>
      </c>
      <c r="DE59" s="212">
        <v>1.8190770000000001</v>
      </c>
      <c r="DF59" s="212">
        <v>1.767247</v>
      </c>
      <c r="DG59" s="212">
        <v>1.0279110499999999</v>
      </c>
      <c r="DH59" s="212">
        <v>124.40907695999999</v>
      </c>
      <c r="DI59" s="212">
        <v>0.25408404000000001</v>
      </c>
      <c r="DJ59" s="212">
        <v>2.0545414000000002</v>
      </c>
      <c r="DK59" s="212">
        <v>1.9195969500000001</v>
      </c>
      <c r="DL59" s="212">
        <v>151493.91474000001</v>
      </c>
      <c r="DM59" s="212">
        <v>335.47235560000001</v>
      </c>
      <c r="DN59" s="212">
        <v>16.316284400000001</v>
      </c>
      <c r="DO59" s="212" t="s">
        <v>830</v>
      </c>
      <c r="DP59" s="212">
        <v>18078392.055</v>
      </c>
      <c r="DQ59" s="212">
        <v>1.3524801</v>
      </c>
      <c r="DR59" s="212">
        <v>14.6153859</v>
      </c>
      <c r="DS59" s="212">
        <v>21.423787000000001</v>
      </c>
      <c r="DT59" s="212">
        <v>1.835002</v>
      </c>
      <c r="DU59" s="212">
        <v>0.97483280000000005</v>
      </c>
      <c r="DV59" s="212">
        <v>1673.2671971</v>
      </c>
      <c r="DW59" s="212">
        <v>23009.000284000002</v>
      </c>
      <c r="DX59" s="212">
        <v>0.82001422199999996</v>
      </c>
      <c r="DY59" s="212">
        <v>8.8108920000000008</v>
      </c>
      <c r="DZ59" s="212">
        <v>224.093548</v>
      </c>
      <c r="EA59" s="212">
        <v>17.870636000000001</v>
      </c>
      <c r="EB59" s="212">
        <v>21.079049999999999</v>
      </c>
      <c r="EC59" s="212">
        <v>19.197147999999999</v>
      </c>
      <c r="ED59" s="212">
        <v>2228.8167530000001</v>
      </c>
      <c r="EE59" s="212">
        <v>22.927810000000001</v>
      </c>
      <c r="EF59" s="212">
        <v>34.179563999999999</v>
      </c>
      <c r="EG59" s="212">
        <v>1.3556064000000001</v>
      </c>
      <c r="EH59" s="212">
        <v>0.65038569999999996</v>
      </c>
      <c r="EI59" s="212">
        <v>1.1531933999999999</v>
      </c>
      <c r="EJ59" s="212" t="s">
        <v>830</v>
      </c>
      <c r="EK59" s="212">
        <v>1.6053534</v>
      </c>
      <c r="EL59" s="212">
        <v>2.6955906000000001</v>
      </c>
      <c r="EM59">
        <v>1.27851458</v>
      </c>
      <c r="EN59">
        <v>2.2967715900000001</v>
      </c>
      <c r="EO59" s="221">
        <v>1.3868811999999999</v>
      </c>
      <c r="EP59">
        <v>259.68447800000001</v>
      </c>
      <c r="EQ59">
        <v>183.92585199999999</v>
      </c>
      <c r="ER59">
        <v>16.3454552</v>
      </c>
      <c r="ES59">
        <v>14.132868800000001</v>
      </c>
      <c r="ET59">
        <v>8.8016845000000004</v>
      </c>
      <c r="EU59">
        <v>188.67845360000001</v>
      </c>
      <c r="EV59">
        <v>105.90796349999999</v>
      </c>
      <c r="EW59">
        <v>17.693178899999999</v>
      </c>
      <c r="EX59">
        <v>101.93885830000001</v>
      </c>
      <c r="EY59">
        <v>1.6713519999999999</v>
      </c>
      <c r="EZ59">
        <v>2297.9698837000001</v>
      </c>
      <c r="FA59" s="223">
        <v>8.3678399999999993</v>
      </c>
      <c r="FB59" s="223">
        <v>0.90141400000000005</v>
      </c>
      <c r="FC59" s="223">
        <v>1.9434456</v>
      </c>
      <c r="FD59">
        <v>2.8236205999999999</v>
      </c>
      <c r="FE59">
        <v>1.2387176</v>
      </c>
      <c r="FF59">
        <v>1.6308927</v>
      </c>
      <c r="FG59">
        <v>0.72848966999999998</v>
      </c>
      <c r="FH59">
        <v>1.1301999599999999</v>
      </c>
      <c r="FI59">
        <v>1.06262459</v>
      </c>
      <c r="FJ59">
        <v>107.08881167</v>
      </c>
    </row>
    <row r="60" spans="1:166" x14ac:dyDescent="0.3">
      <c r="A60" s="223">
        <v>59</v>
      </c>
      <c r="B60" s="315">
        <v>42396</v>
      </c>
      <c r="C60" s="212">
        <v>1014572.9068</v>
      </c>
      <c r="D60" s="212">
        <v>104.37950397</v>
      </c>
      <c r="E60" s="212">
        <v>1.3779908000000001</v>
      </c>
      <c r="F60" s="212">
        <v>6.5083894000000004</v>
      </c>
      <c r="G60" s="212">
        <v>4.4843781421999998</v>
      </c>
      <c r="H60" s="212">
        <v>3.6858423720000002</v>
      </c>
      <c r="I60" s="212">
        <v>0.97838892399999999</v>
      </c>
      <c r="J60" s="212">
        <v>4.3496589999999999</v>
      </c>
      <c r="K60" s="212">
        <v>3.0813359999999999</v>
      </c>
      <c r="L60" s="212">
        <v>10.568278703000001</v>
      </c>
      <c r="M60" s="212">
        <v>0.82802565900000002</v>
      </c>
      <c r="N60" s="212">
        <v>1.0963562849999999</v>
      </c>
      <c r="O60" s="212">
        <v>1.9466335239999999</v>
      </c>
      <c r="P60" s="212">
        <v>1.305986928</v>
      </c>
      <c r="Q60" s="212">
        <v>1.5441769999999999</v>
      </c>
      <c r="R60" s="212">
        <v>1.7591820760000001</v>
      </c>
      <c r="S60" s="212">
        <v>12.283695</v>
      </c>
      <c r="T60" s="212">
        <v>2.8527362979999999</v>
      </c>
      <c r="U60" s="212">
        <v>3.2132200609999999</v>
      </c>
      <c r="V60" s="212">
        <v>1.5451192890000001</v>
      </c>
      <c r="W60" s="212">
        <v>1.3363262950000001</v>
      </c>
      <c r="X60" s="212">
        <v>3.3653229659999999</v>
      </c>
      <c r="Y60" s="212">
        <v>1.851907</v>
      </c>
      <c r="Z60" s="212">
        <v>1.609877</v>
      </c>
      <c r="AA60" s="212">
        <v>1.293815508</v>
      </c>
      <c r="AB60" s="212">
        <v>1.127659601</v>
      </c>
      <c r="AC60" s="212">
        <v>1.1376513420000001</v>
      </c>
      <c r="AD60" s="212">
        <v>1.3166937160000001</v>
      </c>
      <c r="AE60" s="212">
        <v>1.3146320739999999</v>
      </c>
      <c r="AF60" s="212">
        <v>1.2592757379999999</v>
      </c>
      <c r="AG60" s="212">
        <v>9.2438919189999993</v>
      </c>
      <c r="AH60" s="212">
        <v>1.764194509</v>
      </c>
      <c r="AI60" s="212">
        <v>3.7538770000000001</v>
      </c>
      <c r="AJ60" s="212">
        <v>2.329161</v>
      </c>
      <c r="AK60" s="212">
        <v>194.07207094</v>
      </c>
      <c r="AL60" s="212">
        <v>1.0759447</v>
      </c>
      <c r="AM60" s="212">
        <v>1.8519874999999999</v>
      </c>
      <c r="AN60" s="212">
        <v>8.5583591999999999</v>
      </c>
      <c r="AO60" s="212">
        <v>1.7549104</v>
      </c>
      <c r="AP60" s="212">
        <v>1.7490874000000001</v>
      </c>
      <c r="AQ60" s="212">
        <v>2.4264559999999999</v>
      </c>
      <c r="AR60" s="212">
        <v>8.5252868999999993</v>
      </c>
      <c r="AS60" s="212">
        <v>307.80119230000003</v>
      </c>
      <c r="AT60" s="212">
        <v>1.0909017999999999</v>
      </c>
      <c r="AU60" s="212">
        <v>2.9984746000000002</v>
      </c>
      <c r="AV60" s="212">
        <v>2.5021022999999998</v>
      </c>
      <c r="AW60" s="212">
        <v>1.5092627000000001</v>
      </c>
      <c r="AX60" s="212">
        <v>1.2169692000000001</v>
      </c>
      <c r="AY60" s="212">
        <v>2.5053253</v>
      </c>
      <c r="AZ60" s="212" t="s">
        <v>830</v>
      </c>
      <c r="BA60" s="212">
        <v>1.8695278479999999</v>
      </c>
      <c r="BB60" s="212">
        <v>2.3720729</v>
      </c>
      <c r="BC60" s="212">
        <v>2.9798909999999998</v>
      </c>
      <c r="BD60" s="212">
        <v>1.0869880000000001</v>
      </c>
      <c r="BE60" s="212">
        <v>1.0704800000000001</v>
      </c>
      <c r="BF60" s="212">
        <v>1.0597460000000001</v>
      </c>
      <c r="BG60" s="212">
        <v>1.082109</v>
      </c>
      <c r="BH60" s="212">
        <v>1.0659110000000001</v>
      </c>
      <c r="BI60" s="212">
        <v>1.2141329999999999</v>
      </c>
      <c r="BJ60" s="212">
        <v>1.1021380000000001</v>
      </c>
      <c r="BK60" s="212">
        <v>1.194585</v>
      </c>
      <c r="BL60" s="212">
        <v>1.208075</v>
      </c>
      <c r="BM60" s="212">
        <v>1.2072989999999999</v>
      </c>
      <c r="BN60" s="212">
        <v>1.0486180000000001</v>
      </c>
      <c r="BO60" s="212">
        <v>1.1302289999999999</v>
      </c>
      <c r="BP60" s="212">
        <v>2.6188850000000001</v>
      </c>
      <c r="BQ60" s="212">
        <v>1.3625259999999999</v>
      </c>
      <c r="BR60" s="212">
        <v>1.4541040000000001</v>
      </c>
      <c r="BS60" s="212">
        <v>1.2178640000000001</v>
      </c>
      <c r="BT60" s="212">
        <v>1.7180789999999999</v>
      </c>
      <c r="BU60" s="212">
        <v>1.709541</v>
      </c>
      <c r="BV60" s="212">
        <v>1.8898379999999999</v>
      </c>
      <c r="BW60" s="212">
        <v>1.729773</v>
      </c>
      <c r="BX60" s="212">
        <v>1.7033450000000001</v>
      </c>
      <c r="BY60" s="212">
        <v>1.692917</v>
      </c>
      <c r="BZ60" s="212">
        <v>1.9502550000000001</v>
      </c>
      <c r="CA60" s="212">
        <v>1.8837330000000001</v>
      </c>
      <c r="CB60" s="212">
        <v>1.898746</v>
      </c>
      <c r="CC60" s="212">
        <v>1.840419</v>
      </c>
      <c r="CD60" s="212">
        <v>1.841267</v>
      </c>
      <c r="CE60" s="212">
        <v>1.7905709999999999</v>
      </c>
      <c r="CF60" s="212">
        <v>1.113056</v>
      </c>
      <c r="CG60" s="212">
        <v>1.2692829999999999</v>
      </c>
      <c r="CH60" s="212">
        <v>1.2874030000000001</v>
      </c>
      <c r="CI60" s="212">
        <v>2.8333900000000001</v>
      </c>
      <c r="CJ60" s="212">
        <v>0.823681</v>
      </c>
      <c r="CK60" s="212">
        <v>0.89354</v>
      </c>
      <c r="CL60" s="212">
        <v>0.57848500000000003</v>
      </c>
      <c r="CM60" s="212">
        <v>2.5265140000000001</v>
      </c>
      <c r="CN60" s="212">
        <v>1.9688079999999999</v>
      </c>
      <c r="CO60" s="212">
        <v>0.93612399999999996</v>
      </c>
      <c r="CP60" s="212">
        <v>0.963696</v>
      </c>
      <c r="CQ60" s="212">
        <v>1.2657</v>
      </c>
      <c r="CR60" s="212">
        <v>13.769496999999999</v>
      </c>
      <c r="CS60" s="212">
        <v>4.2961349999999996</v>
      </c>
      <c r="CT60" s="212">
        <v>1.9384760000000001</v>
      </c>
      <c r="CU60" s="212">
        <v>5.1777959999999998</v>
      </c>
      <c r="CV60" s="212">
        <v>9.2349890000000006</v>
      </c>
      <c r="CW60" s="212" t="s">
        <v>830</v>
      </c>
      <c r="CX60" s="212">
        <v>1.2089758793000001</v>
      </c>
      <c r="CY60" s="212">
        <v>1.9937480544999999</v>
      </c>
      <c r="CZ60" s="212">
        <v>1.159564303</v>
      </c>
      <c r="DA60" s="212">
        <v>14.334777337</v>
      </c>
      <c r="DB60" s="212">
        <v>1.0962620000000001</v>
      </c>
      <c r="DC60" s="212">
        <v>1.0954219999999999</v>
      </c>
      <c r="DD60" s="212">
        <v>1.9234469999999999</v>
      </c>
      <c r="DE60" s="212">
        <v>1.81365</v>
      </c>
      <c r="DF60" s="212">
        <v>1.768462</v>
      </c>
      <c r="DG60" s="212">
        <v>1.0254317399999999</v>
      </c>
      <c r="DH60" s="212">
        <v>124.48300195</v>
      </c>
      <c r="DI60" s="212">
        <v>0.25409003000000002</v>
      </c>
      <c r="DJ60" s="212">
        <v>2.0554882000000001</v>
      </c>
      <c r="DK60" s="212">
        <v>1.9188296</v>
      </c>
      <c r="DL60" s="212">
        <v>151593.26014</v>
      </c>
      <c r="DM60" s="212">
        <v>335.33661690000002</v>
      </c>
      <c r="DN60" s="212">
        <v>16.399908400000001</v>
      </c>
      <c r="DO60" s="212" t="s">
        <v>830</v>
      </c>
      <c r="DP60" s="212">
        <v>18077206.342</v>
      </c>
      <c r="DQ60" s="212">
        <v>1.3797301</v>
      </c>
      <c r="DR60" s="212">
        <v>14.6225925</v>
      </c>
      <c r="DS60" s="212">
        <v>21.4358234</v>
      </c>
      <c r="DT60" s="212">
        <v>1.8318227</v>
      </c>
      <c r="DU60" s="212">
        <v>0.9872012</v>
      </c>
      <c r="DV60" s="212">
        <v>1674.0128469000001</v>
      </c>
      <c r="DW60" s="212">
        <v>23005.897527000001</v>
      </c>
      <c r="DX60" s="212">
        <v>0.81300856799999999</v>
      </c>
      <c r="DY60" s="212">
        <v>9.0251389999999994</v>
      </c>
      <c r="DZ60" s="212">
        <v>224.20897199999999</v>
      </c>
      <c r="EA60" s="212">
        <v>17.874412</v>
      </c>
      <c r="EB60" s="212">
        <v>21.008291</v>
      </c>
      <c r="EC60" s="212">
        <v>19.138376999999998</v>
      </c>
      <c r="ED60" s="212">
        <v>2229.9706609999998</v>
      </c>
      <c r="EE60" s="212">
        <v>22.949373999999999</v>
      </c>
      <c r="EF60" s="212">
        <v>34.197298000000004</v>
      </c>
      <c r="EG60" s="212">
        <v>1.3574733999999999</v>
      </c>
      <c r="EH60" s="212">
        <v>0.65058740000000004</v>
      </c>
      <c r="EI60" s="212">
        <v>1.1533717000000001</v>
      </c>
      <c r="EJ60" s="212" t="s">
        <v>830</v>
      </c>
      <c r="EK60" s="212">
        <v>1.6090363999999999</v>
      </c>
      <c r="EL60" s="212">
        <v>2.7017758000000001</v>
      </c>
      <c r="EM60">
        <v>1.2767916699999999</v>
      </c>
      <c r="EN60">
        <v>2.29868652</v>
      </c>
      <c r="EO60" s="221">
        <v>1.3868197</v>
      </c>
      <c r="EP60">
        <v>259.47269899999998</v>
      </c>
      <c r="EQ60">
        <v>183.445088</v>
      </c>
      <c r="ER60">
        <v>16.290540700000001</v>
      </c>
      <c r="ES60">
        <v>14.0895668</v>
      </c>
      <c r="ET60">
        <v>8.8062147</v>
      </c>
      <c r="EU60">
        <v>188.09859929999999</v>
      </c>
      <c r="EV60">
        <v>107.9643191</v>
      </c>
      <c r="EW60">
        <v>17.7052409</v>
      </c>
      <c r="EX60">
        <v>101.98811619999999</v>
      </c>
      <c r="EY60">
        <v>1.8344883000000001</v>
      </c>
      <c r="EZ60">
        <v>2299.1038075000001</v>
      </c>
      <c r="FA60" s="223">
        <v>8.3714030000000008</v>
      </c>
      <c r="FB60" s="223">
        <v>0.92401089999999997</v>
      </c>
      <c r="FC60" s="223">
        <v>1.936712</v>
      </c>
      <c r="FD60">
        <v>2.8250497999999999</v>
      </c>
      <c r="FE60">
        <v>1.239735</v>
      </c>
      <c r="FF60">
        <v>1.6313747999999999</v>
      </c>
      <c r="FG60">
        <v>0.73926674000000003</v>
      </c>
      <c r="FH60">
        <v>1.1297011100000001</v>
      </c>
      <c r="FI60">
        <v>0.98386141999999999</v>
      </c>
      <c r="FJ60">
        <v>107.40769786</v>
      </c>
    </row>
    <row r="61" spans="1:166" x14ac:dyDescent="0.3">
      <c r="A61" s="223">
        <v>60</v>
      </c>
      <c r="B61" s="315">
        <v>42397</v>
      </c>
      <c r="C61" s="212">
        <v>1014502.8715</v>
      </c>
      <c r="D61" s="212">
        <v>104.37537552000001</v>
      </c>
      <c r="E61" s="212">
        <v>1.3815862999999999</v>
      </c>
      <c r="F61" s="212">
        <v>6.5636023000000003</v>
      </c>
      <c r="G61" s="212">
        <v>4.4730557715000003</v>
      </c>
      <c r="H61" s="212">
        <v>3.6991787939999998</v>
      </c>
      <c r="I61" s="212">
        <v>0.98184294299999997</v>
      </c>
      <c r="J61" s="212">
        <v>4.3518819999999998</v>
      </c>
      <c r="K61" s="212">
        <v>3.0824389999999999</v>
      </c>
      <c r="L61" s="212">
        <v>10.572839220000001</v>
      </c>
      <c r="M61" s="212">
        <v>0.83378466200000001</v>
      </c>
      <c r="N61" s="212">
        <v>1.1050219379999999</v>
      </c>
      <c r="O61" s="212">
        <v>1.9473734620000001</v>
      </c>
      <c r="P61" s="212">
        <v>1.310048275</v>
      </c>
      <c r="Q61" s="212">
        <v>1.5449219999999999</v>
      </c>
      <c r="R61" s="212">
        <v>1.761890693</v>
      </c>
      <c r="S61" s="212">
        <v>12.305894</v>
      </c>
      <c r="T61" s="212">
        <v>2.8669011470000001</v>
      </c>
      <c r="U61" s="212">
        <v>3.2299740809999999</v>
      </c>
      <c r="V61" s="212">
        <v>1.556700515</v>
      </c>
      <c r="W61" s="212">
        <v>1.341436005</v>
      </c>
      <c r="X61" s="212">
        <v>3.3822937300000002</v>
      </c>
      <c r="Y61" s="212">
        <v>1.854509</v>
      </c>
      <c r="Z61" s="212">
        <v>1.6107199999999999</v>
      </c>
      <c r="AA61" s="212">
        <v>1.2984231390000001</v>
      </c>
      <c r="AB61" s="212">
        <v>1.1281222909999999</v>
      </c>
      <c r="AC61" s="212">
        <v>1.1394151239999999</v>
      </c>
      <c r="AD61" s="212">
        <v>1.317746141</v>
      </c>
      <c r="AE61" s="212">
        <v>1.3156832620000001</v>
      </c>
      <c r="AF61" s="212">
        <v>1.264725833</v>
      </c>
      <c r="AG61" s="212">
        <v>9.2485731869999999</v>
      </c>
      <c r="AH61" s="212">
        <v>1.765056301</v>
      </c>
      <c r="AI61" s="212">
        <v>3.7561049999999998</v>
      </c>
      <c r="AJ61" s="212">
        <v>2.3402940000000001</v>
      </c>
      <c r="AK61" s="212">
        <v>194.27530171999999</v>
      </c>
      <c r="AL61" s="212">
        <v>1.0788133</v>
      </c>
      <c r="AM61" s="212">
        <v>1.8615387000000001</v>
      </c>
      <c r="AN61" s="212">
        <v>8.5628081999999992</v>
      </c>
      <c r="AO61" s="212">
        <v>1.7561156</v>
      </c>
      <c r="AP61" s="212">
        <v>1.7502841</v>
      </c>
      <c r="AQ61" s="212">
        <v>2.4277050999999998</v>
      </c>
      <c r="AR61" s="212">
        <v>8.5296909000000003</v>
      </c>
      <c r="AS61" s="212">
        <v>309.83484540000001</v>
      </c>
      <c r="AT61" s="212">
        <v>1.0940057000000001</v>
      </c>
      <c r="AU61" s="212">
        <v>2.9999332999999999</v>
      </c>
      <c r="AV61" s="212">
        <v>2.5148145999999998</v>
      </c>
      <c r="AW61" s="212">
        <v>1.520605</v>
      </c>
      <c r="AX61" s="212">
        <v>1.2191909999999999</v>
      </c>
      <c r="AY61" s="212">
        <v>2.5147339999999998</v>
      </c>
      <c r="AZ61" s="212" t="s">
        <v>830</v>
      </c>
      <c r="BA61" s="212">
        <v>1.8704958789999999</v>
      </c>
      <c r="BB61" s="212">
        <v>2.3839128000000001</v>
      </c>
      <c r="BC61" s="212">
        <v>2.981935</v>
      </c>
      <c r="BD61" s="212">
        <v>1.0872580000000001</v>
      </c>
      <c r="BE61" s="212">
        <v>1.0707469999999999</v>
      </c>
      <c r="BF61" s="212">
        <v>1.0600099999999999</v>
      </c>
      <c r="BG61" s="212">
        <v>1.082379</v>
      </c>
      <c r="BH61" s="212">
        <v>1.066176</v>
      </c>
      <c r="BI61" s="212">
        <v>1.2151350000000001</v>
      </c>
      <c r="BJ61" s="212">
        <v>1.1036619999999999</v>
      </c>
      <c r="BK61" s="212">
        <v>1.1991959999999999</v>
      </c>
      <c r="BL61" s="212">
        <v>1.2090689999999999</v>
      </c>
      <c r="BM61" s="212">
        <v>1.208297</v>
      </c>
      <c r="BN61" s="212">
        <v>1.053293</v>
      </c>
      <c r="BO61" s="212">
        <v>1.1363460000000001</v>
      </c>
      <c r="BP61" s="212">
        <v>2.6202359999999998</v>
      </c>
      <c r="BQ61" s="212">
        <v>1.3631949999999999</v>
      </c>
      <c r="BR61" s="212">
        <v>1.456229</v>
      </c>
      <c r="BS61" s="212">
        <v>1.226926</v>
      </c>
      <c r="BT61" s="212">
        <v>1.724688</v>
      </c>
      <c r="BU61" s="212">
        <v>1.7108699999999999</v>
      </c>
      <c r="BV61" s="212">
        <v>1.8912</v>
      </c>
      <c r="BW61" s="212">
        <v>1.7309749999999999</v>
      </c>
      <c r="BX61" s="212">
        <v>1.704672</v>
      </c>
      <c r="BY61" s="212">
        <v>1.694105</v>
      </c>
      <c r="BZ61" s="212">
        <v>1.951695</v>
      </c>
      <c r="CA61" s="212">
        <v>1.8850929999999999</v>
      </c>
      <c r="CB61" s="212">
        <v>1.900053</v>
      </c>
      <c r="CC61" s="212">
        <v>1.841704</v>
      </c>
      <c r="CD61" s="212">
        <v>1.842551</v>
      </c>
      <c r="CE61" s="212">
        <v>1.7918989999999999</v>
      </c>
      <c r="CF61" s="212">
        <v>1.1139159999999999</v>
      </c>
      <c r="CG61" s="212">
        <v>1.2792749999999999</v>
      </c>
      <c r="CH61" s="212">
        <v>1.293628</v>
      </c>
      <c r="CI61" s="212">
        <v>2.8354110000000001</v>
      </c>
      <c r="CJ61" s="212">
        <v>0.824318</v>
      </c>
      <c r="CK61" s="212">
        <v>0.89435900000000002</v>
      </c>
      <c r="CL61" s="212">
        <v>0.58329500000000001</v>
      </c>
      <c r="CM61" s="212">
        <v>2.538786</v>
      </c>
      <c r="CN61" s="212">
        <v>1.966942</v>
      </c>
      <c r="CO61" s="212">
        <v>0.95042000000000004</v>
      </c>
      <c r="CP61" s="212">
        <v>0.97011899999999995</v>
      </c>
      <c r="CQ61" s="212">
        <v>1.266356</v>
      </c>
      <c r="CR61" s="212">
        <v>13.775876</v>
      </c>
      <c r="CS61" s="212">
        <v>4.2982050000000003</v>
      </c>
      <c r="CT61" s="212">
        <v>1.947713</v>
      </c>
      <c r="CU61" s="212">
        <v>5.1794849999999997</v>
      </c>
      <c r="CV61" s="212">
        <v>9.2392679999999991</v>
      </c>
      <c r="CW61" s="212" t="s">
        <v>830</v>
      </c>
      <c r="CX61" s="212">
        <v>1.2096088065999999</v>
      </c>
      <c r="CY61" s="212">
        <v>1.9878384016999999</v>
      </c>
      <c r="CZ61" s="212">
        <v>1.1609256488999999</v>
      </c>
      <c r="DA61" s="212">
        <v>14.341987015000001</v>
      </c>
      <c r="DB61" s="212">
        <v>1.096535</v>
      </c>
      <c r="DC61" s="212">
        <v>1.0969370000000001</v>
      </c>
      <c r="DD61" s="212">
        <v>1.9269670000000001</v>
      </c>
      <c r="DE61" s="212">
        <v>1.822962</v>
      </c>
      <c r="DF61" s="212">
        <v>1.770942</v>
      </c>
      <c r="DG61" s="212">
        <v>1.0299128099999999</v>
      </c>
      <c r="DH61" s="212">
        <v>124.5571498</v>
      </c>
      <c r="DI61" s="212">
        <v>0.25425470999999999</v>
      </c>
      <c r="DJ61" s="212">
        <v>2.0564347000000001</v>
      </c>
      <c r="DK61" s="212">
        <v>1.91820049</v>
      </c>
      <c r="DL61" s="212">
        <v>151692.66972000001</v>
      </c>
      <c r="DM61" s="212">
        <v>335.51416460000002</v>
      </c>
      <c r="DN61" s="212">
        <v>16.395053600000001</v>
      </c>
      <c r="DO61" s="212" t="s">
        <v>830</v>
      </c>
      <c r="DP61" s="212">
        <v>18076020.712000001</v>
      </c>
      <c r="DQ61" s="212">
        <v>1.3853576000000001</v>
      </c>
      <c r="DR61" s="212">
        <v>14.621995200000001</v>
      </c>
      <c r="DS61" s="212">
        <v>21.447134899999998</v>
      </c>
      <c r="DT61" s="212">
        <v>1.8339345</v>
      </c>
      <c r="DU61" s="212">
        <v>0.99347779999999997</v>
      </c>
      <c r="DV61" s="212">
        <v>1674.7145929000001</v>
      </c>
      <c r="DW61" s="212">
        <v>23002.797658</v>
      </c>
      <c r="DX61" s="212">
        <v>0.81501726600000002</v>
      </c>
      <c r="DY61" s="212">
        <v>9.0747730000000004</v>
      </c>
      <c r="DZ61" s="212">
        <v>224.341804</v>
      </c>
      <c r="EA61" s="212">
        <v>17.964171</v>
      </c>
      <c r="EB61" s="212">
        <v>21.046702</v>
      </c>
      <c r="EC61" s="212">
        <v>19.237560999999999</v>
      </c>
      <c r="ED61" s="212">
        <v>2231.1409669999998</v>
      </c>
      <c r="EE61" s="212">
        <v>22.964925000000001</v>
      </c>
      <c r="EF61" s="212">
        <v>34.215049</v>
      </c>
      <c r="EG61" s="212">
        <v>1.3665436</v>
      </c>
      <c r="EH61" s="212">
        <v>0.65078910000000001</v>
      </c>
      <c r="EI61" s="212">
        <v>1.1563076000000001</v>
      </c>
      <c r="EJ61" s="212" t="s">
        <v>830</v>
      </c>
      <c r="EK61" s="212">
        <v>1.6110971000000001</v>
      </c>
      <c r="EL61" s="212">
        <v>2.7051826000000001</v>
      </c>
      <c r="EM61">
        <v>1.27693016</v>
      </c>
      <c r="EN61">
        <v>2.3006030499999999</v>
      </c>
      <c r="EO61" s="221">
        <v>1.3874420000000001</v>
      </c>
      <c r="EP61">
        <v>259.84851500000002</v>
      </c>
      <c r="EQ61">
        <v>184.30844500000001</v>
      </c>
      <c r="ER61">
        <v>16.320510299999999</v>
      </c>
      <c r="ES61">
        <v>14.1631024</v>
      </c>
      <c r="ET61">
        <v>8.8108012999999996</v>
      </c>
      <c r="EU61">
        <v>189.06907090000001</v>
      </c>
      <c r="EV61">
        <v>108.79419540000001</v>
      </c>
      <c r="EW61">
        <v>17.7300605</v>
      </c>
      <c r="EX61">
        <v>102.03802690000001</v>
      </c>
      <c r="EY61">
        <v>1.82924</v>
      </c>
      <c r="EZ61">
        <v>2300.2653123999999</v>
      </c>
      <c r="FA61" s="223">
        <v>8.3749749999999992</v>
      </c>
      <c r="FB61" s="223">
        <v>0.92871610000000004</v>
      </c>
      <c r="FC61" s="223">
        <v>1.9471594000000001</v>
      </c>
      <c r="FD61">
        <v>2.8264814</v>
      </c>
      <c r="FE61">
        <v>1.2418716000000001</v>
      </c>
      <c r="FF61">
        <v>1.6393575</v>
      </c>
      <c r="FG61">
        <v>0.74045382000000004</v>
      </c>
      <c r="FH61">
        <v>1.1309761300000001</v>
      </c>
      <c r="FI61">
        <v>0.98378253000000004</v>
      </c>
      <c r="FJ61">
        <v>106.77571570000001</v>
      </c>
    </row>
    <row r="62" spans="1:166" x14ac:dyDescent="0.3">
      <c r="A62" s="223">
        <v>61</v>
      </c>
      <c r="B62" s="315">
        <v>42398</v>
      </c>
      <c r="C62" s="212">
        <v>1014426.4687</v>
      </c>
      <c r="D62" s="212">
        <v>104.43402775</v>
      </c>
      <c r="E62" s="212">
        <v>1.3814903999999999</v>
      </c>
      <c r="F62" s="212">
        <v>6.7471152999999999</v>
      </c>
      <c r="G62" s="212">
        <v>4.4964712749000002</v>
      </c>
      <c r="H62" s="212">
        <v>3.8461468879999998</v>
      </c>
      <c r="I62" s="212">
        <v>1.006616312</v>
      </c>
      <c r="J62" s="212">
        <v>4.3541049999999997</v>
      </c>
      <c r="K62" s="212">
        <v>3.0835669999999999</v>
      </c>
      <c r="L62" s="212">
        <v>10.577219274999999</v>
      </c>
      <c r="M62" s="212">
        <v>0.868441817</v>
      </c>
      <c r="N62" s="212">
        <v>1.154931524</v>
      </c>
      <c r="O62" s="212">
        <v>1.9511940649999999</v>
      </c>
      <c r="P62" s="212">
        <v>1.309609078</v>
      </c>
      <c r="Q62" s="212">
        <v>1.5456510000000001</v>
      </c>
      <c r="R62" s="212">
        <v>1.7596763740000001</v>
      </c>
      <c r="S62" s="212">
        <v>12.292411</v>
      </c>
      <c r="T62" s="212">
        <v>2.8745068790000001</v>
      </c>
      <c r="U62" s="212">
        <v>3.238971351</v>
      </c>
      <c r="V62" s="212">
        <v>1.5648764580000001</v>
      </c>
      <c r="W62" s="212">
        <v>1.344598779</v>
      </c>
      <c r="X62" s="212">
        <v>3.3933429980000001</v>
      </c>
      <c r="Y62" s="212">
        <v>1.8549869999999999</v>
      </c>
      <c r="Z62" s="212">
        <v>1.6115349999999999</v>
      </c>
      <c r="AA62" s="212">
        <v>1.299786074</v>
      </c>
      <c r="AB62" s="212">
        <v>1.1279278740000001</v>
      </c>
      <c r="AC62" s="212">
        <v>1.1387454770000001</v>
      </c>
      <c r="AD62" s="212">
        <v>1.3187994199999999</v>
      </c>
      <c r="AE62" s="212">
        <v>1.316735335</v>
      </c>
      <c r="AF62" s="212">
        <v>1.266224923</v>
      </c>
      <c r="AG62" s="212">
        <v>9.2532565600000005</v>
      </c>
      <c r="AH62" s="212">
        <v>1.7654239359999999</v>
      </c>
      <c r="AI62" s="212">
        <v>3.7578179999999999</v>
      </c>
      <c r="AJ62" s="212">
        <v>2.3446690000000001</v>
      </c>
      <c r="AK62" s="212">
        <v>194.31692473999999</v>
      </c>
      <c r="AL62" s="212">
        <v>1.0765539</v>
      </c>
      <c r="AM62" s="212">
        <v>1.8665484999999999</v>
      </c>
      <c r="AN62" s="212">
        <v>8.5672283999999994</v>
      </c>
      <c r="AO62" s="212">
        <v>1.7585677</v>
      </c>
      <c r="AP62" s="212">
        <v>1.7527385</v>
      </c>
      <c r="AQ62" s="212">
        <v>2.4289577000000002</v>
      </c>
      <c r="AR62" s="212">
        <v>8.5340995999999993</v>
      </c>
      <c r="AS62" s="212">
        <v>324.10801500000002</v>
      </c>
      <c r="AT62" s="212">
        <v>1.1343924999999999</v>
      </c>
      <c r="AU62" s="212">
        <v>3.0013931999999999</v>
      </c>
      <c r="AV62" s="212">
        <v>2.521487</v>
      </c>
      <c r="AW62" s="212">
        <v>1.5286086999999999</v>
      </c>
      <c r="AX62" s="212">
        <v>1.2178142999999999</v>
      </c>
      <c r="AY62" s="212">
        <v>2.5200349000000002</v>
      </c>
      <c r="AZ62" s="212" t="s">
        <v>830</v>
      </c>
      <c r="BA62" s="212">
        <v>1.871453343</v>
      </c>
      <c r="BB62" s="212">
        <v>2.3898096999999998</v>
      </c>
      <c r="BC62" s="212">
        <v>2.983406</v>
      </c>
      <c r="BD62" s="212">
        <v>1.08738</v>
      </c>
      <c r="BE62" s="212">
        <v>1.0708660000000001</v>
      </c>
      <c r="BF62" s="212">
        <v>1.060128</v>
      </c>
      <c r="BG62" s="212">
        <v>1.0825</v>
      </c>
      <c r="BH62" s="212">
        <v>1.0662959999999999</v>
      </c>
      <c r="BI62" s="212">
        <v>1.2161379999999999</v>
      </c>
      <c r="BJ62" s="212">
        <v>1.101575</v>
      </c>
      <c r="BK62" s="212">
        <v>1.1969609999999999</v>
      </c>
      <c r="BL62" s="212">
        <v>1.210064</v>
      </c>
      <c r="BM62" s="212">
        <v>1.2092959999999999</v>
      </c>
      <c r="BN62" s="212">
        <v>1.0546789999999999</v>
      </c>
      <c r="BO62" s="212">
        <v>1.1409910000000001</v>
      </c>
      <c r="BP62" s="212">
        <v>2.6214149999999998</v>
      </c>
      <c r="BQ62" s="212">
        <v>1.363864</v>
      </c>
      <c r="BR62" s="212">
        <v>1.454529</v>
      </c>
      <c r="BS62" s="212">
        <v>1.233358</v>
      </c>
      <c r="BT62" s="212">
        <v>1.728539</v>
      </c>
      <c r="BU62" s="212">
        <v>1.7138009999999999</v>
      </c>
      <c r="BV62" s="212">
        <v>1.892563</v>
      </c>
      <c r="BW62" s="212">
        <v>1.7321530000000001</v>
      </c>
      <c r="BX62" s="212">
        <v>1.7078040000000001</v>
      </c>
      <c r="BY62" s="212">
        <v>1.6977169999999999</v>
      </c>
      <c r="BZ62" s="212">
        <v>1.9530730000000001</v>
      </c>
      <c r="CA62" s="212">
        <v>1.886455</v>
      </c>
      <c r="CB62" s="212">
        <v>1.901362</v>
      </c>
      <c r="CC62" s="212">
        <v>1.8429899999999999</v>
      </c>
      <c r="CD62" s="212">
        <v>1.8438369999999999</v>
      </c>
      <c r="CE62" s="212">
        <v>1.793191</v>
      </c>
      <c r="CF62" s="212">
        <v>1.127831</v>
      </c>
      <c r="CG62" s="212">
        <v>1.286619</v>
      </c>
      <c r="CH62" s="212">
        <v>1.2979719999999999</v>
      </c>
      <c r="CI62" s="212">
        <v>2.8368519999999999</v>
      </c>
      <c r="CJ62" s="212">
        <v>0.86550000000000005</v>
      </c>
      <c r="CK62" s="212">
        <v>0.93892399999999998</v>
      </c>
      <c r="CL62" s="212">
        <v>0.61168100000000003</v>
      </c>
      <c r="CM62" s="212">
        <v>2.6566000000000001</v>
      </c>
      <c r="CN62" s="212">
        <v>1.9793339999999999</v>
      </c>
      <c r="CO62" s="212">
        <v>0.97545499999999996</v>
      </c>
      <c r="CP62" s="212">
        <v>0.99202199999999996</v>
      </c>
      <c r="CQ62" s="212">
        <v>1.2670129999999999</v>
      </c>
      <c r="CR62" s="212">
        <v>13.782282</v>
      </c>
      <c r="CS62" s="212">
        <v>4.2997620000000003</v>
      </c>
      <c r="CT62" s="212">
        <v>1.9544790000000001</v>
      </c>
      <c r="CU62" s="212">
        <v>5.1811749999999996</v>
      </c>
      <c r="CV62" s="212">
        <v>9.2435600000000004</v>
      </c>
      <c r="CW62" s="212">
        <v>865.07212722999998</v>
      </c>
      <c r="CX62" s="212">
        <v>1.2102446949000001</v>
      </c>
      <c r="CY62" s="212">
        <v>1.9994142975</v>
      </c>
      <c r="CZ62" s="212">
        <v>1.1613030368999999</v>
      </c>
      <c r="DA62" s="212">
        <v>14.349228759000001</v>
      </c>
      <c r="DB62" s="212">
        <v>1.0966579999999999</v>
      </c>
      <c r="DC62" s="212">
        <v>1.0948640000000001</v>
      </c>
      <c r="DD62" s="212">
        <v>1.9248259999999999</v>
      </c>
      <c r="DE62" s="212">
        <v>1.8280050000000001</v>
      </c>
      <c r="DF62" s="212">
        <v>1.7714099999999999</v>
      </c>
      <c r="DG62" s="212">
        <v>1.0331276199999999</v>
      </c>
      <c r="DH62" s="212">
        <v>124.63137861</v>
      </c>
      <c r="DI62" s="212">
        <v>0.25439671000000003</v>
      </c>
      <c r="DJ62" s="212">
        <v>2.0573822000000002</v>
      </c>
      <c r="DK62" s="212">
        <v>1.9168486</v>
      </c>
      <c r="DL62" s="212">
        <v>151792.14459000001</v>
      </c>
      <c r="DM62" s="212">
        <v>335.68809879999998</v>
      </c>
      <c r="DN62" s="212">
        <v>16.2533979</v>
      </c>
      <c r="DO62" s="212">
        <v>67.75</v>
      </c>
      <c r="DP62" s="212">
        <v>18074835.340999998</v>
      </c>
      <c r="DQ62" s="212">
        <v>1.433875</v>
      </c>
      <c r="DR62" s="212">
        <v>14.629262499999999</v>
      </c>
      <c r="DS62" s="212">
        <v>21.458486199999999</v>
      </c>
      <c r="DT62" s="212">
        <v>1.836327</v>
      </c>
      <c r="DU62" s="212">
        <v>1.0290425999999999</v>
      </c>
      <c r="DV62" s="212">
        <v>1675.3643967</v>
      </c>
      <c r="DW62" s="212">
        <v>22991.606279</v>
      </c>
      <c r="DX62" s="212">
        <v>0.82793235300000001</v>
      </c>
      <c r="DY62" s="212">
        <v>9.4818160000000002</v>
      </c>
      <c r="DZ62" s="212">
        <v>224.48175900000001</v>
      </c>
      <c r="EA62" s="212">
        <v>18.022870999999999</v>
      </c>
      <c r="EB62" s="212">
        <v>21.02319</v>
      </c>
      <c r="EC62" s="212">
        <v>19.288988</v>
      </c>
      <c r="ED62" s="212">
        <v>2232.287437</v>
      </c>
      <c r="EE62" s="212">
        <v>22.997081999999999</v>
      </c>
      <c r="EF62" s="212">
        <v>34.232799</v>
      </c>
      <c r="EG62" s="212">
        <v>1.385912</v>
      </c>
      <c r="EH62" s="212">
        <v>0.65099090000000004</v>
      </c>
      <c r="EI62" s="212">
        <v>1.1584844999999999</v>
      </c>
      <c r="EJ62" s="212">
        <v>1.89773405</v>
      </c>
      <c r="EK62" s="212">
        <v>1.6180557</v>
      </c>
      <c r="EL62" s="212">
        <v>2.7168671999999998</v>
      </c>
      <c r="EM62">
        <v>1.2793477600000001</v>
      </c>
      <c r="EN62">
        <v>2.3025211799999998</v>
      </c>
      <c r="EO62" s="221">
        <v>1.3876226</v>
      </c>
      <c r="EP62">
        <v>259.86390299999999</v>
      </c>
      <c r="EQ62">
        <v>184.80849599999999</v>
      </c>
      <c r="ER62">
        <v>16.302407200000001</v>
      </c>
      <c r="ES62">
        <v>14.201072</v>
      </c>
      <c r="ET62">
        <v>8.8155497999999994</v>
      </c>
      <c r="EU62">
        <v>189.5742922</v>
      </c>
      <c r="EV62">
        <v>112.12459990000001</v>
      </c>
      <c r="EW62">
        <v>17.7345297</v>
      </c>
      <c r="EX62">
        <v>102.0898097</v>
      </c>
      <c r="EY62">
        <v>1.9443511</v>
      </c>
      <c r="EZ62">
        <v>2301.4552103999999</v>
      </c>
      <c r="FA62" s="223">
        <v>8.378539</v>
      </c>
      <c r="FB62" s="223">
        <v>0.96698989999999996</v>
      </c>
      <c r="FC62" s="223">
        <v>1.9524615999999999</v>
      </c>
      <c r="FD62">
        <v>2.8279372999999999</v>
      </c>
      <c r="FE62">
        <v>1.2423660999999999</v>
      </c>
      <c r="FF62">
        <v>1.6445126999999999</v>
      </c>
      <c r="FG62">
        <v>0.76389437999999998</v>
      </c>
      <c r="FH62">
        <v>1.13271783</v>
      </c>
      <c r="FI62">
        <v>0.98235644</v>
      </c>
      <c r="FJ62">
        <v>107.85013784</v>
      </c>
    </row>
    <row r="63" spans="1:166" x14ac:dyDescent="0.3">
      <c r="A63" s="223">
        <v>62</v>
      </c>
      <c r="B63" s="315">
        <v>42401</v>
      </c>
      <c r="C63" s="212">
        <v>1014360.4739</v>
      </c>
      <c r="D63" s="212">
        <v>104.40963699</v>
      </c>
      <c r="E63" s="212">
        <v>1.385902</v>
      </c>
      <c r="F63" s="212">
        <v>6.6491832000000004</v>
      </c>
      <c r="G63" s="212">
        <v>4.5097658691999998</v>
      </c>
      <c r="H63" s="212">
        <v>3.78697594</v>
      </c>
      <c r="I63" s="212">
        <v>1.014475461</v>
      </c>
      <c r="J63" s="212">
        <v>4.3564220000000002</v>
      </c>
      <c r="K63" s="212">
        <v>3.0847000000000002</v>
      </c>
      <c r="L63" s="212">
        <v>10.581750927</v>
      </c>
      <c r="M63" s="212">
        <v>0.87031097599999996</v>
      </c>
      <c r="N63" s="212">
        <v>1.163765492</v>
      </c>
      <c r="O63" s="212">
        <v>1.951605619</v>
      </c>
      <c r="P63" s="212">
        <v>1.317481031</v>
      </c>
      <c r="Q63" s="212">
        <v>1.5463960000000001</v>
      </c>
      <c r="R63" s="212">
        <v>1.763489758</v>
      </c>
      <c r="S63" s="212">
        <v>12.329245</v>
      </c>
      <c r="T63" s="212">
        <v>2.8944458740000001</v>
      </c>
      <c r="U63" s="212">
        <v>3.2615265820000001</v>
      </c>
      <c r="V63" s="212">
        <v>1.579495297</v>
      </c>
      <c r="W63" s="212">
        <v>1.350497885</v>
      </c>
      <c r="X63" s="212">
        <v>3.4099545939999998</v>
      </c>
      <c r="Y63" s="212">
        <v>1.85676</v>
      </c>
      <c r="Z63" s="212">
        <v>1.6123730000000001</v>
      </c>
      <c r="AA63" s="212">
        <v>1.309036241</v>
      </c>
      <c r="AB63" s="212">
        <v>1.1285504820000001</v>
      </c>
      <c r="AC63" s="212">
        <v>1.141769856</v>
      </c>
      <c r="AD63" s="212">
        <v>1.3198538470000001</v>
      </c>
      <c r="AE63" s="212">
        <v>1.317789294</v>
      </c>
      <c r="AF63" s="212">
        <v>1.275431354</v>
      </c>
      <c r="AG63" s="212">
        <v>9.2579954890000007</v>
      </c>
      <c r="AH63" s="212">
        <v>1.7661700579999999</v>
      </c>
      <c r="AI63" s="212">
        <v>3.7602479999999998</v>
      </c>
      <c r="AJ63" s="212">
        <v>2.3605900000000002</v>
      </c>
      <c r="AK63" s="212">
        <v>194.67248389</v>
      </c>
      <c r="AL63" s="212">
        <v>1.0818852000000001</v>
      </c>
      <c r="AM63" s="212">
        <v>1.8798252</v>
      </c>
      <c r="AN63" s="212">
        <v>8.5715491000000004</v>
      </c>
      <c r="AO63" s="212">
        <v>1.7590284</v>
      </c>
      <c r="AP63" s="212">
        <v>1.7531911</v>
      </c>
      <c r="AQ63" s="212">
        <v>2.4302104</v>
      </c>
      <c r="AR63" s="212">
        <v>8.5385109000000003</v>
      </c>
      <c r="AS63" s="212">
        <v>325.48372920000003</v>
      </c>
      <c r="AT63" s="212">
        <v>1.1414249000000001</v>
      </c>
      <c r="AU63" s="212">
        <v>3.0028543999999999</v>
      </c>
      <c r="AV63" s="212">
        <v>2.5389908000000001</v>
      </c>
      <c r="AW63" s="212">
        <v>1.5434015000000001</v>
      </c>
      <c r="AX63" s="212">
        <v>1.2214347999999999</v>
      </c>
      <c r="AY63" s="212">
        <v>2.5310771000000001</v>
      </c>
      <c r="AZ63" s="212" t="s">
        <v>830</v>
      </c>
      <c r="BA63" s="212">
        <v>1.8724080649999999</v>
      </c>
      <c r="BB63" s="212">
        <v>2.4066022999999999</v>
      </c>
      <c r="BC63" s="212">
        <v>2.9852850000000002</v>
      </c>
      <c r="BD63" s="212">
        <v>1.087701</v>
      </c>
      <c r="BE63" s="212">
        <v>1.0711820000000001</v>
      </c>
      <c r="BF63" s="212">
        <v>1.060441</v>
      </c>
      <c r="BG63" s="212">
        <v>1.0828199999999999</v>
      </c>
      <c r="BH63" s="212">
        <v>1.0666100000000001</v>
      </c>
      <c r="BI63" s="212">
        <v>1.217141</v>
      </c>
      <c r="BJ63" s="212">
        <v>1.1038889999999999</v>
      </c>
      <c r="BK63" s="212">
        <v>1.2057789999999999</v>
      </c>
      <c r="BL63" s="212">
        <v>1.21106</v>
      </c>
      <c r="BM63" s="212">
        <v>1.210296</v>
      </c>
      <c r="BN63" s="212">
        <v>1.0625100000000001</v>
      </c>
      <c r="BO63" s="212">
        <v>1.1509160000000001</v>
      </c>
      <c r="BP63" s="212">
        <v>2.6227930000000002</v>
      </c>
      <c r="BQ63" s="212">
        <v>1.364533</v>
      </c>
      <c r="BR63" s="212">
        <v>1.457811</v>
      </c>
      <c r="BS63" s="212">
        <v>1.245236</v>
      </c>
      <c r="BT63" s="212">
        <v>1.736415</v>
      </c>
      <c r="BU63" s="212">
        <v>1.7151240000000001</v>
      </c>
      <c r="BV63" s="212">
        <v>1.8939269999999999</v>
      </c>
      <c r="BW63" s="212">
        <v>1.733357</v>
      </c>
      <c r="BX63" s="212">
        <v>1.7091240000000001</v>
      </c>
      <c r="BY63" s="212">
        <v>1.699039</v>
      </c>
      <c r="BZ63" s="212">
        <v>1.9545170000000001</v>
      </c>
      <c r="CA63" s="212">
        <v>1.8878170000000001</v>
      </c>
      <c r="CB63" s="212">
        <v>1.9026700000000001</v>
      </c>
      <c r="CC63" s="212">
        <v>1.8442769999999999</v>
      </c>
      <c r="CD63" s="212">
        <v>1.8451230000000001</v>
      </c>
      <c r="CE63" s="212">
        <v>1.794522</v>
      </c>
      <c r="CF63" s="212">
        <v>1.128679</v>
      </c>
      <c r="CG63" s="212">
        <v>1.297507</v>
      </c>
      <c r="CH63" s="212">
        <v>1.3044119999999999</v>
      </c>
      <c r="CI63" s="212">
        <v>2.8386589999999998</v>
      </c>
      <c r="CJ63" s="212">
        <v>0.86549600000000004</v>
      </c>
      <c r="CK63" s="212">
        <v>0.93901299999999999</v>
      </c>
      <c r="CL63" s="212">
        <v>0.610958</v>
      </c>
      <c r="CM63" s="212">
        <v>2.6641870000000001</v>
      </c>
      <c r="CN63" s="212">
        <v>1.971686</v>
      </c>
      <c r="CO63" s="212">
        <v>0.98372199999999999</v>
      </c>
      <c r="CP63" s="212">
        <v>0.997942</v>
      </c>
      <c r="CQ63" s="212">
        <v>1.2676700000000001</v>
      </c>
      <c r="CR63" s="212">
        <v>13.788677</v>
      </c>
      <c r="CS63" s="212">
        <v>4.3018380000000001</v>
      </c>
      <c r="CT63" s="212">
        <v>1.9662139999999999</v>
      </c>
      <c r="CU63" s="212">
        <v>5.1828669999999999</v>
      </c>
      <c r="CV63" s="212">
        <v>9.2478499999999997</v>
      </c>
      <c r="CW63" s="212" t="s">
        <v>830</v>
      </c>
      <c r="CX63" s="212">
        <v>1.2108782538</v>
      </c>
      <c r="CY63" s="212">
        <v>2.0057909500000002</v>
      </c>
      <c r="CZ63" s="212">
        <v>1.1622442856999999</v>
      </c>
      <c r="DA63" s="212">
        <v>14.3563571</v>
      </c>
      <c r="DB63" s="212">
        <v>1.0969819999999999</v>
      </c>
      <c r="DC63" s="212">
        <v>1.0971630000000001</v>
      </c>
      <c r="DD63" s="212">
        <v>1.93062</v>
      </c>
      <c r="DE63" s="212">
        <v>1.8407819999999999</v>
      </c>
      <c r="DF63" s="212">
        <v>1.773109</v>
      </c>
      <c r="DG63" s="212">
        <v>1.0395016100000001</v>
      </c>
      <c r="DH63" s="212">
        <v>124.70537650999999</v>
      </c>
      <c r="DI63" s="212">
        <v>0.2548339</v>
      </c>
      <c r="DJ63" s="212">
        <v>2.0583288999999998</v>
      </c>
      <c r="DK63" s="212">
        <v>1.9171049899999999</v>
      </c>
      <c r="DL63" s="212">
        <v>151891.68496000001</v>
      </c>
      <c r="DM63" s="212">
        <v>335.40588259999998</v>
      </c>
      <c r="DN63" s="212">
        <v>16.263036899999999</v>
      </c>
      <c r="DO63" s="212" t="s">
        <v>830</v>
      </c>
      <c r="DP63" s="212">
        <v>18073650.048</v>
      </c>
      <c r="DQ63" s="212">
        <v>1.3932602000000001</v>
      </c>
      <c r="DR63" s="212">
        <v>14.636483699999999</v>
      </c>
      <c r="DS63" s="212">
        <v>21.469941800000001</v>
      </c>
      <c r="DT63" s="212">
        <v>1.8401932999999999</v>
      </c>
      <c r="DU63" s="212">
        <v>1.0281856</v>
      </c>
      <c r="DV63" s="212">
        <v>1676.0835179999999</v>
      </c>
      <c r="DW63" s="212">
        <v>22985.806038999999</v>
      </c>
      <c r="DX63" s="212">
        <v>0.82654432</v>
      </c>
      <c r="DY63" s="212">
        <v>9.5158380000000005</v>
      </c>
      <c r="DZ63" s="212">
        <v>224.62581800000001</v>
      </c>
      <c r="EA63" s="212">
        <v>18.111090000000001</v>
      </c>
      <c r="EB63" s="212">
        <v>21.086500000000001</v>
      </c>
      <c r="EC63" s="212">
        <v>19.423707</v>
      </c>
      <c r="ED63" s="212">
        <v>2233.4609070000001</v>
      </c>
      <c r="EE63" s="212">
        <v>23.003070999999998</v>
      </c>
      <c r="EF63" s="212">
        <v>34.250566999999997</v>
      </c>
      <c r="EG63" s="212">
        <v>1.3848729</v>
      </c>
      <c r="EH63" s="212">
        <v>0.65119260000000001</v>
      </c>
      <c r="EI63" s="212">
        <v>1.1627590000000001</v>
      </c>
      <c r="EJ63" s="212" t="s">
        <v>830</v>
      </c>
      <c r="EK63" s="212">
        <v>1.6188996</v>
      </c>
      <c r="EL63" s="212">
        <v>2.7182856000000002</v>
      </c>
      <c r="EM63">
        <v>1.2794611300000001</v>
      </c>
      <c r="EN63">
        <v>2.3044409099999998</v>
      </c>
      <c r="EO63" s="221">
        <v>1.3882494999999999</v>
      </c>
      <c r="EP63">
        <v>260.30605500000001</v>
      </c>
      <c r="EQ63">
        <v>185.95657499999999</v>
      </c>
      <c r="ER63">
        <v>16.351601299999999</v>
      </c>
      <c r="ES63">
        <v>14.3004921</v>
      </c>
      <c r="ET63">
        <v>8.8203095000000005</v>
      </c>
      <c r="EU63">
        <v>190.89999510000001</v>
      </c>
      <c r="EV63">
        <v>112.25472600000001</v>
      </c>
      <c r="EW63">
        <v>17.751312899999999</v>
      </c>
      <c r="EX63">
        <v>102.1417203</v>
      </c>
      <c r="EY63">
        <v>1.8467502</v>
      </c>
      <c r="EZ63">
        <v>2302.6544561000001</v>
      </c>
      <c r="FA63" s="223">
        <v>8.3821290000000008</v>
      </c>
      <c r="FB63" s="223">
        <v>0.96337099999999998</v>
      </c>
      <c r="FC63" s="223">
        <v>1.9657945999999999</v>
      </c>
      <c r="FD63">
        <v>2.8293699000000001</v>
      </c>
      <c r="FE63">
        <v>1.2438269</v>
      </c>
      <c r="FF63">
        <v>1.6520589999999999</v>
      </c>
      <c r="FG63">
        <v>0.76269593000000002</v>
      </c>
      <c r="FH63">
        <v>1.13255039</v>
      </c>
      <c r="FI63">
        <v>0.98195471999999995</v>
      </c>
      <c r="FJ63">
        <v>109.33215113</v>
      </c>
    </row>
    <row r="64" spans="1:166" x14ac:dyDescent="0.3">
      <c r="A64" s="223">
        <v>63</v>
      </c>
      <c r="B64" s="315">
        <v>42402</v>
      </c>
      <c r="C64" s="212">
        <v>1014294.4787</v>
      </c>
      <c r="D64" s="212">
        <v>104.40637391</v>
      </c>
      <c r="E64" s="212">
        <v>1.3808605</v>
      </c>
      <c r="F64" s="212">
        <v>6.4360682999999996</v>
      </c>
      <c r="G64" s="212">
        <v>4.5406056008000002</v>
      </c>
      <c r="H64" s="212">
        <v>3.5428687710000002</v>
      </c>
      <c r="I64" s="212">
        <v>1.000163366</v>
      </c>
      <c r="J64" s="212">
        <v>4.3586429999999998</v>
      </c>
      <c r="K64" s="212">
        <v>3.0857890000000001</v>
      </c>
      <c r="L64" s="212">
        <v>10.585783692</v>
      </c>
      <c r="M64" s="212">
        <v>0.83447115500000002</v>
      </c>
      <c r="N64" s="212">
        <v>1.117120143</v>
      </c>
      <c r="O64" s="212">
        <v>1.9507262780000001</v>
      </c>
      <c r="P64" s="212">
        <v>1.3121428939999999</v>
      </c>
      <c r="Q64" s="212">
        <v>1.5471710000000001</v>
      </c>
      <c r="R64" s="212">
        <v>1.761808026</v>
      </c>
      <c r="S64" s="212">
        <v>12.314373</v>
      </c>
      <c r="T64" s="212">
        <v>2.8737405790000001</v>
      </c>
      <c r="U64" s="212">
        <v>3.2376627130000002</v>
      </c>
      <c r="V64" s="212">
        <v>1.562619344</v>
      </c>
      <c r="W64" s="212">
        <v>1.345941659</v>
      </c>
      <c r="X64" s="212">
        <v>3.4005036870000001</v>
      </c>
      <c r="Y64" s="212">
        <v>1.8573550000000001</v>
      </c>
      <c r="Z64" s="212">
        <v>1.613129</v>
      </c>
      <c r="AA64" s="212">
        <v>1.300091858</v>
      </c>
      <c r="AB64" s="212">
        <v>1.1286025289999999</v>
      </c>
      <c r="AC64" s="212">
        <v>1.1401887719999999</v>
      </c>
      <c r="AD64" s="212">
        <v>1.3209087230000001</v>
      </c>
      <c r="AE64" s="212">
        <v>1.3188426529999999</v>
      </c>
      <c r="AF64" s="212">
        <v>1.267133662</v>
      </c>
      <c r="AG64" s="212">
        <v>9.2625562309999996</v>
      </c>
      <c r="AH64" s="212">
        <v>1.766721891</v>
      </c>
      <c r="AI64" s="212">
        <v>3.761787</v>
      </c>
      <c r="AJ64" s="212">
        <v>2.3452380000000002</v>
      </c>
      <c r="AK64" s="212">
        <v>194.48455418</v>
      </c>
      <c r="AL64" s="212">
        <v>1.0798817000000001</v>
      </c>
      <c r="AM64" s="212">
        <v>1.8660477</v>
      </c>
      <c r="AN64" s="212">
        <v>8.5758788999999993</v>
      </c>
      <c r="AO64" s="212">
        <v>1.7606518</v>
      </c>
      <c r="AP64" s="212">
        <v>1.7548576</v>
      </c>
      <c r="AQ64" s="212">
        <v>2.4314600999999998</v>
      </c>
      <c r="AR64" s="212">
        <v>8.5429191000000007</v>
      </c>
      <c r="AS64" s="212">
        <v>309.62965120000001</v>
      </c>
      <c r="AT64" s="212">
        <v>1.1144229000000001</v>
      </c>
      <c r="AU64" s="212">
        <v>3.0043131000000001</v>
      </c>
      <c r="AV64" s="212">
        <v>2.5204517000000002</v>
      </c>
      <c r="AW64" s="212">
        <v>1.5259753</v>
      </c>
      <c r="AX64" s="212">
        <v>1.2199787</v>
      </c>
      <c r="AY64" s="212">
        <v>2.5221569000000001</v>
      </c>
      <c r="AZ64" s="212" t="s">
        <v>830</v>
      </c>
      <c r="BA64" s="212">
        <v>1.87335549</v>
      </c>
      <c r="BB64" s="212">
        <v>2.3891230999999999</v>
      </c>
      <c r="BC64" s="212">
        <v>2.9866489999999999</v>
      </c>
      <c r="BD64" s="212">
        <v>1.087993</v>
      </c>
      <c r="BE64" s="212">
        <v>1.0714699999999999</v>
      </c>
      <c r="BF64" s="212">
        <v>1.0607260000000001</v>
      </c>
      <c r="BG64" s="212">
        <v>1.0831120000000001</v>
      </c>
      <c r="BH64" s="212">
        <v>1.066897</v>
      </c>
      <c r="BI64" s="212">
        <v>1.218146</v>
      </c>
      <c r="BJ64" s="212">
        <v>1.102452</v>
      </c>
      <c r="BK64" s="212">
        <v>1.2016119999999999</v>
      </c>
      <c r="BL64" s="212">
        <v>1.2120569999999999</v>
      </c>
      <c r="BM64" s="212">
        <v>1.2112970000000001</v>
      </c>
      <c r="BN64" s="212">
        <v>1.0542050000000001</v>
      </c>
      <c r="BO64" s="212">
        <v>1.1383760000000001</v>
      </c>
      <c r="BP64" s="212">
        <v>2.624174</v>
      </c>
      <c r="BQ64" s="212">
        <v>1.3652029999999999</v>
      </c>
      <c r="BR64" s="212">
        <v>1.4563390000000001</v>
      </c>
      <c r="BS64" s="212">
        <v>1.2313700000000001</v>
      </c>
      <c r="BT64" s="212">
        <v>1.730585</v>
      </c>
      <c r="BU64" s="212">
        <v>1.716448</v>
      </c>
      <c r="BV64" s="212">
        <v>1.895292</v>
      </c>
      <c r="BW64" s="212">
        <v>1.734796</v>
      </c>
      <c r="BX64" s="212">
        <v>1.710445</v>
      </c>
      <c r="BY64" s="212">
        <v>1.7003619999999999</v>
      </c>
      <c r="BZ64" s="212">
        <v>1.955962</v>
      </c>
      <c r="CA64" s="212">
        <v>1.8891800000000001</v>
      </c>
      <c r="CB64" s="212">
        <v>1.90398</v>
      </c>
      <c r="CC64" s="212">
        <v>1.8455649999999999</v>
      </c>
      <c r="CD64" s="212">
        <v>1.846411</v>
      </c>
      <c r="CE64" s="212">
        <v>1.7958540000000001</v>
      </c>
      <c r="CF64" s="212">
        <v>1.129529</v>
      </c>
      <c r="CG64" s="212">
        <v>1.290611</v>
      </c>
      <c r="CH64" s="212">
        <v>1.3008310000000001</v>
      </c>
      <c r="CI64" s="212">
        <v>2.8399299999999998</v>
      </c>
      <c r="CJ64" s="212">
        <v>0.82750699999999999</v>
      </c>
      <c r="CK64" s="212">
        <v>0.89773499999999995</v>
      </c>
      <c r="CL64" s="212">
        <v>0.58041900000000002</v>
      </c>
      <c r="CM64" s="212">
        <v>2.5388329999999999</v>
      </c>
      <c r="CN64" s="212">
        <v>1.9554689999999999</v>
      </c>
      <c r="CO64" s="212">
        <v>0.96169099999999996</v>
      </c>
      <c r="CP64" s="212">
        <v>0.98729500000000003</v>
      </c>
      <c r="CQ64" s="212">
        <v>1.2683260000000001</v>
      </c>
      <c r="CR64" s="212">
        <v>13.795086</v>
      </c>
      <c r="CS64" s="212">
        <v>4.3038759999999998</v>
      </c>
      <c r="CT64" s="212">
        <v>1.9538009999999999</v>
      </c>
      <c r="CU64" s="212">
        <v>5.1845590000000001</v>
      </c>
      <c r="CV64" s="212">
        <v>9.2521470000000008</v>
      </c>
      <c r="CW64" s="212" t="s">
        <v>830</v>
      </c>
      <c r="CX64" s="212">
        <v>1.2115483223000001</v>
      </c>
      <c r="CY64" s="212">
        <v>2.0209921675000002</v>
      </c>
      <c r="CZ64" s="212">
        <v>1.1626643543999999</v>
      </c>
      <c r="DA64" s="212">
        <v>14.364051025</v>
      </c>
      <c r="DB64" s="212">
        <v>1.0972770000000001</v>
      </c>
      <c r="DC64" s="212">
        <v>1.095736</v>
      </c>
      <c r="DD64" s="212">
        <v>1.928326</v>
      </c>
      <c r="DE64" s="212">
        <v>1.827561</v>
      </c>
      <c r="DF64" s="212">
        <v>1.7736860000000001</v>
      </c>
      <c r="DG64" s="212">
        <v>1.0343703799999999</v>
      </c>
      <c r="DH64" s="212">
        <v>124.77962896</v>
      </c>
      <c r="DI64" s="212">
        <v>0.25477005000000003</v>
      </c>
      <c r="DJ64" s="212">
        <v>2.059275</v>
      </c>
      <c r="DK64" s="212">
        <v>1.9177004499999999</v>
      </c>
      <c r="DL64" s="212">
        <v>151991.29040999999</v>
      </c>
      <c r="DM64" s="212">
        <v>335.58015710000001</v>
      </c>
      <c r="DN64" s="212">
        <v>16.252633500000002</v>
      </c>
      <c r="DO64" s="212" t="s">
        <v>830</v>
      </c>
      <c r="DP64" s="212">
        <v>18072464.833000001</v>
      </c>
      <c r="DQ64" s="212">
        <v>1.3433676000000001</v>
      </c>
      <c r="DR64" s="212">
        <v>14.642827199999999</v>
      </c>
      <c r="DS64" s="212">
        <v>21.481428600000001</v>
      </c>
      <c r="DT64" s="212">
        <v>1.8349293</v>
      </c>
      <c r="DU64" s="212">
        <v>0.99634560000000005</v>
      </c>
      <c r="DV64" s="212">
        <v>1680.8691355000001</v>
      </c>
      <c r="DW64" s="212">
        <v>22982.291777999999</v>
      </c>
      <c r="DX64" s="212">
        <v>0.809366001</v>
      </c>
      <c r="DY64" s="212">
        <v>9.0905799999999992</v>
      </c>
      <c r="DZ64" s="212">
        <v>224.725326</v>
      </c>
      <c r="EA64" s="212">
        <v>18.059259000000001</v>
      </c>
      <c r="EB64" s="212">
        <v>21.061095999999999</v>
      </c>
      <c r="EC64" s="212">
        <v>19.283291999999999</v>
      </c>
      <c r="ED64" s="212">
        <v>2234.6126690000001</v>
      </c>
      <c r="EE64" s="212">
        <v>23.024605000000001</v>
      </c>
      <c r="EF64" s="212">
        <v>34.268334000000003</v>
      </c>
      <c r="EG64" s="212">
        <v>1.3797162999999999</v>
      </c>
      <c r="EH64" s="212">
        <v>0.65136950000000005</v>
      </c>
      <c r="EI64" s="212">
        <v>1.1584025</v>
      </c>
      <c r="EJ64" s="212" t="s">
        <v>830</v>
      </c>
      <c r="EK64" s="212">
        <v>1.6166218000000001</v>
      </c>
      <c r="EL64" s="212">
        <v>2.7144599</v>
      </c>
      <c r="EM64">
        <v>1.27959596</v>
      </c>
      <c r="EN64">
        <v>2.3063622399999999</v>
      </c>
      <c r="EO64" s="221">
        <v>1.3888278999999999</v>
      </c>
      <c r="EP64">
        <v>259.96335599999998</v>
      </c>
      <c r="EQ64">
        <v>184.752422</v>
      </c>
      <c r="ER64">
        <v>16.3320097</v>
      </c>
      <c r="ES64">
        <v>14.197061100000001</v>
      </c>
      <c r="ET64">
        <v>8.8248146999999992</v>
      </c>
      <c r="EU64">
        <v>189.51756270000001</v>
      </c>
      <c r="EV64">
        <v>109.90944500000001</v>
      </c>
      <c r="EW64">
        <v>17.7569084</v>
      </c>
      <c r="EX64">
        <v>102.1906791</v>
      </c>
      <c r="EY64">
        <v>1.6903687000000001</v>
      </c>
      <c r="EZ64">
        <v>2303.7826552000001</v>
      </c>
      <c r="FA64" s="223">
        <v>8.3856990000000007</v>
      </c>
      <c r="FB64" s="223">
        <v>0.91786429999999997</v>
      </c>
      <c r="FC64" s="223">
        <v>1.9513322</v>
      </c>
      <c r="FD64">
        <v>2.8308062999999999</v>
      </c>
      <c r="FE64">
        <v>1.2439871</v>
      </c>
      <c r="FF64">
        <v>1.6476392</v>
      </c>
      <c r="FG64">
        <v>0.74660117999999998</v>
      </c>
      <c r="FH64">
        <v>1.1325665300000001</v>
      </c>
      <c r="FI64">
        <v>0.98187597999999998</v>
      </c>
      <c r="FJ64">
        <v>110.86907614</v>
      </c>
    </row>
    <row r="65" spans="1:166" x14ac:dyDescent="0.3">
      <c r="A65" s="223">
        <v>64</v>
      </c>
      <c r="B65" s="315">
        <v>42403</v>
      </c>
      <c r="C65" s="212">
        <v>1014228.2062</v>
      </c>
      <c r="D65" s="212">
        <v>104.40225897000001</v>
      </c>
      <c r="E65" s="212">
        <v>1.3830984</v>
      </c>
      <c r="F65" s="212">
        <v>6.5039221999999999</v>
      </c>
      <c r="G65" s="212">
        <v>4.5078372536</v>
      </c>
      <c r="H65" s="212">
        <v>3.6590653</v>
      </c>
      <c r="I65" s="212">
        <v>1.0128638430000001</v>
      </c>
      <c r="J65" s="212">
        <v>4.3608650000000004</v>
      </c>
      <c r="K65" s="212">
        <v>3.0869249999999999</v>
      </c>
      <c r="L65" s="212">
        <v>10.590270567999999</v>
      </c>
      <c r="M65" s="212">
        <v>0.84864928900000003</v>
      </c>
      <c r="N65" s="212">
        <v>1.140239343</v>
      </c>
      <c r="O65" s="212">
        <v>1.9522134819999999</v>
      </c>
      <c r="P65" s="212">
        <v>1.31579282</v>
      </c>
      <c r="Q65" s="212">
        <v>1.5478799999999999</v>
      </c>
      <c r="R65" s="212">
        <v>1.7634250899999999</v>
      </c>
      <c r="S65" s="212">
        <v>12.331182</v>
      </c>
      <c r="T65" s="212">
        <v>2.8842626149999999</v>
      </c>
      <c r="U65" s="212">
        <v>3.2501472119999999</v>
      </c>
      <c r="V65" s="212">
        <v>1.570809999</v>
      </c>
      <c r="W65" s="212">
        <v>1.34844472</v>
      </c>
      <c r="X65" s="212">
        <v>3.4043618439999999</v>
      </c>
      <c r="Y65" s="212">
        <v>1.858158</v>
      </c>
      <c r="Z65" s="212">
        <v>1.613961</v>
      </c>
      <c r="AA65" s="212">
        <v>1.3066701489999999</v>
      </c>
      <c r="AB65" s="212">
        <v>1.129127596</v>
      </c>
      <c r="AC65" s="212">
        <v>1.141692537</v>
      </c>
      <c r="AD65" s="212">
        <v>1.3219644429999999</v>
      </c>
      <c r="AE65" s="212">
        <v>1.3198968230000001</v>
      </c>
      <c r="AF65" s="212">
        <v>1.272551285</v>
      </c>
      <c r="AG65" s="212">
        <v>9.2672496599999992</v>
      </c>
      <c r="AH65" s="212">
        <v>1.767462737</v>
      </c>
      <c r="AI65" s="212">
        <v>3.7638690000000001</v>
      </c>
      <c r="AJ65" s="212">
        <v>2.353189</v>
      </c>
      <c r="AK65" s="212">
        <v>194.69897209000001</v>
      </c>
      <c r="AL65" s="212">
        <v>1.0824161000000001</v>
      </c>
      <c r="AM65" s="212">
        <v>1.8732837</v>
      </c>
      <c r="AN65" s="212">
        <v>8.5803870999999994</v>
      </c>
      <c r="AO65" s="212">
        <v>1.7612208</v>
      </c>
      <c r="AP65" s="212">
        <v>1.7554110999999999</v>
      </c>
      <c r="AQ65" s="212">
        <v>2.4327087000000001</v>
      </c>
      <c r="AR65" s="212">
        <v>8.5473216000000001</v>
      </c>
      <c r="AS65" s="212">
        <v>317.59200390000001</v>
      </c>
      <c r="AT65" s="212">
        <v>1.1197458</v>
      </c>
      <c r="AU65" s="212">
        <v>3.0057691000000002</v>
      </c>
      <c r="AV65" s="212">
        <v>2.5301496000000001</v>
      </c>
      <c r="AW65" s="212">
        <v>1.5343297</v>
      </c>
      <c r="AX65" s="212">
        <v>1.2216813</v>
      </c>
      <c r="AY65" s="212">
        <v>2.5266491000000002</v>
      </c>
      <c r="AZ65" s="212" t="s">
        <v>830</v>
      </c>
      <c r="BA65" s="212">
        <v>1.8743110009999999</v>
      </c>
      <c r="BB65" s="212">
        <v>2.3988705000000001</v>
      </c>
      <c r="BC65" s="212">
        <v>2.9881549999999999</v>
      </c>
      <c r="BD65" s="212">
        <v>1.0884259999999999</v>
      </c>
      <c r="BE65" s="212">
        <v>1.0718970000000001</v>
      </c>
      <c r="BF65" s="212">
        <v>1.0611489999999999</v>
      </c>
      <c r="BG65" s="212">
        <v>1.0835429999999999</v>
      </c>
      <c r="BH65" s="212">
        <v>1.0673220000000001</v>
      </c>
      <c r="BI65" s="212">
        <v>1.2191510000000001</v>
      </c>
      <c r="BJ65" s="212">
        <v>1.10341</v>
      </c>
      <c r="BK65" s="212">
        <v>1.205238</v>
      </c>
      <c r="BL65" s="212">
        <v>1.213055</v>
      </c>
      <c r="BM65" s="212">
        <v>1.2122980000000001</v>
      </c>
      <c r="BN65" s="212">
        <v>1.0599460000000001</v>
      </c>
      <c r="BO65" s="212">
        <v>1.144315</v>
      </c>
      <c r="BP65" s="212">
        <v>2.6255519999999999</v>
      </c>
      <c r="BQ65" s="212">
        <v>1.365872</v>
      </c>
      <c r="BR65" s="212">
        <v>1.4577709999999999</v>
      </c>
      <c r="BS65" s="212">
        <v>1.238097</v>
      </c>
      <c r="BT65" s="212">
        <v>1.7337659999999999</v>
      </c>
      <c r="BU65" s="212">
        <v>1.717773</v>
      </c>
      <c r="BV65" s="212">
        <v>1.896657</v>
      </c>
      <c r="BW65" s="212">
        <v>1.736237</v>
      </c>
      <c r="BX65" s="212">
        <v>1.711767</v>
      </c>
      <c r="BY65" s="212">
        <v>1.7016869999999999</v>
      </c>
      <c r="BZ65" s="212">
        <v>1.957408</v>
      </c>
      <c r="CA65" s="212">
        <v>1.890544</v>
      </c>
      <c r="CB65" s="212">
        <v>1.9052899999999999</v>
      </c>
      <c r="CC65" s="212">
        <v>1.8468530000000001</v>
      </c>
      <c r="CD65" s="212">
        <v>1.847699</v>
      </c>
      <c r="CE65" s="212">
        <v>1.7971870000000001</v>
      </c>
      <c r="CF65" s="212">
        <v>1.130379</v>
      </c>
      <c r="CG65" s="212">
        <v>1.292894</v>
      </c>
      <c r="CH65" s="212">
        <v>1.3023279999999999</v>
      </c>
      <c r="CI65" s="212">
        <v>2.841345</v>
      </c>
      <c r="CJ65" s="212">
        <v>0.84841500000000003</v>
      </c>
      <c r="CK65" s="212">
        <v>0.92039499999999996</v>
      </c>
      <c r="CL65" s="212">
        <v>0.59307600000000005</v>
      </c>
      <c r="CM65" s="212">
        <v>2.6027300000000002</v>
      </c>
      <c r="CN65" s="212">
        <v>1.91879</v>
      </c>
      <c r="CO65" s="212">
        <v>0.97336599999999995</v>
      </c>
      <c r="CP65" s="212">
        <v>0.99494300000000002</v>
      </c>
      <c r="CQ65" s="212">
        <v>1.2689839999999999</v>
      </c>
      <c r="CR65" s="212">
        <v>13.801492</v>
      </c>
      <c r="CS65" s="212">
        <v>4.3059380000000003</v>
      </c>
      <c r="CT65" s="212">
        <v>1.9602120000000001</v>
      </c>
      <c r="CU65" s="212">
        <v>5.1862490000000001</v>
      </c>
      <c r="CV65" s="212">
        <v>9.2564410000000006</v>
      </c>
      <c r="CW65" s="212" t="s">
        <v>830</v>
      </c>
      <c r="CX65" s="212">
        <v>1.2122390403000001</v>
      </c>
      <c r="CY65" s="212">
        <v>2.0053835109999998</v>
      </c>
      <c r="CZ65" s="212">
        <v>1.1631582037999999</v>
      </c>
      <c r="DA65" s="212">
        <v>14.371728777</v>
      </c>
      <c r="DB65" s="212">
        <v>1.0977140000000001</v>
      </c>
      <c r="DC65" s="212">
        <v>1.0966880000000001</v>
      </c>
      <c r="DD65" s="212">
        <v>1.9309419999999999</v>
      </c>
      <c r="DE65" s="212">
        <v>1.834595</v>
      </c>
      <c r="DF65" s="212">
        <v>1.7744610000000001</v>
      </c>
      <c r="DG65" s="212">
        <v>1.03678811</v>
      </c>
      <c r="DH65" s="212">
        <v>124.85392605</v>
      </c>
      <c r="DI65" s="212">
        <v>0.25483940999999999</v>
      </c>
      <c r="DJ65" s="212">
        <v>2.0602431000000001</v>
      </c>
      <c r="DK65" s="212">
        <v>1.9183387599999999</v>
      </c>
      <c r="DL65" s="212">
        <v>152090.96135999999</v>
      </c>
      <c r="DM65" s="212">
        <v>335.75121009999998</v>
      </c>
      <c r="DN65" s="212">
        <v>16.262325499999999</v>
      </c>
      <c r="DO65" s="212" t="s">
        <v>830</v>
      </c>
      <c r="DP65" s="212">
        <v>18071279.695</v>
      </c>
      <c r="DQ65" s="212">
        <v>1.3556398999999999</v>
      </c>
      <c r="DR65" s="212">
        <v>14.6492585</v>
      </c>
      <c r="DS65" s="212">
        <v>21.4926028</v>
      </c>
      <c r="DT65" s="212">
        <v>1.8394459999999999</v>
      </c>
      <c r="DU65" s="212">
        <v>1.0081186</v>
      </c>
      <c r="DV65" s="212">
        <v>1681.5696170000001</v>
      </c>
      <c r="DW65" s="212">
        <v>22978.951974</v>
      </c>
      <c r="DX65" s="212">
        <v>0.80901542100000001</v>
      </c>
      <c r="DY65" s="212">
        <v>9.2909360000000003</v>
      </c>
      <c r="DZ65" s="212">
        <v>224.823306</v>
      </c>
      <c r="EA65" s="212">
        <v>18.079308999999999</v>
      </c>
      <c r="EB65" s="212">
        <v>21.089389000000001</v>
      </c>
      <c r="EC65" s="212">
        <v>19.356921</v>
      </c>
      <c r="ED65" s="212">
        <v>2235.799274</v>
      </c>
      <c r="EE65" s="212">
        <v>23.031746999999999</v>
      </c>
      <c r="EF65" s="212">
        <v>34.286104999999999</v>
      </c>
      <c r="EG65" s="212">
        <v>1.3992</v>
      </c>
      <c r="EH65" s="212">
        <v>0.65156879999999995</v>
      </c>
      <c r="EI65" s="212">
        <v>1.1591358</v>
      </c>
      <c r="EJ65" s="212" t="s">
        <v>830</v>
      </c>
      <c r="EK65" s="212">
        <v>1.6190465999999999</v>
      </c>
      <c r="EL65" s="212">
        <v>2.7185294999999998</v>
      </c>
      <c r="EM65">
        <v>1.2797273</v>
      </c>
      <c r="EN65">
        <v>2.3082851600000001</v>
      </c>
      <c r="EO65" s="221">
        <v>1.3894595999999999</v>
      </c>
      <c r="EP65">
        <v>260.01477899999998</v>
      </c>
      <c r="EQ65">
        <v>185.38078100000001</v>
      </c>
      <c r="ER65">
        <v>16.354219499999999</v>
      </c>
      <c r="ES65">
        <v>14.251448399999999</v>
      </c>
      <c r="ET65">
        <v>8.8292214999999992</v>
      </c>
      <c r="EU65">
        <v>190.24184249999999</v>
      </c>
      <c r="EV65">
        <v>110.20130760000001</v>
      </c>
      <c r="EW65">
        <v>17.764442899999999</v>
      </c>
      <c r="EX65">
        <v>102.2382532</v>
      </c>
      <c r="EY65">
        <v>1.7354946</v>
      </c>
      <c r="EZ65">
        <v>2304.905377</v>
      </c>
      <c r="FA65" s="223">
        <v>8.3892319999999998</v>
      </c>
      <c r="FB65" s="223">
        <v>0.93833900000000003</v>
      </c>
      <c r="FC65" s="223">
        <v>1.9584831</v>
      </c>
      <c r="FD65">
        <v>2.8322417999999998</v>
      </c>
      <c r="FE65">
        <v>1.2445063000000001</v>
      </c>
      <c r="FF65">
        <v>1.6493150000000001</v>
      </c>
      <c r="FG65">
        <v>0.75267938000000001</v>
      </c>
      <c r="FH65">
        <v>1.1336323800000001</v>
      </c>
      <c r="FI65">
        <v>0.98179724999999995</v>
      </c>
      <c r="FJ65">
        <v>109.79965792</v>
      </c>
    </row>
    <row r="66" spans="1:166" x14ac:dyDescent="0.3">
      <c r="A66" s="223">
        <v>65</v>
      </c>
      <c r="B66" s="315">
        <v>42404</v>
      </c>
      <c r="C66" s="212">
        <v>1014162.221</v>
      </c>
      <c r="D66" s="212">
        <v>104.38161927</v>
      </c>
      <c r="E66" s="212">
        <v>1.3782392000000001</v>
      </c>
      <c r="F66" s="212">
        <v>6.5749212999999997</v>
      </c>
      <c r="G66" s="212">
        <v>4.5247427505999998</v>
      </c>
      <c r="H66" s="212">
        <v>3.7512572340000001</v>
      </c>
      <c r="I66" s="212">
        <v>1.0198251279999999</v>
      </c>
      <c r="J66" s="212">
        <v>4.3630899999999997</v>
      </c>
      <c r="K66" s="212">
        <v>3.0880529999999999</v>
      </c>
      <c r="L66" s="212">
        <v>10.594656860000001</v>
      </c>
      <c r="M66" s="212">
        <v>0.86960281100000003</v>
      </c>
      <c r="N66" s="212">
        <v>1.1675524390000001</v>
      </c>
      <c r="O66" s="212">
        <v>1.9514776330000001</v>
      </c>
      <c r="P66" s="212">
        <v>1.3064241560000001</v>
      </c>
      <c r="Q66" s="212">
        <v>1.54864</v>
      </c>
      <c r="R66" s="212">
        <v>1.7560552270000001</v>
      </c>
      <c r="S66" s="212">
        <v>12.279979000000001</v>
      </c>
      <c r="T66" s="212">
        <v>2.8655183310000001</v>
      </c>
      <c r="U66" s="212">
        <v>3.2293371739999999</v>
      </c>
      <c r="V66" s="212">
        <v>1.558296694</v>
      </c>
      <c r="W66" s="212">
        <v>1.345007872</v>
      </c>
      <c r="X66" s="212">
        <v>3.3984829419999998</v>
      </c>
      <c r="Y66" s="212">
        <v>1.8587419999999999</v>
      </c>
      <c r="Z66" s="212">
        <v>1.6147769999999999</v>
      </c>
      <c r="AA66" s="212">
        <v>1.298757342</v>
      </c>
      <c r="AB66" s="212">
        <v>1.127568964</v>
      </c>
      <c r="AC66" s="212">
        <v>1.137300508</v>
      </c>
      <c r="AD66" s="212">
        <v>1.3230210179999999</v>
      </c>
      <c r="AE66" s="212">
        <v>1.320951888</v>
      </c>
      <c r="AF66" s="212">
        <v>1.262252524</v>
      </c>
      <c r="AG66" s="212">
        <v>9.2719546659999992</v>
      </c>
      <c r="AH66" s="212">
        <v>1.766503047</v>
      </c>
      <c r="AI66" s="212">
        <v>3.7650090000000001</v>
      </c>
      <c r="AJ66" s="212">
        <v>2.3381630000000002</v>
      </c>
      <c r="AK66" s="212">
        <v>194.41066161000001</v>
      </c>
      <c r="AL66" s="212">
        <v>1.0758947999999999</v>
      </c>
      <c r="AM66" s="212">
        <v>1.8611123000000001</v>
      </c>
      <c r="AN66" s="212">
        <v>8.5848756999999996</v>
      </c>
      <c r="AO66" s="212">
        <v>1.7619803999999999</v>
      </c>
      <c r="AP66" s="212">
        <v>1.7561604</v>
      </c>
      <c r="AQ66" s="212">
        <v>2.4339628000000002</v>
      </c>
      <c r="AR66" s="212">
        <v>8.5517237000000002</v>
      </c>
      <c r="AS66" s="212">
        <v>327.49567680000001</v>
      </c>
      <c r="AT66" s="212">
        <v>1.1259969999999999</v>
      </c>
      <c r="AU66" s="212">
        <v>3.0072253</v>
      </c>
      <c r="AV66" s="212">
        <v>2.5137806999999999</v>
      </c>
      <c r="AW66" s="212">
        <v>1.5222031</v>
      </c>
      <c r="AX66" s="212">
        <v>1.2166839</v>
      </c>
      <c r="AY66" s="212">
        <v>2.519641</v>
      </c>
      <c r="AZ66" s="212" t="s">
        <v>830</v>
      </c>
      <c r="BA66" s="212">
        <v>1.8752551639999999</v>
      </c>
      <c r="BB66" s="212">
        <v>2.383867</v>
      </c>
      <c r="BC66" s="212">
        <v>2.9894310000000002</v>
      </c>
      <c r="BD66" s="212">
        <v>1.087626</v>
      </c>
      <c r="BE66" s="212">
        <v>1.0711090000000001</v>
      </c>
      <c r="BF66" s="212">
        <v>1.060368</v>
      </c>
      <c r="BG66" s="212">
        <v>1.082748</v>
      </c>
      <c r="BH66" s="212">
        <v>1.0665389999999999</v>
      </c>
      <c r="BI66" s="212">
        <v>1.2201569999999999</v>
      </c>
      <c r="BJ66" s="212">
        <v>1.0975729999999999</v>
      </c>
      <c r="BK66" s="212">
        <v>1.1956929999999999</v>
      </c>
      <c r="BL66" s="212">
        <v>1.214053</v>
      </c>
      <c r="BM66" s="212">
        <v>1.213301</v>
      </c>
      <c r="BN66" s="212">
        <v>1.0533790000000001</v>
      </c>
      <c r="BO66" s="212">
        <v>1.1370819999999999</v>
      </c>
      <c r="BP66" s="212">
        <v>2.626935</v>
      </c>
      <c r="BQ66" s="212">
        <v>1.3665430000000001</v>
      </c>
      <c r="BR66" s="212">
        <v>1.451873</v>
      </c>
      <c r="BS66" s="212">
        <v>1.228329</v>
      </c>
      <c r="BT66" s="212">
        <v>1.7289890000000001</v>
      </c>
      <c r="BU66" s="212">
        <v>1.7190989999999999</v>
      </c>
      <c r="BV66" s="212">
        <v>1.8980239999999999</v>
      </c>
      <c r="BW66" s="212">
        <v>1.7376780000000001</v>
      </c>
      <c r="BX66" s="212">
        <v>1.71309</v>
      </c>
      <c r="BY66" s="212">
        <v>1.703012</v>
      </c>
      <c r="BZ66" s="212">
        <v>1.958855</v>
      </c>
      <c r="CA66" s="212">
        <v>1.89191</v>
      </c>
      <c r="CB66" s="212">
        <v>1.9066019999999999</v>
      </c>
      <c r="CC66" s="212">
        <v>1.8481430000000001</v>
      </c>
      <c r="CD66" s="212">
        <v>1.8489880000000001</v>
      </c>
      <c r="CE66" s="212">
        <v>1.798521</v>
      </c>
      <c r="CF66" s="212">
        <v>1.131229</v>
      </c>
      <c r="CG66" s="212">
        <v>1.2884389999999999</v>
      </c>
      <c r="CH66" s="212">
        <v>1.3000959999999999</v>
      </c>
      <c r="CI66" s="212">
        <v>2.8425370000000001</v>
      </c>
      <c r="CJ66" s="212">
        <v>0.876579</v>
      </c>
      <c r="CK66" s="212">
        <v>0.95086199999999999</v>
      </c>
      <c r="CL66" s="212">
        <v>0.60718399999999995</v>
      </c>
      <c r="CM66" s="212">
        <v>2.6838860000000002</v>
      </c>
      <c r="CN66" s="212">
        <v>1.9075</v>
      </c>
      <c r="CO66" s="212">
        <v>0.97833000000000003</v>
      </c>
      <c r="CP66" s="212">
        <v>0.99665899999999996</v>
      </c>
      <c r="CQ66" s="212">
        <v>1.2696419999999999</v>
      </c>
      <c r="CR66" s="212">
        <v>13.807897000000001</v>
      </c>
      <c r="CS66" s="212">
        <v>4.3078969999999996</v>
      </c>
      <c r="CT66" s="212">
        <v>1.9511130000000001</v>
      </c>
      <c r="CU66" s="212">
        <v>5.1879419999999996</v>
      </c>
      <c r="CV66" s="212">
        <v>9.2607359999999996</v>
      </c>
      <c r="CW66" s="212" t="s">
        <v>830</v>
      </c>
      <c r="CX66" s="212">
        <v>1.2128762736000001</v>
      </c>
      <c r="CY66" s="212">
        <v>2.0135640183999999</v>
      </c>
      <c r="CZ66" s="212">
        <v>1.1635605118000001</v>
      </c>
      <c r="DA66" s="212">
        <v>14.378943708</v>
      </c>
      <c r="DB66" s="212">
        <v>1.0969070000000001</v>
      </c>
      <c r="DC66" s="212">
        <v>1.0908869999999999</v>
      </c>
      <c r="DD66" s="212">
        <v>1.922947</v>
      </c>
      <c r="DE66" s="212">
        <v>1.822811</v>
      </c>
      <c r="DF66" s="212">
        <v>1.775023</v>
      </c>
      <c r="DG66" s="212">
        <v>1.0334064300000001</v>
      </c>
      <c r="DH66" s="212">
        <v>124.92806663</v>
      </c>
      <c r="DI66" s="212">
        <v>0.25481336999999998</v>
      </c>
      <c r="DJ66" s="212">
        <v>2.061191</v>
      </c>
      <c r="DK66" s="212">
        <v>1.91837664</v>
      </c>
      <c r="DL66" s="212">
        <v>152190.69782999999</v>
      </c>
      <c r="DM66" s="212">
        <v>335.92444180000001</v>
      </c>
      <c r="DN66" s="212">
        <v>16.2717581</v>
      </c>
      <c r="DO66" s="212" t="s">
        <v>830</v>
      </c>
      <c r="DP66" s="212">
        <v>18070094.635000002</v>
      </c>
      <c r="DQ66" s="212">
        <v>1.3782344</v>
      </c>
      <c r="DR66" s="212">
        <v>14.6555841</v>
      </c>
      <c r="DS66" s="212">
        <v>21.504022599999999</v>
      </c>
      <c r="DT66" s="212">
        <v>1.8273598</v>
      </c>
      <c r="DU66" s="212">
        <v>1.0272268</v>
      </c>
      <c r="DV66" s="212">
        <v>1682.2435129999999</v>
      </c>
      <c r="DW66" s="212">
        <v>22974.341454000001</v>
      </c>
      <c r="DX66" s="212">
        <v>0.80259977500000002</v>
      </c>
      <c r="DY66" s="212">
        <v>9.5291720000000009</v>
      </c>
      <c r="DZ66" s="212">
        <v>224.89821900000001</v>
      </c>
      <c r="EA66" s="212">
        <v>18.047104999999998</v>
      </c>
      <c r="EB66" s="212">
        <v>21.001183999999999</v>
      </c>
      <c r="EC66" s="212">
        <v>19.231695999999999</v>
      </c>
      <c r="ED66" s="212">
        <v>2236.9852489999998</v>
      </c>
      <c r="EE66" s="212">
        <v>23.040828999999999</v>
      </c>
      <c r="EF66" s="212">
        <v>34.303936999999998</v>
      </c>
      <c r="EG66" s="212">
        <v>1.4131682000000001</v>
      </c>
      <c r="EH66" s="212">
        <v>0.65177070000000004</v>
      </c>
      <c r="EI66" s="212">
        <v>1.1566822000000001</v>
      </c>
      <c r="EJ66" s="212" t="s">
        <v>830</v>
      </c>
      <c r="EK66" s="212">
        <v>1.6212595999999999</v>
      </c>
      <c r="EL66" s="212">
        <v>2.7222436000000001</v>
      </c>
      <c r="EM66">
        <v>1.2798634</v>
      </c>
      <c r="EN66">
        <v>2.3102096900000002</v>
      </c>
      <c r="EO66" s="221">
        <v>1.3900994</v>
      </c>
      <c r="EP66">
        <v>259.51690100000002</v>
      </c>
      <c r="EQ66">
        <v>184.237954</v>
      </c>
      <c r="ER66">
        <v>16.285289899999999</v>
      </c>
      <c r="ES66">
        <v>14.1596688</v>
      </c>
      <c r="ET66">
        <v>8.8337602000000004</v>
      </c>
      <c r="EU66">
        <v>189.0148724</v>
      </c>
      <c r="EV66">
        <v>111.34264279999999</v>
      </c>
      <c r="EW66">
        <v>17.7699687</v>
      </c>
      <c r="EX66">
        <v>102.2873599</v>
      </c>
      <c r="EY66">
        <v>1.8729271000000001</v>
      </c>
      <c r="EZ66">
        <v>2306.0555448</v>
      </c>
      <c r="FA66" s="223">
        <v>8.3927659999999999</v>
      </c>
      <c r="FB66" s="223">
        <v>0.95807969999999998</v>
      </c>
      <c r="FC66" s="223">
        <v>1.9459693</v>
      </c>
      <c r="FD66">
        <v>2.8336739999999998</v>
      </c>
      <c r="FE66">
        <v>1.2447123</v>
      </c>
      <c r="FF66">
        <v>1.6468338</v>
      </c>
      <c r="FG66">
        <v>0.75954255999999998</v>
      </c>
      <c r="FH66">
        <v>1.130414</v>
      </c>
      <c r="FI66">
        <v>0.98338868000000002</v>
      </c>
      <c r="FJ66">
        <v>110.52509687</v>
      </c>
    </row>
    <row r="67" spans="1:166" x14ac:dyDescent="0.3">
      <c r="A67" s="223">
        <v>66</v>
      </c>
      <c r="B67" s="315">
        <v>42405</v>
      </c>
      <c r="C67" s="212">
        <v>1014094.1789000001</v>
      </c>
      <c r="D67" s="212">
        <v>104.42021896</v>
      </c>
      <c r="E67" s="212">
        <v>1.3829111999999999</v>
      </c>
      <c r="F67" s="212">
        <v>6.4908044</v>
      </c>
      <c r="G67" s="212">
        <v>4.4955911130999997</v>
      </c>
      <c r="H67" s="212">
        <v>3.52842119</v>
      </c>
      <c r="I67" s="212">
        <v>1.012834247</v>
      </c>
      <c r="J67" s="212">
        <v>4.3653240000000002</v>
      </c>
      <c r="K67" s="212">
        <v>3.089181</v>
      </c>
      <c r="L67" s="212">
        <v>10.598976608999999</v>
      </c>
      <c r="M67" s="212">
        <v>0.86586232200000002</v>
      </c>
      <c r="N67" s="212">
        <v>1.1640835629999999</v>
      </c>
      <c r="O67" s="212">
        <v>1.953146099</v>
      </c>
      <c r="P67" s="212">
        <v>1.3147004419999999</v>
      </c>
      <c r="Q67" s="212">
        <v>1.5493969999999999</v>
      </c>
      <c r="R67" s="212">
        <v>1.7622675940000001</v>
      </c>
      <c r="S67" s="212">
        <v>12.327537</v>
      </c>
      <c r="T67" s="212">
        <v>2.8842810299999999</v>
      </c>
      <c r="U67" s="212">
        <v>3.250500025</v>
      </c>
      <c r="V67" s="212">
        <v>1.571148816</v>
      </c>
      <c r="W67" s="212">
        <v>1.3482930070000001</v>
      </c>
      <c r="X67" s="212">
        <v>3.4004682850000001</v>
      </c>
      <c r="Y67" s="212">
        <v>1.8595120000000001</v>
      </c>
      <c r="Z67" s="212">
        <v>1.615602</v>
      </c>
      <c r="AA67" s="212">
        <v>1.30883544</v>
      </c>
      <c r="AB67" s="212">
        <v>1.130234065</v>
      </c>
      <c r="AC67" s="212">
        <v>1.1415632550000001</v>
      </c>
      <c r="AD67" s="212">
        <v>1.326037455</v>
      </c>
      <c r="AE67" s="212">
        <v>1.323958323</v>
      </c>
      <c r="AF67" s="212">
        <v>1.271146908</v>
      </c>
      <c r="AG67" s="212">
        <v>9.2766601929999997</v>
      </c>
      <c r="AH67" s="212">
        <v>1.7709368329999999</v>
      </c>
      <c r="AI67" s="212">
        <v>3.7674590000000001</v>
      </c>
      <c r="AJ67" s="212">
        <v>2.3524470000000002</v>
      </c>
      <c r="AK67" s="212">
        <v>194.83733856999999</v>
      </c>
      <c r="AL67" s="212">
        <v>1.0813633</v>
      </c>
      <c r="AM67" s="212">
        <v>1.8731070999999999</v>
      </c>
      <c r="AN67" s="212">
        <v>8.5895086999999997</v>
      </c>
      <c r="AO67" s="212">
        <v>1.7625310999999999</v>
      </c>
      <c r="AP67" s="212">
        <v>1.7566953999999999</v>
      </c>
      <c r="AQ67" s="212">
        <v>2.4352125</v>
      </c>
      <c r="AR67" s="212">
        <v>8.5561431999999993</v>
      </c>
      <c r="AS67" s="212">
        <v>325.65547149999998</v>
      </c>
      <c r="AT67" s="212">
        <v>1.1304190000000001</v>
      </c>
      <c r="AU67" s="212">
        <v>3.0086876999999999</v>
      </c>
      <c r="AV67" s="212">
        <v>2.5299782</v>
      </c>
      <c r="AW67" s="212">
        <v>1.5349341000000001</v>
      </c>
      <c r="AX67" s="212">
        <v>1.2213989999999999</v>
      </c>
      <c r="AY67" s="212">
        <v>2.5261235000000002</v>
      </c>
      <c r="AZ67" s="212" t="s">
        <v>830</v>
      </c>
      <c r="BA67" s="212">
        <v>1.8761978939999999</v>
      </c>
      <c r="BB67" s="212">
        <v>2.4002034000000001</v>
      </c>
      <c r="BC67" s="212">
        <v>2.9909970000000001</v>
      </c>
      <c r="BD67" s="212">
        <v>1.0899350000000001</v>
      </c>
      <c r="BE67" s="212">
        <v>1.0733820000000001</v>
      </c>
      <c r="BF67" s="212">
        <v>1.062619</v>
      </c>
      <c r="BG67" s="212">
        <v>1.085045</v>
      </c>
      <c r="BH67" s="212">
        <v>1.0688</v>
      </c>
      <c r="BI67" s="212">
        <v>1.222974</v>
      </c>
      <c r="BJ67" s="212">
        <v>1.1017859999999999</v>
      </c>
      <c r="BK67" s="212">
        <v>1.2033700000000001</v>
      </c>
      <c r="BL67" s="212">
        <v>1.216853</v>
      </c>
      <c r="BM67" s="212">
        <v>1.2161010000000001</v>
      </c>
      <c r="BN67" s="212">
        <v>1.061404</v>
      </c>
      <c r="BO67" s="212">
        <v>1.144344</v>
      </c>
      <c r="BP67" s="212">
        <v>2.6283180000000002</v>
      </c>
      <c r="BQ67" s="212">
        <v>1.36721</v>
      </c>
      <c r="BR67" s="212">
        <v>1.45702</v>
      </c>
      <c r="BS67" s="212">
        <v>1.2384809999999999</v>
      </c>
      <c r="BT67" s="212">
        <v>1.7334959999999999</v>
      </c>
      <c r="BU67" s="212">
        <v>1.721714</v>
      </c>
      <c r="BV67" s="212">
        <v>1.9021619999999999</v>
      </c>
      <c r="BW67" s="212">
        <v>1.7398169999999999</v>
      </c>
      <c r="BX67" s="212">
        <v>1.716243</v>
      </c>
      <c r="BY67" s="212">
        <v>1.7047159999999999</v>
      </c>
      <c r="BZ67" s="212">
        <v>1.9626319999999999</v>
      </c>
      <c r="CA67" s="212">
        <v>1.895324</v>
      </c>
      <c r="CB67" s="212">
        <v>1.910801</v>
      </c>
      <c r="CC67" s="212">
        <v>1.8506339999999999</v>
      </c>
      <c r="CD67" s="212">
        <v>1.851478</v>
      </c>
      <c r="CE67" s="212">
        <v>1.8012680000000001</v>
      </c>
      <c r="CF67" s="212">
        <v>1.1289709999999999</v>
      </c>
      <c r="CG67" s="212">
        <v>1.2894410000000001</v>
      </c>
      <c r="CH67" s="212">
        <v>1.3008900000000001</v>
      </c>
      <c r="CI67" s="212">
        <v>2.8440129999999999</v>
      </c>
      <c r="CJ67" s="212">
        <v>0.87657300000000005</v>
      </c>
      <c r="CK67" s="212">
        <v>0.950735</v>
      </c>
      <c r="CL67" s="212">
        <v>0.60358999999999996</v>
      </c>
      <c r="CM67" s="212">
        <v>2.6725089999999998</v>
      </c>
      <c r="CN67" s="212">
        <v>1.8908039999999999</v>
      </c>
      <c r="CO67" s="212">
        <v>0.98333599999999999</v>
      </c>
      <c r="CP67" s="212">
        <v>1.00169</v>
      </c>
      <c r="CQ67" s="212">
        <v>1.2703</v>
      </c>
      <c r="CR67" s="212">
        <v>13.814283</v>
      </c>
      <c r="CS67" s="212">
        <v>4.3097649999999996</v>
      </c>
      <c r="CT67" s="212">
        <v>1.9616169999999999</v>
      </c>
      <c r="CU67" s="212">
        <v>5.189635</v>
      </c>
      <c r="CV67" s="212">
        <v>9.265015</v>
      </c>
      <c r="CW67" s="212" t="s">
        <v>830</v>
      </c>
      <c r="CX67" s="212">
        <v>1.213513821</v>
      </c>
      <c r="CY67" s="212">
        <v>1.9999944118999999</v>
      </c>
      <c r="CZ67" s="212">
        <v>1.1640547297999999</v>
      </c>
      <c r="DA67" s="212">
        <v>14.386242383000001</v>
      </c>
      <c r="DB67" s="212">
        <v>1.0992360000000001</v>
      </c>
      <c r="DC67" s="212">
        <v>1.0950740000000001</v>
      </c>
      <c r="DD67" s="212">
        <v>1.9303729999999999</v>
      </c>
      <c r="DE67" s="212">
        <v>1.834813</v>
      </c>
      <c r="DF67" s="212">
        <v>1.775763</v>
      </c>
      <c r="DG67" s="212">
        <v>1.0364214</v>
      </c>
      <c r="DH67" s="212">
        <v>125.0014226</v>
      </c>
      <c r="DI67" s="212">
        <v>0.25489706000000001</v>
      </c>
      <c r="DJ67" s="212">
        <v>2.0621383</v>
      </c>
      <c r="DK67" s="212">
        <v>1.9181727099999999</v>
      </c>
      <c r="DL67" s="212">
        <v>152290.49935999999</v>
      </c>
      <c r="DM67" s="212">
        <v>328.06576200000001</v>
      </c>
      <c r="DN67" s="212">
        <v>16.130499799999999</v>
      </c>
      <c r="DO67" s="212" t="s">
        <v>830</v>
      </c>
      <c r="DP67" s="212">
        <v>18068909.653000001</v>
      </c>
      <c r="DQ67" s="212">
        <v>1.370689</v>
      </c>
      <c r="DR67" s="212">
        <v>14.6621699</v>
      </c>
      <c r="DS67" s="212">
        <v>21.515215600000001</v>
      </c>
      <c r="DT67" s="212">
        <v>1.8592340000000001</v>
      </c>
      <c r="DU67" s="212">
        <v>1.0213954000000001</v>
      </c>
      <c r="DV67" s="212">
        <v>1682.8881199</v>
      </c>
      <c r="DW67" s="212">
        <v>22970.966246</v>
      </c>
      <c r="DX67" s="212">
        <v>0.81072228099999999</v>
      </c>
      <c r="DY67" s="212">
        <v>9.4752989999999997</v>
      </c>
      <c r="DZ67" s="212">
        <v>225.00669099999999</v>
      </c>
      <c r="EA67" s="212">
        <v>18.056792999999999</v>
      </c>
      <c r="EB67" s="212">
        <v>21.082841999999999</v>
      </c>
      <c r="EC67" s="212">
        <v>19.358173000000001</v>
      </c>
      <c r="ED67" s="212">
        <v>2238.1740260000001</v>
      </c>
      <c r="EE67" s="212">
        <v>23.047716999999999</v>
      </c>
      <c r="EF67" s="212">
        <v>34.321714999999998</v>
      </c>
      <c r="EG67" s="212">
        <v>1.4100501000000001</v>
      </c>
      <c r="EH67" s="212">
        <v>0.65197260000000001</v>
      </c>
      <c r="EI67" s="212">
        <v>1.1603777</v>
      </c>
      <c r="EJ67" s="212" t="s">
        <v>830</v>
      </c>
      <c r="EK67" s="212">
        <v>1.6234681</v>
      </c>
      <c r="EL67" s="212">
        <v>2.7259502000000002</v>
      </c>
      <c r="EM67">
        <v>1.27998893</v>
      </c>
      <c r="EN67">
        <v>2.31556308</v>
      </c>
      <c r="EO67" s="221">
        <v>1.3907361</v>
      </c>
      <c r="EP67">
        <v>259.95254</v>
      </c>
      <c r="EQ67">
        <v>185.35531800000001</v>
      </c>
      <c r="ER67">
        <v>16.348904099999999</v>
      </c>
      <c r="ES67">
        <v>14.2526153</v>
      </c>
      <c r="ET67">
        <v>8.8383146999999997</v>
      </c>
      <c r="EU67">
        <v>190.25264100000001</v>
      </c>
      <c r="EV67">
        <v>111.7941034</v>
      </c>
      <c r="EW67">
        <v>17.777044700000001</v>
      </c>
      <c r="EX67">
        <v>102.33666940000001</v>
      </c>
      <c r="EY67">
        <v>1.7947538999999999</v>
      </c>
      <c r="EZ67">
        <v>2307.2227932000001</v>
      </c>
      <c r="FA67" s="223">
        <v>8.3962939999999993</v>
      </c>
      <c r="FB67" s="223">
        <v>0.95285319999999996</v>
      </c>
      <c r="FC67" s="223">
        <v>1.9584627999999999</v>
      </c>
      <c r="FD67">
        <v>2.8352054999999998</v>
      </c>
      <c r="FE67">
        <v>1.2451336</v>
      </c>
      <c r="FF67">
        <v>1.6476691999999999</v>
      </c>
      <c r="FG67">
        <v>0.76160158</v>
      </c>
      <c r="FH67">
        <v>1.1307446999999999</v>
      </c>
      <c r="FI67">
        <v>0.98330983000000005</v>
      </c>
      <c r="FJ67">
        <v>109.5897099</v>
      </c>
    </row>
    <row r="68" spans="1:166" x14ac:dyDescent="0.3">
      <c r="A68" s="223">
        <v>67</v>
      </c>
      <c r="B68" s="315">
        <v>42410</v>
      </c>
      <c r="C68" s="212">
        <v>1014028.2328999999</v>
      </c>
      <c r="D68" s="212">
        <v>104.41613855999999</v>
      </c>
      <c r="E68" s="212">
        <v>1.3862114999999999</v>
      </c>
      <c r="F68" s="212">
        <v>6.5008808</v>
      </c>
      <c r="G68" s="212">
        <v>4.5237359353000004</v>
      </c>
      <c r="H68" s="212">
        <v>3.4650804229999999</v>
      </c>
      <c r="I68" s="212">
        <v>1.0072240960000001</v>
      </c>
      <c r="J68" s="212">
        <v>4.3675470000000001</v>
      </c>
      <c r="K68" s="212">
        <v>3.0903130000000001</v>
      </c>
      <c r="L68" s="212">
        <v>10.603640567999999</v>
      </c>
      <c r="M68" s="212">
        <v>0.86201523999999996</v>
      </c>
      <c r="N68" s="212">
        <v>1.1598643660000001</v>
      </c>
      <c r="O68" s="212">
        <v>1.9546259610000001</v>
      </c>
      <c r="P68" s="212">
        <v>1.318995876</v>
      </c>
      <c r="Q68" s="212">
        <v>1.550154</v>
      </c>
      <c r="R68" s="212">
        <v>1.7656967299999999</v>
      </c>
      <c r="S68" s="212">
        <v>12.351483</v>
      </c>
      <c r="T68" s="212">
        <v>2.8952319929999999</v>
      </c>
      <c r="U68" s="212">
        <v>3.2631084239999999</v>
      </c>
      <c r="V68" s="212">
        <v>1.5791673150000001</v>
      </c>
      <c r="W68" s="212">
        <v>1.351089459</v>
      </c>
      <c r="X68" s="212">
        <v>3.4065018679999999</v>
      </c>
      <c r="Y68" s="212">
        <v>1.8614630000000001</v>
      </c>
      <c r="Z68" s="212">
        <v>1.6164620000000001</v>
      </c>
      <c r="AA68" s="212">
        <v>1.3143685430000001</v>
      </c>
      <c r="AB68" s="212">
        <v>1.1317209829999999</v>
      </c>
      <c r="AC68" s="212">
        <v>1.1437833850000001</v>
      </c>
      <c r="AD68" s="212">
        <v>1.3272282339999999</v>
      </c>
      <c r="AE68" s="212">
        <v>1.325147477</v>
      </c>
      <c r="AF68" s="212">
        <v>1.2763400250000001</v>
      </c>
      <c r="AG68" s="212">
        <v>9.2813981650000006</v>
      </c>
      <c r="AH68" s="212">
        <v>1.773019667</v>
      </c>
      <c r="AI68" s="212">
        <v>3.7696139999999998</v>
      </c>
      <c r="AJ68" s="212">
        <v>2.3609140000000002</v>
      </c>
      <c r="AK68" s="212">
        <v>194.82533183000001</v>
      </c>
      <c r="AL68" s="212">
        <v>1.0838996999999999</v>
      </c>
      <c r="AM68" s="212">
        <v>1.8804135</v>
      </c>
      <c r="AN68" s="212">
        <v>8.5939923999999994</v>
      </c>
      <c r="AO68" s="212">
        <v>1.7632707999999999</v>
      </c>
      <c r="AP68" s="212">
        <v>1.7574282999999999</v>
      </c>
      <c r="AQ68" s="212">
        <v>2.4364653000000001</v>
      </c>
      <c r="AR68" s="212">
        <v>8.5606319000000006</v>
      </c>
      <c r="AS68" s="212">
        <v>323.9359642</v>
      </c>
      <c r="AT68" s="212">
        <v>1.1271279999999999</v>
      </c>
      <c r="AU68" s="212">
        <v>3.0101743000000001</v>
      </c>
      <c r="AV68" s="212">
        <v>2.5399525999999999</v>
      </c>
      <c r="AW68" s="212">
        <v>1.5428858999999999</v>
      </c>
      <c r="AX68" s="212">
        <v>1.2237851</v>
      </c>
      <c r="AY68" s="212">
        <v>2.5320417000000002</v>
      </c>
      <c r="AZ68" s="212" t="s">
        <v>830</v>
      </c>
      <c r="BA68" s="212">
        <v>1.8771610519999999</v>
      </c>
      <c r="BB68" s="212">
        <v>2.4094790000000001</v>
      </c>
      <c r="BC68" s="212">
        <v>2.992785</v>
      </c>
      <c r="BD68" s="212">
        <v>1.0912139999999999</v>
      </c>
      <c r="BE68" s="212">
        <v>1.0746420000000001</v>
      </c>
      <c r="BF68" s="212">
        <v>1.063866</v>
      </c>
      <c r="BG68" s="212">
        <v>1.0863179999999999</v>
      </c>
      <c r="BH68" s="212">
        <v>1.0700529999999999</v>
      </c>
      <c r="BI68" s="212">
        <v>1.2241040000000001</v>
      </c>
      <c r="BJ68" s="212">
        <v>1.104187</v>
      </c>
      <c r="BK68" s="212">
        <v>1.2067000000000001</v>
      </c>
      <c r="BL68" s="212">
        <v>1.217975</v>
      </c>
      <c r="BM68" s="212">
        <v>1.2172270000000001</v>
      </c>
      <c r="BN68" s="212">
        <v>1.066762</v>
      </c>
      <c r="BO68" s="212">
        <v>1.1511450000000001</v>
      </c>
      <c r="BP68" s="212">
        <v>2.6296889999999999</v>
      </c>
      <c r="BQ68" s="212">
        <v>1.3678809999999999</v>
      </c>
      <c r="BR68" s="212">
        <v>1.459795</v>
      </c>
      <c r="BS68" s="212">
        <v>1.2448729999999999</v>
      </c>
      <c r="BT68" s="212">
        <v>1.737252</v>
      </c>
      <c r="BU68" s="212">
        <v>1.7232080000000001</v>
      </c>
      <c r="BV68" s="212">
        <v>1.90368</v>
      </c>
      <c r="BW68" s="212">
        <v>1.741439</v>
      </c>
      <c r="BX68" s="212">
        <v>1.7177309999999999</v>
      </c>
      <c r="BY68" s="212">
        <v>1.7062059999999999</v>
      </c>
      <c r="BZ68" s="212">
        <v>1.964259</v>
      </c>
      <c r="CA68" s="212">
        <v>1.8968400000000001</v>
      </c>
      <c r="CB68" s="212">
        <v>1.912253</v>
      </c>
      <c r="CC68" s="212">
        <v>1.852061</v>
      </c>
      <c r="CD68" s="212">
        <v>1.8529040000000001</v>
      </c>
      <c r="CE68" s="212">
        <v>1.8027500000000001</v>
      </c>
      <c r="CF68" s="212">
        <v>1.1299269999999999</v>
      </c>
      <c r="CG68" s="212">
        <v>1.2925759999999999</v>
      </c>
      <c r="CH68" s="212">
        <v>1.3032250000000001</v>
      </c>
      <c r="CI68" s="212">
        <v>2.8457330000000001</v>
      </c>
      <c r="CJ68" s="212">
        <v>0.86483100000000002</v>
      </c>
      <c r="CK68" s="212">
        <v>0.93820599999999998</v>
      </c>
      <c r="CL68" s="212">
        <v>0.60009100000000004</v>
      </c>
      <c r="CM68" s="212">
        <v>2.65225</v>
      </c>
      <c r="CN68" s="212">
        <v>1.8681369999999999</v>
      </c>
      <c r="CO68" s="212">
        <v>0.97798200000000002</v>
      </c>
      <c r="CP68" s="212">
        <v>0.99297199999999997</v>
      </c>
      <c r="CQ68" s="212">
        <v>1.2709589999999999</v>
      </c>
      <c r="CR68" s="212">
        <v>13.820703999999999</v>
      </c>
      <c r="CS68" s="212">
        <v>4.3118309999999997</v>
      </c>
      <c r="CT68" s="212">
        <v>1.9679450000000001</v>
      </c>
      <c r="CU68" s="212">
        <v>5.1913280000000004</v>
      </c>
      <c r="CV68" s="212">
        <v>9.2693150000000006</v>
      </c>
      <c r="CW68" s="212" t="s">
        <v>830</v>
      </c>
      <c r="CX68" s="212">
        <v>1.2140984990000001</v>
      </c>
      <c r="CY68" s="212">
        <v>2.013037781</v>
      </c>
      <c r="CZ68" s="212">
        <v>1.1651215457999999</v>
      </c>
      <c r="DA68" s="212">
        <v>14.393021648</v>
      </c>
      <c r="DB68" s="212">
        <v>1.100527</v>
      </c>
      <c r="DC68" s="212">
        <v>1.097461</v>
      </c>
      <c r="DD68" s="212">
        <v>1.9340999999999999</v>
      </c>
      <c r="DE68" s="212">
        <v>1.842004</v>
      </c>
      <c r="DF68" s="212">
        <v>1.7776110000000001</v>
      </c>
      <c r="DG68" s="212">
        <v>1.0388240799999999</v>
      </c>
      <c r="DH68" s="212">
        <v>125.07587103</v>
      </c>
      <c r="DI68" s="212">
        <v>0.254832</v>
      </c>
      <c r="DJ68" s="212">
        <v>2.0630880999999999</v>
      </c>
      <c r="DK68" s="212">
        <v>1.90719803</v>
      </c>
      <c r="DL68" s="212">
        <v>152390.3664</v>
      </c>
      <c r="DM68" s="212">
        <v>328.3320506</v>
      </c>
      <c r="DN68" s="212">
        <v>16.138673699999998</v>
      </c>
      <c r="DO68" s="212" t="s">
        <v>830</v>
      </c>
      <c r="DP68" s="212">
        <v>18067736.805</v>
      </c>
      <c r="DQ68" s="212">
        <v>1.3605718</v>
      </c>
      <c r="DR68" s="212">
        <v>14.668519999999999</v>
      </c>
      <c r="DS68" s="212">
        <v>21.527162799999999</v>
      </c>
      <c r="DT68" s="212">
        <v>1.8523565</v>
      </c>
      <c r="DU68" s="212">
        <v>1.0177731000000001</v>
      </c>
      <c r="DV68" s="212">
        <v>1683.5645041</v>
      </c>
      <c r="DW68" s="212">
        <v>22964.609413999999</v>
      </c>
      <c r="DX68" s="212">
        <v>0.80992161200000001</v>
      </c>
      <c r="DY68" s="212">
        <v>9.4286600000000007</v>
      </c>
      <c r="DZ68" s="212">
        <v>225.16515100000001</v>
      </c>
      <c r="EA68" s="212">
        <v>18.088697</v>
      </c>
      <c r="EB68" s="212">
        <v>21.123716000000002</v>
      </c>
      <c r="EC68" s="212">
        <v>19.433008000000001</v>
      </c>
      <c r="ED68" s="212">
        <v>2239.353517</v>
      </c>
      <c r="EE68" s="212">
        <v>23.056978999999998</v>
      </c>
      <c r="EF68" s="212">
        <v>34.339692999999997</v>
      </c>
      <c r="EG68" s="212">
        <v>1.4025186000000001</v>
      </c>
      <c r="EH68" s="212">
        <v>0.65218109999999996</v>
      </c>
      <c r="EI68" s="212">
        <v>1.1628254</v>
      </c>
      <c r="EJ68" s="212" t="s">
        <v>830</v>
      </c>
      <c r="EK68" s="212">
        <v>1.6182649</v>
      </c>
      <c r="EL68" s="212">
        <v>2.7172114999999999</v>
      </c>
      <c r="EM68">
        <v>1.28011502</v>
      </c>
      <c r="EN68">
        <v>2.3177225400000001</v>
      </c>
      <c r="EO68" s="221">
        <v>1.3913625000000001</v>
      </c>
      <c r="EP68">
        <v>260.33472799999998</v>
      </c>
      <c r="EQ68">
        <v>186.066034</v>
      </c>
      <c r="ER68">
        <v>16.380759699999999</v>
      </c>
      <c r="ES68">
        <v>14.307891</v>
      </c>
      <c r="ET68">
        <v>8.8425706999999996</v>
      </c>
      <c r="EU68">
        <v>190.98867859999999</v>
      </c>
      <c r="EV68">
        <v>111.11847779999999</v>
      </c>
      <c r="EW68">
        <v>17.795351700000001</v>
      </c>
      <c r="EX68">
        <v>102.3824961</v>
      </c>
      <c r="EY68">
        <v>1.7194266</v>
      </c>
      <c r="EZ68">
        <v>2308.3006141000001</v>
      </c>
      <c r="FA68" s="223">
        <v>8.3998279999999994</v>
      </c>
      <c r="FB68" s="223">
        <v>0.95183320000000005</v>
      </c>
      <c r="FC68" s="223">
        <v>1.9661023</v>
      </c>
      <c r="FD68">
        <v>2.8366370000000001</v>
      </c>
      <c r="FE68">
        <v>1.2465902</v>
      </c>
      <c r="FF68">
        <v>1.6507418</v>
      </c>
      <c r="FG68">
        <v>0.75748954999999996</v>
      </c>
      <c r="FH68">
        <v>1.13315155</v>
      </c>
      <c r="FI68">
        <v>0.98323097000000004</v>
      </c>
      <c r="FJ68">
        <v>109.80560521</v>
      </c>
    </row>
    <row r="69" spans="1:166" x14ac:dyDescent="0.3">
      <c r="A69" s="223">
        <v>68</v>
      </c>
      <c r="B69" s="315">
        <v>42411</v>
      </c>
      <c r="C69" s="212">
        <v>1013962.197</v>
      </c>
      <c r="D69" s="212">
        <v>104.40321356</v>
      </c>
      <c r="E69" s="212">
        <v>1.3862033</v>
      </c>
      <c r="F69" s="212">
        <v>6.3806577000000004</v>
      </c>
      <c r="G69" s="212">
        <v>4.5420072957000004</v>
      </c>
      <c r="H69" s="212">
        <v>3.1928158180000001</v>
      </c>
      <c r="I69" s="212">
        <v>0.997664043</v>
      </c>
      <c r="J69" s="212">
        <v>4.3697670000000004</v>
      </c>
      <c r="K69" s="212">
        <v>3.0914450000000002</v>
      </c>
      <c r="L69" s="212">
        <v>10.607700008</v>
      </c>
      <c r="M69" s="212">
        <v>0.84379107900000005</v>
      </c>
      <c r="N69" s="212">
        <v>1.1302448430000001</v>
      </c>
      <c r="O69" s="212">
        <v>1.957894539</v>
      </c>
      <c r="P69" s="212">
        <v>1.3187962360000001</v>
      </c>
      <c r="Q69" s="212">
        <v>1.550916</v>
      </c>
      <c r="R69" s="212">
        <v>1.766526472</v>
      </c>
      <c r="S69" s="212">
        <v>12.355672999999999</v>
      </c>
      <c r="T69" s="212">
        <v>2.894175631</v>
      </c>
      <c r="U69" s="212">
        <v>3.2620764759999998</v>
      </c>
      <c r="V69" s="212">
        <v>1.5778703810000001</v>
      </c>
      <c r="W69" s="212">
        <v>1.3500127710000001</v>
      </c>
      <c r="X69" s="212">
        <v>3.3994810530000001</v>
      </c>
      <c r="Y69" s="212">
        <v>1.862033</v>
      </c>
      <c r="Z69" s="212">
        <v>1.617224</v>
      </c>
      <c r="AA69" s="212">
        <v>1.3134500570000001</v>
      </c>
      <c r="AB69" s="212">
        <v>1.132345833</v>
      </c>
      <c r="AC69" s="212">
        <v>1.144259854</v>
      </c>
      <c r="AD69" s="212">
        <v>1.3284200960000001</v>
      </c>
      <c r="AE69" s="212">
        <v>1.3263376730000001</v>
      </c>
      <c r="AF69" s="212">
        <v>1.275738389</v>
      </c>
      <c r="AG69" s="212">
        <v>9.2860219439999998</v>
      </c>
      <c r="AH69" s="212">
        <v>1.7741228469999999</v>
      </c>
      <c r="AI69" s="212">
        <v>3.771503</v>
      </c>
      <c r="AJ69" s="212">
        <v>2.360519</v>
      </c>
      <c r="AK69" s="212">
        <v>195.22256103000001</v>
      </c>
      <c r="AL69" s="212">
        <v>1.08361</v>
      </c>
      <c r="AM69" s="212">
        <v>1.8797877000000001</v>
      </c>
      <c r="AN69" s="212">
        <v>8.5984347999999997</v>
      </c>
      <c r="AO69" s="212">
        <v>1.7651051</v>
      </c>
      <c r="AP69" s="212">
        <v>1.7592572</v>
      </c>
      <c r="AQ69" s="212">
        <v>2.4377195</v>
      </c>
      <c r="AR69" s="212">
        <v>8.5650566000000001</v>
      </c>
      <c r="AS69" s="212">
        <v>315.46178190000001</v>
      </c>
      <c r="AT69" s="212">
        <v>1.1055987</v>
      </c>
      <c r="AU69" s="212">
        <v>3.0116388000000001</v>
      </c>
      <c r="AV69" s="212">
        <v>2.5389756000000001</v>
      </c>
      <c r="AW69" s="212">
        <v>1.5416804</v>
      </c>
      <c r="AX69" s="212">
        <v>1.2241621</v>
      </c>
      <c r="AY69" s="212">
        <v>2.5301447000000001</v>
      </c>
      <c r="AZ69" s="212" t="s">
        <v>830</v>
      </c>
      <c r="BA69" s="212">
        <v>1.8781049329999999</v>
      </c>
      <c r="BB69" s="212">
        <v>2.4083174000000001</v>
      </c>
      <c r="BC69" s="212">
        <v>2.9942000000000002</v>
      </c>
      <c r="BD69" s="212">
        <v>1.0918019999999999</v>
      </c>
      <c r="BE69" s="212">
        <v>1.075221</v>
      </c>
      <c r="BF69" s="212">
        <v>1.0644400000000001</v>
      </c>
      <c r="BG69" s="212">
        <v>1.086903</v>
      </c>
      <c r="BH69" s="212">
        <v>1.0706290000000001</v>
      </c>
      <c r="BI69" s="212">
        <v>1.2252350000000001</v>
      </c>
      <c r="BJ69" s="212">
        <v>1.1048849999999999</v>
      </c>
      <c r="BK69" s="212">
        <v>1.2071970000000001</v>
      </c>
      <c r="BL69" s="212">
        <v>1.219098</v>
      </c>
      <c r="BM69" s="212">
        <v>1.2183539999999999</v>
      </c>
      <c r="BN69" s="212">
        <v>1.0668850000000001</v>
      </c>
      <c r="BO69" s="212">
        <v>1.1505339999999999</v>
      </c>
      <c r="BP69" s="212">
        <v>2.6310730000000002</v>
      </c>
      <c r="BQ69" s="212">
        <v>1.3685529999999999</v>
      </c>
      <c r="BR69" s="212">
        <v>1.4605140000000001</v>
      </c>
      <c r="BS69" s="212">
        <v>1.2439199999999999</v>
      </c>
      <c r="BT69" s="212">
        <v>1.7358309999999999</v>
      </c>
      <c r="BU69" s="212">
        <v>1.7247030000000001</v>
      </c>
      <c r="BV69" s="212">
        <v>1.904901</v>
      </c>
      <c r="BW69" s="212">
        <v>1.7430619999999999</v>
      </c>
      <c r="BX69" s="212">
        <v>1.71922</v>
      </c>
      <c r="BY69" s="212">
        <v>1.7076979999999999</v>
      </c>
      <c r="BZ69" s="212">
        <v>1.9658869999999999</v>
      </c>
      <c r="CA69" s="212">
        <v>1.8983570000000001</v>
      </c>
      <c r="CB69" s="212">
        <v>1.913611</v>
      </c>
      <c r="CC69" s="212">
        <v>1.8534889999999999</v>
      </c>
      <c r="CD69" s="212">
        <v>1.854331</v>
      </c>
      <c r="CE69" s="212">
        <v>1.8042339999999999</v>
      </c>
      <c r="CF69" s="212">
        <v>1.130884</v>
      </c>
      <c r="CG69" s="212">
        <v>1.2872859999999999</v>
      </c>
      <c r="CH69" s="212">
        <v>1.3005230000000001</v>
      </c>
      <c r="CI69" s="212">
        <v>2.8470759999999999</v>
      </c>
      <c r="CJ69" s="212">
        <v>0.84263299999999997</v>
      </c>
      <c r="CK69" s="212">
        <v>0.91414200000000001</v>
      </c>
      <c r="CL69" s="212">
        <v>0.58589800000000003</v>
      </c>
      <c r="CM69" s="212">
        <v>2.5833349999999999</v>
      </c>
      <c r="CN69" s="212">
        <v>1.8667739999999999</v>
      </c>
      <c r="CO69" s="212">
        <v>0.96313000000000004</v>
      </c>
      <c r="CP69" s="212">
        <v>0.98559699999999995</v>
      </c>
      <c r="CQ69" s="212">
        <v>1.2716160000000001</v>
      </c>
      <c r="CR69" s="212">
        <v>13.8271</v>
      </c>
      <c r="CS69" s="212">
        <v>4.3138670000000001</v>
      </c>
      <c r="CT69" s="212">
        <v>1.967125</v>
      </c>
      <c r="CU69" s="212">
        <v>5.1930199999999997</v>
      </c>
      <c r="CV69" s="212">
        <v>9.2736070000000002</v>
      </c>
      <c r="CW69" s="212" t="s">
        <v>830</v>
      </c>
      <c r="CX69" s="212">
        <v>1.2147375256999999</v>
      </c>
      <c r="CY69" s="212">
        <v>2.0209773019999999</v>
      </c>
      <c r="CZ69" s="212">
        <v>1.1655344085999999</v>
      </c>
      <c r="DA69" s="212">
        <v>14.400383763000001</v>
      </c>
      <c r="DB69" s="212">
        <v>1.1011200000000001</v>
      </c>
      <c r="DC69" s="212">
        <v>1.098155</v>
      </c>
      <c r="DD69" s="212">
        <v>1.934766</v>
      </c>
      <c r="DE69" s="212">
        <v>1.841391</v>
      </c>
      <c r="DF69" s="212">
        <v>1.7781690000000001</v>
      </c>
      <c r="DG69" s="212">
        <v>1.0372215499999999</v>
      </c>
      <c r="DH69" s="212">
        <v>125.15043507</v>
      </c>
      <c r="DI69" s="212">
        <v>0.25483537000000001</v>
      </c>
      <c r="DJ69" s="212">
        <v>2.0640375</v>
      </c>
      <c r="DK69" s="212">
        <v>1.9077616100000001</v>
      </c>
      <c r="DL69" s="212">
        <v>152490.29895</v>
      </c>
      <c r="DM69" s="212">
        <v>328.51270690000001</v>
      </c>
      <c r="DN69" s="212">
        <v>16.146933199999999</v>
      </c>
      <c r="DO69" s="212" t="s">
        <v>830</v>
      </c>
      <c r="DP69" s="212">
        <v>18066552.401000001</v>
      </c>
      <c r="DQ69" s="212">
        <v>1.3390597</v>
      </c>
      <c r="DR69" s="212">
        <v>14.674823699999999</v>
      </c>
      <c r="DS69" s="212">
        <v>21.538393599999999</v>
      </c>
      <c r="DT69" s="212">
        <v>1.8476937</v>
      </c>
      <c r="DU69" s="212">
        <v>1.0011382</v>
      </c>
      <c r="DV69" s="212">
        <v>1684.0203618</v>
      </c>
      <c r="DW69" s="212">
        <v>22960.733531000002</v>
      </c>
      <c r="DX69" s="212">
        <v>0.81212778100000005</v>
      </c>
      <c r="DY69" s="212">
        <v>9.2076580000000003</v>
      </c>
      <c r="DZ69" s="212">
        <v>225.25232500000001</v>
      </c>
      <c r="EA69" s="212">
        <v>18.050253999999999</v>
      </c>
      <c r="EB69" s="212">
        <v>21.130801999999999</v>
      </c>
      <c r="EC69" s="212">
        <v>19.426580999999999</v>
      </c>
      <c r="ED69" s="212">
        <v>2240.5208689999999</v>
      </c>
      <c r="EE69" s="212">
        <v>23.080676</v>
      </c>
      <c r="EF69" s="212">
        <v>34.357548000000001</v>
      </c>
      <c r="EG69" s="212">
        <v>1.4037841</v>
      </c>
      <c r="EH69" s="212">
        <v>0.65238370000000001</v>
      </c>
      <c r="EI69" s="212">
        <v>1.1629582999999999</v>
      </c>
      <c r="EJ69" s="212" t="s">
        <v>830</v>
      </c>
      <c r="EK69" s="212">
        <v>1.6128932</v>
      </c>
      <c r="EL69" s="212">
        <v>2.7080307000000001</v>
      </c>
      <c r="EM69">
        <v>1.28024833</v>
      </c>
      <c r="EN69">
        <v>2.3198840000000001</v>
      </c>
      <c r="EO69" s="221">
        <v>1.3919983</v>
      </c>
      <c r="EP69">
        <v>260.43296700000002</v>
      </c>
      <c r="EQ69">
        <v>185.98552100000001</v>
      </c>
      <c r="ER69">
        <v>16.386274700000001</v>
      </c>
      <c r="ES69">
        <v>14.3032342</v>
      </c>
      <c r="ET69">
        <v>8.8470341000000001</v>
      </c>
      <c r="EU69">
        <v>190.9246617</v>
      </c>
      <c r="EV69">
        <v>108.157273</v>
      </c>
      <c r="EW69">
        <v>17.800774499999999</v>
      </c>
      <c r="EX69">
        <v>102.4307599</v>
      </c>
      <c r="EY69">
        <v>1.6609613000000001</v>
      </c>
      <c r="EZ69">
        <v>2309.4248521</v>
      </c>
      <c r="FA69" s="223">
        <v>8.4034099999999992</v>
      </c>
      <c r="FB69" s="223">
        <v>0.9259849</v>
      </c>
      <c r="FC69" s="223">
        <v>1.9652026</v>
      </c>
      <c r="FD69">
        <v>2.8380670000000001</v>
      </c>
      <c r="FE69">
        <v>1.2467773</v>
      </c>
      <c r="FF69">
        <v>1.6474530000000001</v>
      </c>
      <c r="FG69">
        <v>0.74544600000000005</v>
      </c>
      <c r="FH69">
        <v>1.1337606</v>
      </c>
      <c r="FI69">
        <v>0.98315213000000001</v>
      </c>
      <c r="FJ69">
        <v>110.00249903</v>
      </c>
    </row>
    <row r="70" spans="1:166" x14ac:dyDescent="0.3">
      <c r="A70" s="223">
        <v>69</v>
      </c>
      <c r="B70" s="315">
        <v>42412</v>
      </c>
      <c r="C70" s="212">
        <v>1013896.1072</v>
      </c>
      <c r="D70" s="212">
        <v>104.39799287</v>
      </c>
      <c r="E70" s="212">
        <v>1.3911788</v>
      </c>
      <c r="F70" s="212">
        <v>6.3936465</v>
      </c>
      <c r="G70" s="212">
        <v>4.5403846706</v>
      </c>
      <c r="H70" s="212">
        <v>3.3210512919999999</v>
      </c>
      <c r="I70" s="212">
        <v>1.0025985989999999</v>
      </c>
      <c r="J70" s="212">
        <v>4.3719840000000003</v>
      </c>
      <c r="K70" s="212">
        <v>3.0924990000000001</v>
      </c>
      <c r="L70" s="212">
        <v>10.612131435</v>
      </c>
      <c r="M70" s="212">
        <v>0.84944295400000003</v>
      </c>
      <c r="N70" s="212">
        <v>1.1401123200000001</v>
      </c>
      <c r="O70" s="212">
        <v>1.9587257</v>
      </c>
      <c r="P70" s="212">
        <v>1.326197166</v>
      </c>
      <c r="Q70" s="212">
        <v>1.551663</v>
      </c>
      <c r="R70" s="212">
        <v>1.772148461</v>
      </c>
      <c r="S70" s="212">
        <v>12.393022</v>
      </c>
      <c r="T70" s="212">
        <v>2.9167229039999998</v>
      </c>
      <c r="U70" s="212">
        <v>3.287603523</v>
      </c>
      <c r="V70" s="212">
        <v>1.594955245</v>
      </c>
      <c r="W70" s="212">
        <v>1.3544576450000001</v>
      </c>
      <c r="X70" s="212">
        <v>3.4050690100000001</v>
      </c>
      <c r="Y70" s="212">
        <v>1.8633519999999999</v>
      </c>
      <c r="Z70" s="212">
        <v>1.6180509999999999</v>
      </c>
      <c r="AA70" s="212">
        <v>1.3204055020000001</v>
      </c>
      <c r="AB70" s="212">
        <v>1.133670162</v>
      </c>
      <c r="AC70" s="212">
        <v>1.147716355</v>
      </c>
      <c r="AD70" s="212">
        <v>1.329613028</v>
      </c>
      <c r="AE70" s="212">
        <v>1.327528976</v>
      </c>
      <c r="AF70" s="212">
        <v>1.285345561</v>
      </c>
      <c r="AG70" s="212">
        <v>9.2905952470000006</v>
      </c>
      <c r="AH70" s="212">
        <v>1.7756365679999999</v>
      </c>
      <c r="AI70" s="212">
        <v>3.7738809999999998</v>
      </c>
      <c r="AJ70" s="212">
        <v>2.3777599999999999</v>
      </c>
      <c r="AK70" s="212">
        <v>195.51875974999999</v>
      </c>
      <c r="AL70" s="212">
        <v>1.0880622</v>
      </c>
      <c r="AM70" s="212">
        <v>1.8943409</v>
      </c>
      <c r="AN70" s="212">
        <v>8.6029809999999998</v>
      </c>
      <c r="AO70" s="212">
        <v>1.7656611</v>
      </c>
      <c r="AP70" s="212">
        <v>1.7598012000000001</v>
      </c>
      <c r="AQ70" s="212">
        <v>2.4389732</v>
      </c>
      <c r="AR70" s="212">
        <v>8.5694716</v>
      </c>
      <c r="AS70" s="212">
        <v>319.40843130000002</v>
      </c>
      <c r="AT70" s="212">
        <v>1.1028456</v>
      </c>
      <c r="AU70" s="212">
        <v>3.0130997000000002</v>
      </c>
      <c r="AV70" s="212">
        <v>2.5587111999999999</v>
      </c>
      <c r="AW70" s="212">
        <v>1.5583847</v>
      </c>
      <c r="AX70" s="212">
        <v>1.2279315</v>
      </c>
      <c r="AY70" s="212">
        <v>2.5384707999999998</v>
      </c>
      <c r="AZ70" s="212" t="s">
        <v>830</v>
      </c>
      <c r="BA70" s="212">
        <v>1.8790590359999999</v>
      </c>
      <c r="BB70" s="212">
        <v>2.4254905</v>
      </c>
      <c r="BC70" s="212">
        <v>2.9958629999999999</v>
      </c>
      <c r="BD70" s="212">
        <v>1.092541</v>
      </c>
      <c r="BE70" s="212">
        <v>1.075949</v>
      </c>
      <c r="BF70" s="212">
        <v>1.0651600000000001</v>
      </c>
      <c r="BG70" s="212">
        <v>1.087639</v>
      </c>
      <c r="BH70" s="212">
        <v>1.0713539999999999</v>
      </c>
      <c r="BI70" s="212">
        <v>1.226367</v>
      </c>
      <c r="BJ70" s="212">
        <v>1.1094710000000001</v>
      </c>
      <c r="BK70" s="212">
        <v>1.213903</v>
      </c>
      <c r="BL70" s="212">
        <v>1.2202219999999999</v>
      </c>
      <c r="BM70" s="212">
        <v>1.219481</v>
      </c>
      <c r="BN70" s="212">
        <v>1.0748800000000001</v>
      </c>
      <c r="BO70" s="212">
        <v>1.1611590000000001</v>
      </c>
      <c r="BP70" s="212">
        <v>2.632444</v>
      </c>
      <c r="BQ70" s="212">
        <v>1.3692249999999999</v>
      </c>
      <c r="BR70" s="212">
        <v>1.4650259999999999</v>
      </c>
      <c r="BS70" s="212">
        <v>1.25743</v>
      </c>
      <c r="BT70" s="212">
        <v>1.741676</v>
      </c>
      <c r="BU70" s="212">
        <v>1.724899</v>
      </c>
      <c r="BV70" s="212">
        <v>1.906123</v>
      </c>
      <c r="BW70" s="212">
        <v>1.744567</v>
      </c>
      <c r="BX70" s="212">
        <v>1.720415</v>
      </c>
      <c r="BY70" s="212">
        <v>1.7088159999999999</v>
      </c>
      <c r="BZ70" s="212">
        <v>1.9672350000000001</v>
      </c>
      <c r="CA70" s="212">
        <v>1.899875</v>
      </c>
      <c r="CB70" s="212">
        <v>1.9149700000000001</v>
      </c>
      <c r="CC70" s="212">
        <v>1.8549180000000001</v>
      </c>
      <c r="CD70" s="212">
        <v>1.8557589999999999</v>
      </c>
      <c r="CE70" s="212">
        <v>1.805534</v>
      </c>
      <c r="CF70" s="212">
        <v>1.127372</v>
      </c>
      <c r="CG70" s="212">
        <v>1.290411</v>
      </c>
      <c r="CH70" s="212">
        <v>1.3026409999999999</v>
      </c>
      <c r="CI70" s="212">
        <v>2.8486690000000001</v>
      </c>
      <c r="CJ70" s="212">
        <v>0.85287199999999996</v>
      </c>
      <c r="CK70" s="212">
        <v>0.92524200000000001</v>
      </c>
      <c r="CL70" s="212">
        <v>0.59147499999999997</v>
      </c>
      <c r="CM70" s="212">
        <v>2.614579</v>
      </c>
      <c r="CN70" s="212">
        <v>1.8873230000000001</v>
      </c>
      <c r="CO70" s="212">
        <v>0.96561600000000003</v>
      </c>
      <c r="CP70" s="212">
        <v>0.98493699999999995</v>
      </c>
      <c r="CQ70" s="212">
        <v>1.2722709999999999</v>
      </c>
      <c r="CR70" s="212">
        <v>13.833492</v>
      </c>
      <c r="CS70" s="212">
        <v>4.3158789999999998</v>
      </c>
      <c r="CT70" s="212">
        <v>1.9812069999999999</v>
      </c>
      <c r="CU70" s="212">
        <v>5.1947140000000003</v>
      </c>
      <c r="CV70" s="212">
        <v>9.2778869999999998</v>
      </c>
      <c r="CW70" s="212" t="s">
        <v>830</v>
      </c>
      <c r="CX70" s="212">
        <v>1.2153768502</v>
      </c>
      <c r="CY70" s="212">
        <v>2.0199998880000001</v>
      </c>
      <c r="CZ70" s="212">
        <v>1.1663129775000001</v>
      </c>
      <c r="DA70" s="212">
        <v>14.40766831</v>
      </c>
      <c r="DB70" s="212">
        <v>1.1018650000000001</v>
      </c>
      <c r="DC70" s="212">
        <v>1.102714</v>
      </c>
      <c r="DD70" s="212">
        <v>1.9406289999999999</v>
      </c>
      <c r="DE70" s="212">
        <v>1.85575</v>
      </c>
      <c r="DF70" s="212">
        <v>1.7794319999999999</v>
      </c>
      <c r="DG70" s="212">
        <v>1.0401879000000001</v>
      </c>
      <c r="DH70" s="212">
        <v>125.22886612000001</v>
      </c>
      <c r="DI70" s="212">
        <v>0.25493038000000001</v>
      </c>
      <c r="DJ70" s="212">
        <v>2.0649837</v>
      </c>
      <c r="DK70" s="212">
        <v>1.9095293099999999</v>
      </c>
      <c r="DL70" s="212">
        <v>152590.29702</v>
      </c>
      <c r="DM70" s="212">
        <v>328.68520380000001</v>
      </c>
      <c r="DN70" s="212">
        <v>16.156090899999999</v>
      </c>
      <c r="DO70" s="212" t="s">
        <v>830</v>
      </c>
      <c r="DP70" s="212">
        <v>18064047.265000001</v>
      </c>
      <c r="DQ70" s="212">
        <v>1.3461765999999999</v>
      </c>
      <c r="DR70" s="212">
        <v>14.681092100000001</v>
      </c>
      <c r="DS70" s="212">
        <v>21.5496655</v>
      </c>
      <c r="DT70" s="212">
        <v>1.8560443</v>
      </c>
      <c r="DU70" s="212">
        <v>1.0026253000000001</v>
      </c>
      <c r="DV70" s="212">
        <v>1684.9728146</v>
      </c>
      <c r="DW70" s="212">
        <v>22960.663295999999</v>
      </c>
      <c r="DX70" s="212">
        <v>0.82390167999999997</v>
      </c>
      <c r="DY70" s="212">
        <v>9.2963210000000007</v>
      </c>
      <c r="DZ70" s="212">
        <v>225.39745400000001</v>
      </c>
      <c r="EA70" s="212">
        <v>18.079577</v>
      </c>
      <c r="EB70" s="212">
        <v>21.195121</v>
      </c>
      <c r="EC70" s="212">
        <v>19.577432999999999</v>
      </c>
      <c r="ED70" s="212">
        <v>2241.7102450000002</v>
      </c>
      <c r="EE70" s="212">
        <v>23.087699000000001</v>
      </c>
      <c r="EF70" s="212">
        <v>34.375335999999997</v>
      </c>
      <c r="EG70" s="212">
        <v>1.4071766000000001</v>
      </c>
      <c r="EH70" s="212">
        <v>0.65259290000000003</v>
      </c>
      <c r="EI70" s="212">
        <v>1.168649</v>
      </c>
      <c r="EJ70" s="212" t="s">
        <v>830</v>
      </c>
      <c r="EK70" s="212">
        <v>1.6139357000000001</v>
      </c>
      <c r="EL70" s="212">
        <v>2.7097796999999999</v>
      </c>
      <c r="EM70">
        <v>1.28038601</v>
      </c>
      <c r="EN70">
        <v>2.3220474900000001</v>
      </c>
      <c r="EO70" s="221">
        <v>1.3926308999999999</v>
      </c>
      <c r="EP70">
        <v>260.97519999999997</v>
      </c>
      <c r="EQ70">
        <v>187.30124000000001</v>
      </c>
      <c r="ER70">
        <v>16.436196299999999</v>
      </c>
      <c r="ES70">
        <v>14.414654199999999</v>
      </c>
      <c r="ET70">
        <v>8.8516235999999999</v>
      </c>
      <c r="EU70">
        <v>192.4102662</v>
      </c>
      <c r="EV70">
        <v>108.0525583</v>
      </c>
      <c r="EW70">
        <v>17.813092900000001</v>
      </c>
      <c r="EX70">
        <v>102.4804834</v>
      </c>
      <c r="EY70">
        <v>1.7732114000000001</v>
      </c>
      <c r="EZ70">
        <v>2310.5912294999998</v>
      </c>
      <c r="FA70" s="223">
        <v>8.4069680000000009</v>
      </c>
      <c r="FB70" s="223">
        <v>0.93856360000000005</v>
      </c>
      <c r="FC70" s="223">
        <v>1.9803985</v>
      </c>
      <c r="FD70">
        <v>2.8394867000000001</v>
      </c>
      <c r="FE70">
        <v>1.2477895999999999</v>
      </c>
      <c r="FF70">
        <v>1.6501353000000001</v>
      </c>
      <c r="FG70">
        <v>0.74797340000000001</v>
      </c>
      <c r="FH70">
        <v>1.1342860699999999</v>
      </c>
      <c r="FI70">
        <v>0.98306961000000004</v>
      </c>
      <c r="FJ70">
        <v>109.32364659</v>
      </c>
    </row>
    <row r="71" spans="1:166" x14ac:dyDescent="0.3">
      <c r="A71" s="223">
        <v>70</v>
      </c>
      <c r="B71" s="315">
        <v>42415</v>
      </c>
      <c r="C71" s="212">
        <v>1013829.9932</v>
      </c>
      <c r="D71" s="212">
        <v>104.52930155999999</v>
      </c>
      <c r="E71" s="212">
        <v>1.3939737999999999</v>
      </c>
      <c r="F71" s="212">
        <v>6.4285224999999997</v>
      </c>
      <c r="G71" s="212">
        <v>4.5769457904999999</v>
      </c>
      <c r="H71" s="212">
        <v>3.3774963759999999</v>
      </c>
      <c r="I71" s="212">
        <v>1.0070343900000001</v>
      </c>
      <c r="J71" s="212">
        <v>4.374193</v>
      </c>
      <c r="K71" s="212">
        <v>3.0936240000000002</v>
      </c>
      <c r="L71" s="212">
        <v>10.616691548</v>
      </c>
      <c r="M71" s="212">
        <v>0.85441423500000002</v>
      </c>
      <c r="N71" s="212">
        <v>1.1485483030000001</v>
      </c>
      <c r="O71" s="212">
        <v>1.9590888500000001</v>
      </c>
      <c r="P71" s="212">
        <v>1.330244827</v>
      </c>
      <c r="Q71" s="212">
        <v>1.5524</v>
      </c>
      <c r="R71" s="212">
        <v>1.7761139990000001</v>
      </c>
      <c r="S71" s="212">
        <v>12.420899</v>
      </c>
      <c r="T71" s="212">
        <v>2.9225819949999998</v>
      </c>
      <c r="U71" s="212">
        <v>3.2942891360000002</v>
      </c>
      <c r="V71" s="212">
        <v>1.5979017310000001</v>
      </c>
      <c r="W71" s="212">
        <v>1.356214094</v>
      </c>
      <c r="X71" s="212">
        <v>3.4096892990000001</v>
      </c>
      <c r="Y71" s="212">
        <v>1.8644480000000001</v>
      </c>
      <c r="Z71" s="212">
        <v>1.6189020000000001</v>
      </c>
      <c r="AA71" s="212">
        <v>1.32322294</v>
      </c>
      <c r="AB71" s="212">
        <v>1.1347646929999999</v>
      </c>
      <c r="AC71" s="212">
        <v>1.149903941</v>
      </c>
      <c r="AD71" s="212">
        <v>1.3308070400000001</v>
      </c>
      <c r="AE71" s="212">
        <v>1.3287213410000001</v>
      </c>
      <c r="AF71" s="212">
        <v>1.2889599839999999</v>
      </c>
      <c r="AG71" s="212">
        <v>9.2952085219999994</v>
      </c>
      <c r="AH71" s="212">
        <v>1.777036912</v>
      </c>
      <c r="AI71" s="212">
        <v>3.7761</v>
      </c>
      <c r="AJ71" s="212">
        <v>2.383267</v>
      </c>
      <c r="AK71" s="212">
        <v>195.68101995999999</v>
      </c>
      <c r="AL71" s="212">
        <v>1.0910569000000001</v>
      </c>
      <c r="AM71" s="212">
        <v>1.8975496999999999</v>
      </c>
      <c r="AN71" s="212">
        <v>8.6074430999999993</v>
      </c>
      <c r="AO71" s="212">
        <v>1.7669096</v>
      </c>
      <c r="AP71" s="212">
        <v>1.7610425999999999</v>
      </c>
      <c r="AQ71" s="212">
        <v>2.4402216000000001</v>
      </c>
      <c r="AR71" s="212">
        <v>8.5738213999999999</v>
      </c>
      <c r="AS71" s="212">
        <v>321.70753480000002</v>
      </c>
      <c r="AT71" s="212">
        <v>1.1096246000000001</v>
      </c>
      <c r="AU71" s="212">
        <v>3.0145374999999999</v>
      </c>
      <c r="AV71" s="212">
        <v>2.5635205000000001</v>
      </c>
      <c r="AW71" s="212">
        <v>1.5601029</v>
      </c>
      <c r="AX71" s="212">
        <v>1.2306515</v>
      </c>
      <c r="AY71" s="212">
        <v>2.5423871999999998</v>
      </c>
      <c r="AZ71" s="212" t="s">
        <v>830</v>
      </c>
      <c r="BA71" s="212">
        <v>1.880011192</v>
      </c>
      <c r="BB71" s="212">
        <v>2.4299781999999999</v>
      </c>
      <c r="BC71" s="212">
        <v>2.9974789999999998</v>
      </c>
      <c r="BD71" s="212">
        <v>1.093332</v>
      </c>
      <c r="BE71" s="212">
        <v>1.0767279999999999</v>
      </c>
      <c r="BF71" s="212">
        <v>1.065931</v>
      </c>
      <c r="BG71" s="212">
        <v>1.0884259999999999</v>
      </c>
      <c r="BH71" s="212">
        <v>1.072128</v>
      </c>
      <c r="BI71" s="212">
        <v>1.227501</v>
      </c>
      <c r="BJ71" s="212">
        <v>1.112161</v>
      </c>
      <c r="BK71" s="212">
        <v>1.2188030000000001</v>
      </c>
      <c r="BL71" s="212">
        <v>1.221347</v>
      </c>
      <c r="BM71" s="212">
        <v>1.22061</v>
      </c>
      <c r="BN71" s="212">
        <v>1.078093</v>
      </c>
      <c r="BO71" s="212">
        <v>1.1638470000000001</v>
      </c>
      <c r="BP71" s="212">
        <v>2.633807</v>
      </c>
      <c r="BQ71" s="212">
        <v>1.3698969999999999</v>
      </c>
      <c r="BR71" s="212">
        <v>1.4681660000000001</v>
      </c>
      <c r="BS71" s="212">
        <v>1.259889</v>
      </c>
      <c r="BT71" s="212">
        <v>1.7440469999999999</v>
      </c>
      <c r="BU71" s="212">
        <v>1.7264029999999999</v>
      </c>
      <c r="BV71" s="212">
        <v>1.9073469999999999</v>
      </c>
      <c r="BW71" s="212">
        <v>1.746194</v>
      </c>
      <c r="BX71" s="212">
        <v>1.721908</v>
      </c>
      <c r="BY71" s="212">
        <v>1.7103120000000001</v>
      </c>
      <c r="BZ71" s="212">
        <v>1.968871</v>
      </c>
      <c r="CA71" s="212">
        <v>1.901394</v>
      </c>
      <c r="CB71" s="212">
        <v>1.9163289999999999</v>
      </c>
      <c r="CC71" s="212">
        <v>1.856349</v>
      </c>
      <c r="CD71" s="212">
        <v>1.857189</v>
      </c>
      <c r="CE71" s="212">
        <v>1.807021</v>
      </c>
      <c r="CF71" s="212">
        <v>1.1283350000000001</v>
      </c>
      <c r="CG71" s="212">
        <v>1.292961</v>
      </c>
      <c r="CH71" s="212">
        <v>1.30437</v>
      </c>
      <c r="CI71" s="212">
        <v>2.8502320000000001</v>
      </c>
      <c r="CJ71" s="212">
        <v>0.85818799999999995</v>
      </c>
      <c r="CK71" s="212">
        <v>0.93103800000000003</v>
      </c>
      <c r="CL71" s="212">
        <v>0.59415300000000004</v>
      </c>
      <c r="CM71" s="212">
        <v>2.6320990000000002</v>
      </c>
      <c r="CN71" s="212">
        <v>1.8942920000000001</v>
      </c>
      <c r="CO71" s="212">
        <v>0.97307200000000005</v>
      </c>
      <c r="CP71" s="212">
        <v>0.98806300000000002</v>
      </c>
      <c r="CQ71" s="212">
        <v>1.2729140000000001</v>
      </c>
      <c r="CR71" s="212">
        <v>13.839636</v>
      </c>
      <c r="CS71" s="212">
        <v>4.3179160000000003</v>
      </c>
      <c r="CT71" s="212">
        <v>1.9845219999999999</v>
      </c>
      <c r="CU71" s="212">
        <v>5.1964090000000001</v>
      </c>
      <c r="CV71" s="212">
        <v>9.2820319999999992</v>
      </c>
      <c r="CW71" s="212" t="s">
        <v>830</v>
      </c>
      <c r="CX71" s="212">
        <v>1.2160131786999999</v>
      </c>
      <c r="CY71" s="212">
        <v>2.0361434001999998</v>
      </c>
      <c r="CZ71" s="212">
        <v>1.1669645274</v>
      </c>
      <c r="DA71" s="212">
        <v>14.414888739</v>
      </c>
      <c r="DB71" s="212">
        <v>1.1026629999999999</v>
      </c>
      <c r="DC71" s="212">
        <v>1.105388</v>
      </c>
      <c r="DD71" s="212">
        <v>1.94495</v>
      </c>
      <c r="DE71" s="212">
        <v>1.8596440000000001</v>
      </c>
      <c r="DF71" s="212">
        <v>1.7804819999999999</v>
      </c>
      <c r="DG71" s="212">
        <v>1.0421828200000001</v>
      </c>
      <c r="DH71" s="212">
        <v>125.29683937</v>
      </c>
      <c r="DI71" s="212">
        <v>0.25500606999999997</v>
      </c>
      <c r="DJ71" s="212">
        <v>2.0659143000000002</v>
      </c>
      <c r="DK71" s="212">
        <v>1.9112985899999999</v>
      </c>
      <c r="DL71" s="212">
        <v>152690.36059</v>
      </c>
      <c r="DM71" s="212">
        <v>328.84487230000002</v>
      </c>
      <c r="DN71" s="212">
        <v>16.1652494</v>
      </c>
      <c r="DO71" s="212" t="s">
        <v>830</v>
      </c>
      <c r="DP71" s="212">
        <v>18064162.219000001</v>
      </c>
      <c r="DQ71" s="212">
        <v>1.3537504</v>
      </c>
      <c r="DR71" s="212">
        <v>14.6871855</v>
      </c>
      <c r="DS71" s="212">
        <v>21.560984399999999</v>
      </c>
      <c r="DT71" s="212">
        <v>1.8610089000000001</v>
      </c>
      <c r="DU71" s="212">
        <v>1.0082678</v>
      </c>
      <c r="DV71" s="212">
        <v>1685.6744447000001</v>
      </c>
      <c r="DW71" s="212">
        <v>22957.307328999999</v>
      </c>
      <c r="DX71" s="212">
        <v>0.81341257199999994</v>
      </c>
      <c r="DY71" s="212">
        <v>9.3511939999999996</v>
      </c>
      <c r="DZ71" s="212">
        <v>225.54015000000001</v>
      </c>
      <c r="EA71" s="212">
        <v>18.103912999999999</v>
      </c>
      <c r="EB71" s="212">
        <v>21.242149000000001</v>
      </c>
      <c r="EC71" s="212">
        <v>19.616595</v>
      </c>
      <c r="ED71" s="212">
        <v>2242.8829559999999</v>
      </c>
      <c r="EE71" s="212">
        <v>23.103704</v>
      </c>
      <c r="EF71" s="212">
        <v>34.393067000000002</v>
      </c>
      <c r="EG71" s="212">
        <v>1.3957689</v>
      </c>
      <c r="EH71" s="212">
        <v>0.65279560000000003</v>
      </c>
      <c r="EI71" s="212">
        <v>1.1699037999999999</v>
      </c>
      <c r="EJ71" s="212" t="s">
        <v>830</v>
      </c>
      <c r="EK71" s="212">
        <v>1.6157349999999999</v>
      </c>
      <c r="EL71" s="212">
        <v>2.7127992000000001</v>
      </c>
      <c r="EM71">
        <v>1.28080832</v>
      </c>
      <c r="EN71">
        <v>2.3242129999999999</v>
      </c>
      <c r="EO71" s="221">
        <v>1.3932644000000001</v>
      </c>
      <c r="EP71">
        <v>261.30295699999999</v>
      </c>
      <c r="EQ71">
        <v>187.64501200000001</v>
      </c>
      <c r="ER71">
        <v>16.473096099999999</v>
      </c>
      <c r="ES71">
        <v>14.444251599999999</v>
      </c>
      <c r="ET71">
        <v>8.8561893999999999</v>
      </c>
      <c r="EU71">
        <v>192.80351189999999</v>
      </c>
      <c r="EV71">
        <v>108.00659570000001</v>
      </c>
      <c r="EW71">
        <v>17.8229747</v>
      </c>
      <c r="EX71">
        <v>102.5301017</v>
      </c>
      <c r="EY71">
        <v>1.8071222</v>
      </c>
      <c r="EZ71">
        <v>2311.7441506999999</v>
      </c>
      <c r="FA71" s="223">
        <v>8.4105469999999993</v>
      </c>
      <c r="FB71" s="223">
        <v>0.94593269999999996</v>
      </c>
      <c r="FC71" s="223">
        <v>1.983903</v>
      </c>
      <c r="FD71">
        <v>2.8409151000000001</v>
      </c>
      <c r="FE71">
        <v>1.2486674</v>
      </c>
      <c r="FF71">
        <v>1.6523101</v>
      </c>
      <c r="FG71">
        <v>0.75126205999999995</v>
      </c>
      <c r="FH71">
        <v>1.1344554</v>
      </c>
      <c r="FI71">
        <v>0.98299080000000005</v>
      </c>
      <c r="FJ71">
        <v>109.59428407</v>
      </c>
    </row>
    <row r="72" spans="1:166" x14ac:dyDescent="0.3">
      <c r="A72" s="223">
        <v>71</v>
      </c>
      <c r="B72" s="315">
        <v>42416</v>
      </c>
      <c r="C72" s="212">
        <v>1013763.8329</v>
      </c>
      <c r="D72" s="212">
        <v>104.52508404</v>
      </c>
      <c r="E72" s="212">
        <v>1.3966236000000001</v>
      </c>
      <c r="F72" s="212">
        <v>6.5156350999999999</v>
      </c>
      <c r="G72" s="212">
        <v>4.5840229796000003</v>
      </c>
      <c r="H72" s="212">
        <v>3.3931655979999999</v>
      </c>
      <c r="I72" s="212">
        <v>1.014556426</v>
      </c>
      <c r="J72" s="212">
        <v>4.3764149999999997</v>
      </c>
      <c r="K72" s="212">
        <v>3.0947559999999998</v>
      </c>
      <c r="L72" s="212">
        <v>10.621263280999999</v>
      </c>
      <c r="M72" s="212">
        <v>0.87031626100000004</v>
      </c>
      <c r="N72" s="212">
        <v>1.1721661889999999</v>
      </c>
      <c r="O72" s="212">
        <v>1.9584169730000001</v>
      </c>
      <c r="P72" s="212">
        <v>1.3325280180000001</v>
      </c>
      <c r="Q72" s="212">
        <v>1.5531269999999999</v>
      </c>
      <c r="R72" s="212">
        <v>1.780637252</v>
      </c>
      <c r="S72" s="212">
        <v>12.445086999999999</v>
      </c>
      <c r="T72" s="212">
        <v>2.9211922810000002</v>
      </c>
      <c r="U72" s="212">
        <v>3.2924547770000001</v>
      </c>
      <c r="V72" s="212">
        <v>1.59430798</v>
      </c>
      <c r="W72" s="212">
        <v>1.3568198010000001</v>
      </c>
      <c r="X72" s="212">
        <v>3.4140258939999999</v>
      </c>
      <c r="Y72" s="212">
        <v>1.8661509999999999</v>
      </c>
      <c r="Z72" s="212">
        <v>1.6197490000000001</v>
      </c>
      <c r="AA72" s="212">
        <v>1.325315579</v>
      </c>
      <c r="AB72" s="212">
        <v>1.1360936909999999</v>
      </c>
      <c r="AC72" s="212">
        <v>1.151768938</v>
      </c>
      <c r="AD72" s="212">
        <v>1.3317044979999999</v>
      </c>
      <c r="AE72" s="212">
        <v>1.3296179180000001</v>
      </c>
      <c r="AF72" s="212">
        <v>1.291190866</v>
      </c>
      <c r="AG72" s="212">
        <v>9.299903917</v>
      </c>
      <c r="AH72" s="212">
        <v>1.779102636</v>
      </c>
      <c r="AI72" s="212">
        <v>3.7781289999999998</v>
      </c>
      <c r="AJ72" s="212">
        <v>2.3836059999999999</v>
      </c>
      <c r="AK72" s="212">
        <v>195.88506319000001</v>
      </c>
      <c r="AL72" s="212">
        <v>1.0938604999999999</v>
      </c>
      <c r="AM72" s="212">
        <v>1.8975580000000001</v>
      </c>
      <c r="AN72" s="212">
        <v>8.6118590000000008</v>
      </c>
      <c r="AO72" s="212">
        <v>1.7679465000000001</v>
      </c>
      <c r="AP72" s="212">
        <v>1.7620724999999999</v>
      </c>
      <c r="AQ72" s="212">
        <v>2.4414566</v>
      </c>
      <c r="AR72" s="212">
        <v>8.5781191000000003</v>
      </c>
      <c r="AS72" s="212">
        <v>328.57328560000002</v>
      </c>
      <c r="AT72" s="212">
        <v>1.1215493999999999</v>
      </c>
      <c r="AU72" s="212">
        <v>3.0159571000000001</v>
      </c>
      <c r="AV72" s="212">
        <v>2.5622517</v>
      </c>
      <c r="AW72" s="212">
        <v>1.5574737000000001</v>
      </c>
      <c r="AX72" s="212">
        <v>1.2331775</v>
      </c>
      <c r="AY72" s="212">
        <v>2.5438261</v>
      </c>
      <c r="AZ72" s="212" t="s">
        <v>830</v>
      </c>
      <c r="BA72" s="212">
        <v>1.88097279</v>
      </c>
      <c r="BB72" s="212">
        <v>2.4294736000000001</v>
      </c>
      <c r="BC72" s="212">
        <v>2.99925</v>
      </c>
      <c r="BD72" s="212">
        <v>1.0942240000000001</v>
      </c>
      <c r="BE72" s="212">
        <v>1.0776060000000001</v>
      </c>
      <c r="BF72" s="212">
        <v>1.0668010000000001</v>
      </c>
      <c r="BG72" s="212">
        <v>1.0893139999999999</v>
      </c>
      <c r="BH72" s="212">
        <v>1.073002</v>
      </c>
      <c r="BI72" s="212">
        <v>1.2283249999999999</v>
      </c>
      <c r="BJ72" s="212">
        <v>1.115723</v>
      </c>
      <c r="BK72" s="212">
        <v>1.2206980000000001</v>
      </c>
      <c r="BL72" s="212">
        <v>1.222164</v>
      </c>
      <c r="BM72" s="212">
        <v>1.2214309999999999</v>
      </c>
      <c r="BN72" s="212">
        <v>1.0793839999999999</v>
      </c>
      <c r="BO72" s="212">
        <v>1.1629529999999999</v>
      </c>
      <c r="BP72" s="212">
        <v>2.6351710000000002</v>
      </c>
      <c r="BQ72" s="212">
        <v>1.3705700000000001</v>
      </c>
      <c r="BR72" s="212">
        <v>1.471606</v>
      </c>
      <c r="BS72" s="212">
        <v>1.2571460000000001</v>
      </c>
      <c r="BT72" s="212">
        <v>1.7448969999999999</v>
      </c>
      <c r="BU72" s="212">
        <v>1.727851</v>
      </c>
      <c r="BV72" s="212">
        <v>1.9085700000000001</v>
      </c>
      <c r="BW72" s="212">
        <v>1.747822</v>
      </c>
      <c r="BX72" s="212">
        <v>1.7231069999999999</v>
      </c>
      <c r="BY72" s="212">
        <v>1.7117439999999999</v>
      </c>
      <c r="BZ72" s="212">
        <v>1.9705090000000001</v>
      </c>
      <c r="CA72" s="212">
        <v>1.9029149999999999</v>
      </c>
      <c r="CB72" s="212">
        <v>1.917689</v>
      </c>
      <c r="CC72" s="212">
        <v>1.85778</v>
      </c>
      <c r="CD72" s="212">
        <v>1.858619</v>
      </c>
      <c r="CE72" s="212">
        <v>1.8085100000000001</v>
      </c>
      <c r="CF72" s="212">
        <v>1.1292979999999999</v>
      </c>
      <c r="CG72" s="212">
        <v>1.2948249999999999</v>
      </c>
      <c r="CH72" s="212">
        <v>1.3059160000000001</v>
      </c>
      <c r="CI72" s="212">
        <v>2.8519770000000002</v>
      </c>
      <c r="CJ72" s="212">
        <v>0.87612199999999996</v>
      </c>
      <c r="CK72" s="212">
        <v>0.95047599999999999</v>
      </c>
      <c r="CL72" s="212">
        <v>0.60808300000000004</v>
      </c>
      <c r="CM72" s="212">
        <v>2.687084</v>
      </c>
      <c r="CN72" s="212">
        <v>1.951063</v>
      </c>
      <c r="CO72" s="212">
        <v>0.97866299999999995</v>
      </c>
      <c r="CP72" s="212">
        <v>0.99314999999999998</v>
      </c>
      <c r="CQ72" s="212">
        <v>1.273566</v>
      </c>
      <c r="CR72" s="212">
        <v>13.845902000000001</v>
      </c>
      <c r="CS72" s="212">
        <v>4.3199490000000003</v>
      </c>
      <c r="CT72" s="212">
        <v>1.9824390000000001</v>
      </c>
      <c r="CU72" s="212">
        <v>5.1981039999999998</v>
      </c>
      <c r="CV72" s="212">
        <v>9.2862489999999998</v>
      </c>
      <c r="CW72" s="212" t="s">
        <v>830</v>
      </c>
      <c r="CX72" s="212">
        <v>1.2166839627999999</v>
      </c>
      <c r="CY72" s="212">
        <v>2.0396467579999999</v>
      </c>
      <c r="CZ72" s="212">
        <v>1.1679041701999999</v>
      </c>
      <c r="DA72" s="212">
        <v>14.422355567</v>
      </c>
      <c r="DB72" s="212">
        <v>1.1035630000000001</v>
      </c>
      <c r="DC72" s="212">
        <v>1.1089279999999999</v>
      </c>
      <c r="DD72" s="212">
        <v>1.948734</v>
      </c>
      <c r="DE72" s="212">
        <v>1.8587659999999999</v>
      </c>
      <c r="DF72" s="212">
        <v>1.7821009999999999</v>
      </c>
      <c r="DG72" s="212">
        <v>1.0431624399999999</v>
      </c>
      <c r="DH72" s="212">
        <v>125.37052513</v>
      </c>
      <c r="DI72" s="212">
        <v>0.25507445000000001</v>
      </c>
      <c r="DJ72" s="212">
        <v>2.0668538999999999</v>
      </c>
      <c r="DK72" s="212">
        <v>1.8997899700000001</v>
      </c>
      <c r="DL72" s="212">
        <v>152790.48968</v>
      </c>
      <c r="DM72" s="212">
        <v>328.9935835</v>
      </c>
      <c r="DN72" s="212">
        <v>16.0750238</v>
      </c>
      <c r="DO72" s="212" t="s">
        <v>830</v>
      </c>
      <c r="DP72" s="212">
        <v>18062956.317000002</v>
      </c>
      <c r="DQ72" s="212">
        <v>1.3851559</v>
      </c>
      <c r="DR72" s="212">
        <v>14.6933937</v>
      </c>
      <c r="DS72" s="212">
        <v>21.572211200000002</v>
      </c>
      <c r="DT72" s="212">
        <v>1.8633017999999999</v>
      </c>
      <c r="DU72" s="212">
        <v>1.0262165999999999</v>
      </c>
      <c r="DV72" s="212">
        <v>1686.3722090000001</v>
      </c>
      <c r="DW72" s="212">
        <v>22953.948175000001</v>
      </c>
      <c r="DX72" s="212">
        <v>0.83154835500000002</v>
      </c>
      <c r="DY72" s="212">
        <v>9.5138680000000004</v>
      </c>
      <c r="DZ72" s="212">
        <v>225.731627</v>
      </c>
      <c r="EA72" s="212">
        <v>18.127157</v>
      </c>
      <c r="EB72" s="212">
        <v>21.285004000000001</v>
      </c>
      <c r="EC72" s="212">
        <v>19.607315</v>
      </c>
      <c r="ED72" s="212">
        <v>2244.0574750000001</v>
      </c>
      <c r="EE72" s="212">
        <v>23.117160999999999</v>
      </c>
      <c r="EF72" s="212">
        <v>34.410685000000001</v>
      </c>
      <c r="EG72" s="212">
        <v>1.4459502</v>
      </c>
      <c r="EH72" s="212">
        <v>0.65298330000000004</v>
      </c>
      <c r="EI72" s="212">
        <v>1.1695390999999999</v>
      </c>
      <c r="EJ72" s="212" t="s">
        <v>830</v>
      </c>
      <c r="EK72" s="212">
        <v>1.6195058</v>
      </c>
      <c r="EL72" s="212">
        <v>2.7191285999999999</v>
      </c>
      <c r="EM72">
        <v>1.2809422699999999</v>
      </c>
      <c r="EN72">
        <v>2.3258612300000001</v>
      </c>
      <c r="EO72" s="221">
        <v>1.3938965000000001</v>
      </c>
      <c r="EP72">
        <v>261.755515</v>
      </c>
      <c r="EQ72">
        <v>187.60785000000001</v>
      </c>
      <c r="ER72">
        <v>16.505729500000001</v>
      </c>
      <c r="ES72">
        <v>14.4370995</v>
      </c>
      <c r="ET72">
        <v>8.8606735000000008</v>
      </c>
      <c r="EU72">
        <v>192.7061817</v>
      </c>
      <c r="EV72">
        <v>110.0854518</v>
      </c>
      <c r="EW72">
        <v>17.838921299999999</v>
      </c>
      <c r="EX72">
        <v>102.5787747</v>
      </c>
      <c r="EY72">
        <v>1.7682374999999999</v>
      </c>
      <c r="EZ72">
        <v>2312.8801266999999</v>
      </c>
      <c r="FA72" s="223">
        <v>8.4140680000000003</v>
      </c>
      <c r="FB72" s="223">
        <v>0.96189829999999998</v>
      </c>
      <c r="FC72" s="223">
        <v>1.9824330999999999</v>
      </c>
      <c r="FD72">
        <v>2.8423251999999999</v>
      </c>
      <c r="FE72">
        <v>1.2499811999999999</v>
      </c>
      <c r="FF72">
        <v>1.6546612000000001</v>
      </c>
      <c r="FG72">
        <v>0.76204362999999997</v>
      </c>
      <c r="FH72">
        <v>1.1366501499999999</v>
      </c>
      <c r="FI72">
        <v>0.98291198999999996</v>
      </c>
      <c r="FJ72">
        <v>109.96145708</v>
      </c>
    </row>
    <row r="73" spans="1:166" x14ac:dyDescent="0.3">
      <c r="A73" s="223">
        <v>72</v>
      </c>
      <c r="B73" s="315">
        <v>42417</v>
      </c>
      <c r="C73" s="212">
        <v>1013697.687</v>
      </c>
      <c r="D73" s="212">
        <v>104.52096278</v>
      </c>
      <c r="E73" s="212">
        <v>1.3335528000000001</v>
      </c>
      <c r="F73" s="212">
        <v>6.5545705999999999</v>
      </c>
      <c r="G73" s="212">
        <v>4.5811000054999997</v>
      </c>
      <c r="H73" s="212">
        <v>3.388459611</v>
      </c>
      <c r="I73" s="212">
        <v>1.025133088</v>
      </c>
      <c r="J73" s="212">
        <v>4.3786399999999999</v>
      </c>
      <c r="K73" s="212">
        <v>3.0958939999999999</v>
      </c>
      <c r="L73" s="212">
        <v>10.625928926</v>
      </c>
      <c r="M73" s="212">
        <v>0.88003549400000003</v>
      </c>
      <c r="N73" s="212">
        <v>1.1856594789999999</v>
      </c>
      <c r="O73" s="212">
        <v>1.9582367110000001</v>
      </c>
      <c r="P73" s="212">
        <v>1.3351641430000001</v>
      </c>
      <c r="Q73" s="212">
        <v>1.553884</v>
      </c>
      <c r="R73" s="212">
        <v>1.7838292440000001</v>
      </c>
      <c r="S73" s="212">
        <v>12.465249</v>
      </c>
      <c r="T73" s="212">
        <v>2.9230992389999999</v>
      </c>
      <c r="U73" s="212">
        <v>3.2944825799999999</v>
      </c>
      <c r="V73" s="212">
        <v>1.5941707679999999</v>
      </c>
      <c r="W73" s="212">
        <v>1.359257403</v>
      </c>
      <c r="X73" s="212">
        <v>3.4263536779999999</v>
      </c>
      <c r="Y73" s="212">
        <v>1.867426</v>
      </c>
      <c r="Z73" s="212">
        <v>1.6206100000000001</v>
      </c>
      <c r="AA73" s="212">
        <v>1.3264671260000001</v>
      </c>
      <c r="AB73" s="212">
        <v>1.1371290590000001</v>
      </c>
      <c r="AC73" s="212">
        <v>1.153417307</v>
      </c>
      <c r="AD73" s="212">
        <v>1.332603016</v>
      </c>
      <c r="AE73" s="212">
        <v>1.3305155</v>
      </c>
      <c r="AF73" s="212">
        <v>1.2932109190000001</v>
      </c>
      <c r="AG73" s="212">
        <v>9.3046300070000001</v>
      </c>
      <c r="AH73" s="212">
        <v>1.780702459</v>
      </c>
      <c r="AI73" s="212">
        <v>3.780205</v>
      </c>
      <c r="AJ73" s="212">
        <v>2.3857379999999999</v>
      </c>
      <c r="AK73" s="212">
        <v>196.03765340999999</v>
      </c>
      <c r="AL73" s="212">
        <v>1.0957641</v>
      </c>
      <c r="AM73" s="212">
        <v>1.8987282000000001</v>
      </c>
      <c r="AN73" s="212">
        <v>8.6162863000000005</v>
      </c>
      <c r="AO73" s="212">
        <v>1.769555</v>
      </c>
      <c r="AP73" s="212">
        <v>1.7636761000000001</v>
      </c>
      <c r="AQ73" s="212">
        <v>2.4427051</v>
      </c>
      <c r="AR73" s="212">
        <v>8.5824236999999997</v>
      </c>
      <c r="AS73" s="212">
        <v>334.10542939999999</v>
      </c>
      <c r="AT73" s="212">
        <v>1.1325107999999999</v>
      </c>
      <c r="AU73" s="212">
        <v>3.0173792000000002</v>
      </c>
      <c r="AV73" s="212">
        <v>2.5636123999999998</v>
      </c>
      <c r="AW73" s="212">
        <v>1.5573276</v>
      </c>
      <c r="AX73" s="212">
        <v>1.235158</v>
      </c>
      <c r="AY73" s="212">
        <v>2.5485969000000002</v>
      </c>
      <c r="AZ73" s="212" t="s">
        <v>830</v>
      </c>
      <c r="BA73" s="212">
        <v>1.8819381479999999</v>
      </c>
      <c r="BB73" s="212">
        <v>2.4308112999999998</v>
      </c>
      <c r="BC73" s="212">
        <v>3.0009329999999999</v>
      </c>
      <c r="BD73" s="212">
        <v>1.094992</v>
      </c>
      <c r="BE73" s="212">
        <v>1.078363</v>
      </c>
      <c r="BF73" s="212">
        <v>1.06755</v>
      </c>
      <c r="BG73" s="212">
        <v>1.090079</v>
      </c>
      <c r="BH73" s="212">
        <v>1.073755</v>
      </c>
      <c r="BI73" s="212">
        <v>1.22915</v>
      </c>
      <c r="BJ73" s="212">
        <v>1.118055</v>
      </c>
      <c r="BK73" s="212">
        <v>1.2235579999999999</v>
      </c>
      <c r="BL73" s="212">
        <v>1.2229829999999999</v>
      </c>
      <c r="BM73" s="212">
        <v>1.222253</v>
      </c>
      <c r="BN73" s="212">
        <v>1.0806880000000001</v>
      </c>
      <c r="BO73" s="212">
        <v>1.163227</v>
      </c>
      <c r="BP73" s="212">
        <v>2.6365660000000002</v>
      </c>
      <c r="BQ73" s="212">
        <v>1.371243</v>
      </c>
      <c r="BR73" s="212">
        <v>1.47418</v>
      </c>
      <c r="BS73" s="212">
        <v>1.2570840000000001</v>
      </c>
      <c r="BT73" s="212">
        <v>1.7480260000000001</v>
      </c>
      <c r="BU73" s="212">
        <v>1.7306140000000001</v>
      </c>
      <c r="BV73" s="212">
        <v>1.9097949999999999</v>
      </c>
      <c r="BW73" s="212">
        <v>1.7495579999999999</v>
      </c>
      <c r="BX73" s="212">
        <v>1.724729</v>
      </c>
      <c r="BY73" s="212">
        <v>1.7137119999999999</v>
      </c>
      <c r="BZ73" s="212">
        <v>1.972334</v>
      </c>
      <c r="CA73" s="212">
        <v>1.9044369999999999</v>
      </c>
      <c r="CB73" s="212">
        <v>1.9190510000000001</v>
      </c>
      <c r="CC73" s="212">
        <v>1.859213</v>
      </c>
      <c r="CD73" s="212">
        <v>1.8600509999999999</v>
      </c>
      <c r="CE73" s="212">
        <v>1.81016</v>
      </c>
      <c r="CF73" s="212">
        <v>1.1359349999999999</v>
      </c>
      <c r="CG73" s="212">
        <v>1.3027010000000001</v>
      </c>
      <c r="CH73" s="212">
        <v>1.310602</v>
      </c>
      <c r="CI73" s="212">
        <v>2.8535849999999998</v>
      </c>
      <c r="CJ73" s="212">
        <v>0.89041099999999995</v>
      </c>
      <c r="CK73" s="212">
        <v>0.96596499999999996</v>
      </c>
      <c r="CL73" s="212">
        <v>0.61617699999999997</v>
      </c>
      <c r="CM73" s="212">
        <v>2.7308859999999999</v>
      </c>
      <c r="CN73" s="212">
        <v>1.9509240000000001</v>
      </c>
      <c r="CO73" s="212">
        <v>0.99139500000000003</v>
      </c>
      <c r="CP73" s="212">
        <v>0.99798399999999998</v>
      </c>
      <c r="CQ73" s="212">
        <v>1.274214</v>
      </c>
      <c r="CR73" s="212">
        <v>13.852266</v>
      </c>
      <c r="CS73" s="212">
        <v>4.3220789999999996</v>
      </c>
      <c r="CT73" s="212">
        <v>1.983484</v>
      </c>
      <c r="CU73" s="212">
        <v>5.1997970000000002</v>
      </c>
      <c r="CV73" s="212">
        <v>9.2905090000000001</v>
      </c>
      <c r="CW73" s="212" t="s">
        <v>830</v>
      </c>
      <c r="CX73" s="212">
        <v>1.2173099877</v>
      </c>
      <c r="CY73" s="212">
        <v>2.0376504244000002</v>
      </c>
      <c r="CZ73" s="212">
        <v>1.1686599633999999</v>
      </c>
      <c r="DA73" s="212">
        <v>14.429422082</v>
      </c>
      <c r="DB73" s="212">
        <v>1.104338</v>
      </c>
      <c r="DC73" s="212">
        <v>1.111246</v>
      </c>
      <c r="DD73" s="212">
        <v>1.9518899999999999</v>
      </c>
      <c r="DE73" s="212">
        <v>1.859944</v>
      </c>
      <c r="DF73" s="212">
        <v>1.7833209999999999</v>
      </c>
      <c r="DG73" s="212">
        <v>1.0465777999999999</v>
      </c>
      <c r="DH73" s="212">
        <v>125.44482191</v>
      </c>
      <c r="DI73" s="212">
        <v>0.25525057000000001</v>
      </c>
      <c r="DJ73" s="212">
        <v>2.0677865</v>
      </c>
      <c r="DK73" s="212">
        <v>1.9011099199999999</v>
      </c>
      <c r="DL73" s="212">
        <v>152890.68494000001</v>
      </c>
      <c r="DM73" s="212">
        <v>328.65728480000001</v>
      </c>
      <c r="DN73" s="212">
        <v>16.151125100000002</v>
      </c>
      <c r="DO73" s="212" t="s">
        <v>830</v>
      </c>
      <c r="DP73" s="212">
        <v>18061750.495000001</v>
      </c>
      <c r="DQ73" s="212">
        <v>1.3932632</v>
      </c>
      <c r="DR73" s="212">
        <v>14.6995796</v>
      </c>
      <c r="DS73" s="212">
        <v>21.583439299999998</v>
      </c>
      <c r="DT73" s="212">
        <v>1.8650498</v>
      </c>
      <c r="DU73" s="212">
        <v>1.0366820000000001</v>
      </c>
      <c r="DV73" s="212">
        <v>1687.0746187</v>
      </c>
      <c r="DW73" s="212">
        <v>22950.560795000001</v>
      </c>
      <c r="DX73" s="212">
        <v>0.82412546900000005</v>
      </c>
      <c r="DY73" s="212">
        <v>9.6599330000000005</v>
      </c>
      <c r="DZ73" s="212">
        <v>225.92539199999999</v>
      </c>
      <c r="EA73" s="212">
        <v>18.193224000000001</v>
      </c>
      <c r="EB73" s="212">
        <v>21.318708999999998</v>
      </c>
      <c r="EC73" s="212">
        <v>19.619305000000001</v>
      </c>
      <c r="ED73" s="212">
        <v>2245.2255380000001</v>
      </c>
      <c r="EE73" s="212">
        <v>23.138674000000002</v>
      </c>
      <c r="EF73" s="212">
        <v>34.428369000000004</v>
      </c>
      <c r="EG73" s="212">
        <v>1.4169417</v>
      </c>
      <c r="EH73" s="212">
        <v>0.65318529999999997</v>
      </c>
      <c r="EI73" s="212">
        <v>1.1698225</v>
      </c>
      <c r="EJ73" s="212" t="s">
        <v>830</v>
      </c>
      <c r="EK73" s="212">
        <v>1.622066</v>
      </c>
      <c r="EL73" s="212">
        <v>2.7234259000000001</v>
      </c>
      <c r="EM73">
        <v>1.28097259</v>
      </c>
      <c r="EN73">
        <v>2.3275106399999999</v>
      </c>
      <c r="EO73" s="221">
        <v>1.3945266999999999</v>
      </c>
      <c r="EP73">
        <v>261.81721299999998</v>
      </c>
      <c r="EQ73">
        <v>187.75720899999999</v>
      </c>
      <c r="ER73">
        <v>16.532477499999999</v>
      </c>
      <c r="ES73">
        <v>14.446356</v>
      </c>
      <c r="ET73">
        <v>8.8652262000000004</v>
      </c>
      <c r="EU73">
        <v>192.8278966</v>
      </c>
      <c r="EV73">
        <v>110.9081544</v>
      </c>
      <c r="EW73">
        <v>17.8508803</v>
      </c>
      <c r="EX73">
        <v>102.6282417</v>
      </c>
      <c r="EY73">
        <v>1.9059166000000001</v>
      </c>
      <c r="EZ73">
        <v>2314.0295958000002</v>
      </c>
      <c r="FA73" s="223">
        <v>8.4176249999999992</v>
      </c>
      <c r="FB73" s="223">
        <v>0.97191859999999997</v>
      </c>
      <c r="FC73" s="223">
        <v>1.9837225999999999</v>
      </c>
      <c r="FD73">
        <v>2.8437513000000001</v>
      </c>
      <c r="FE73">
        <v>1.2509866999999999</v>
      </c>
      <c r="FF73">
        <v>1.6605008000000001</v>
      </c>
      <c r="FG73">
        <v>0.76631512999999996</v>
      </c>
      <c r="FH73">
        <v>1.1358177599999999</v>
      </c>
      <c r="FI73">
        <v>0.98283319000000002</v>
      </c>
      <c r="FJ73">
        <v>109.70550118</v>
      </c>
    </row>
    <row r="74" spans="1:166" x14ac:dyDescent="0.3">
      <c r="A74" s="223">
        <v>73</v>
      </c>
      <c r="B74" s="315">
        <v>42418</v>
      </c>
      <c r="C74" s="212">
        <v>1013614.3749000001</v>
      </c>
      <c r="D74" s="212">
        <v>104.51674606</v>
      </c>
      <c r="E74" s="212">
        <v>1.3308138</v>
      </c>
      <c r="F74" s="212">
        <v>6.6103223</v>
      </c>
      <c r="G74" s="212">
        <v>4.5843169221000002</v>
      </c>
      <c r="H74" s="212">
        <v>3.4731946929999999</v>
      </c>
      <c r="I74" s="212">
        <v>1.029886895</v>
      </c>
      <c r="J74" s="212">
        <v>4.3808749999999996</v>
      </c>
      <c r="K74" s="212">
        <v>3.0969739999999999</v>
      </c>
      <c r="L74" s="212">
        <v>10.630356368999999</v>
      </c>
      <c r="M74" s="212">
        <v>0.87940196999999998</v>
      </c>
      <c r="N74" s="212">
        <v>1.1862246299999999</v>
      </c>
      <c r="O74" s="212">
        <v>1.9595528719999999</v>
      </c>
      <c r="P74" s="212">
        <v>1.3306343949999999</v>
      </c>
      <c r="Q74" s="212">
        <v>1.5546500000000001</v>
      </c>
      <c r="R74" s="212">
        <v>1.781025394</v>
      </c>
      <c r="S74" s="212">
        <v>12.442759000000001</v>
      </c>
      <c r="T74" s="212">
        <v>2.9118074190000001</v>
      </c>
      <c r="U74" s="212">
        <v>3.2815105600000001</v>
      </c>
      <c r="V74" s="212">
        <v>1.5855528679999999</v>
      </c>
      <c r="W74" s="212">
        <v>1.3572914149999999</v>
      </c>
      <c r="X74" s="212">
        <v>3.4236692350000002</v>
      </c>
      <c r="Y74" s="212">
        <v>1.8678589999999999</v>
      </c>
      <c r="Z74" s="212">
        <v>1.621434</v>
      </c>
      <c r="AA74" s="212">
        <v>1.3194233390000001</v>
      </c>
      <c r="AB74" s="212">
        <v>1.1369831290000001</v>
      </c>
      <c r="AC74" s="212">
        <v>1.151625653</v>
      </c>
      <c r="AD74" s="212">
        <v>1.3335023079999999</v>
      </c>
      <c r="AE74" s="212">
        <v>1.3314138230000001</v>
      </c>
      <c r="AF74" s="212">
        <v>1.286933377</v>
      </c>
      <c r="AG74" s="212">
        <v>9.3093662970000004</v>
      </c>
      <c r="AH74" s="212">
        <v>1.7772381509999999</v>
      </c>
      <c r="AI74" s="212">
        <v>3.7817630000000002</v>
      </c>
      <c r="AJ74" s="212">
        <v>2.376582</v>
      </c>
      <c r="AK74" s="212">
        <v>195.88758908</v>
      </c>
      <c r="AL74" s="212">
        <v>1.0921021</v>
      </c>
      <c r="AM74" s="212">
        <v>1.8910047000000001</v>
      </c>
      <c r="AN74" s="212">
        <v>8.6207624999999997</v>
      </c>
      <c r="AO74" s="212">
        <v>1.7707595</v>
      </c>
      <c r="AP74" s="212">
        <v>1.7648826</v>
      </c>
      <c r="AQ74" s="212">
        <v>2.4439411999999998</v>
      </c>
      <c r="AR74" s="212">
        <v>8.5868357999999994</v>
      </c>
      <c r="AS74" s="212">
        <v>332.9132237</v>
      </c>
      <c r="AT74" s="212">
        <v>1.1454664000000001</v>
      </c>
      <c r="AU74" s="212">
        <v>3.0188391999999999</v>
      </c>
      <c r="AV74" s="212">
        <v>2.5532164000000002</v>
      </c>
      <c r="AW74" s="212">
        <v>1.5488215999999999</v>
      </c>
      <c r="AX74" s="212">
        <v>1.2329304999999999</v>
      </c>
      <c r="AY74" s="212">
        <v>2.5448097000000001</v>
      </c>
      <c r="AZ74" s="212" t="s">
        <v>830</v>
      </c>
      <c r="BA74" s="212">
        <v>1.882898983</v>
      </c>
      <c r="BB74" s="212">
        <v>2.4205350999999999</v>
      </c>
      <c r="BC74" s="212">
        <v>3.0023590000000002</v>
      </c>
      <c r="BD74" s="212">
        <v>1.0952010000000001</v>
      </c>
      <c r="BE74" s="212">
        <v>1.078568</v>
      </c>
      <c r="BF74" s="212">
        <v>1.067753</v>
      </c>
      <c r="BG74" s="212">
        <v>1.090287</v>
      </c>
      <c r="BH74" s="212">
        <v>1.07396</v>
      </c>
      <c r="BI74" s="212">
        <v>1.229976</v>
      </c>
      <c r="BJ74" s="212">
        <v>1.1159129999999999</v>
      </c>
      <c r="BK74" s="212">
        <v>1.218804</v>
      </c>
      <c r="BL74" s="212">
        <v>1.2238020000000001</v>
      </c>
      <c r="BM74" s="212">
        <v>1.2230760000000001</v>
      </c>
      <c r="BN74" s="212">
        <v>1.0751029999999999</v>
      </c>
      <c r="BO74" s="212">
        <v>1.1553370000000001</v>
      </c>
      <c r="BP74" s="212">
        <v>2.63795</v>
      </c>
      <c r="BQ74" s="212">
        <v>1.3719170000000001</v>
      </c>
      <c r="BR74" s="212">
        <v>1.4718709999999999</v>
      </c>
      <c r="BS74" s="212">
        <v>1.2502219999999999</v>
      </c>
      <c r="BT74" s="212">
        <v>1.7454620000000001</v>
      </c>
      <c r="BU74" s="212">
        <v>1.731778</v>
      </c>
      <c r="BV74" s="212">
        <v>1.9110210000000001</v>
      </c>
      <c r="BW74" s="212">
        <v>1.751182</v>
      </c>
      <c r="BX74" s="212">
        <v>1.7259279999999999</v>
      </c>
      <c r="BY74" s="212">
        <v>1.715144</v>
      </c>
      <c r="BZ74" s="212">
        <v>1.973902</v>
      </c>
      <c r="CA74" s="212">
        <v>1.905661</v>
      </c>
      <c r="CB74" s="212">
        <v>1.9204140000000001</v>
      </c>
      <c r="CC74" s="212">
        <v>1.860646</v>
      </c>
      <c r="CD74" s="212">
        <v>1.861483</v>
      </c>
      <c r="CE74" s="212">
        <v>1.8116350000000001</v>
      </c>
      <c r="CF74" s="212">
        <v>1.136895</v>
      </c>
      <c r="CG74" s="212">
        <v>1.300419</v>
      </c>
      <c r="CH74" s="212">
        <v>1.309482</v>
      </c>
      <c r="CI74" s="212">
        <v>2.8549579999999999</v>
      </c>
      <c r="CJ74" s="212">
        <v>0.89040799999999998</v>
      </c>
      <c r="CK74" s="212">
        <v>0.96588200000000002</v>
      </c>
      <c r="CL74" s="212">
        <v>0.61581600000000003</v>
      </c>
      <c r="CM74" s="212">
        <v>2.723157</v>
      </c>
      <c r="CN74" s="212">
        <v>1.961578</v>
      </c>
      <c r="CO74" s="212">
        <v>0.98886499999999999</v>
      </c>
      <c r="CP74" s="212">
        <v>0.99390900000000004</v>
      </c>
      <c r="CQ74" s="212">
        <v>1.2748729999999999</v>
      </c>
      <c r="CR74" s="212">
        <v>13.858601999999999</v>
      </c>
      <c r="CS74" s="212">
        <v>4.3240980000000002</v>
      </c>
      <c r="CT74" s="212">
        <v>1.9775720000000001</v>
      </c>
      <c r="CU74" s="212">
        <v>5.2014930000000001</v>
      </c>
      <c r="CV74" s="212">
        <v>9.2947690000000005</v>
      </c>
      <c r="CW74" s="212" t="s">
        <v>830</v>
      </c>
      <c r="CX74" s="212">
        <v>1.2179417105000001</v>
      </c>
      <c r="CY74" s="212">
        <v>2.0392777616000002</v>
      </c>
      <c r="CZ74" s="212">
        <v>1.1689997915000001</v>
      </c>
      <c r="DA74" s="212">
        <v>14.436670007</v>
      </c>
      <c r="DB74" s="212">
        <v>1.104549</v>
      </c>
      <c r="DC74" s="212">
        <v>1.1091169999999999</v>
      </c>
      <c r="DD74" s="212">
        <v>1.9484269999999999</v>
      </c>
      <c r="DE74" s="212">
        <v>1.8525290000000001</v>
      </c>
      <c r="DF74" s="212">
        <v>1.7837430000000001</v>
      </c>
      <c r="DG74" s="212">
        <v>1.04516356</v>
      </c>
      <c r="DH74" s="212">
        <v>125.51913666</v>
      </c>
      <c r="DI74" s="212">
        <v>0.25525024000000002</v>
      </c>
      <c r="DJ74" s="212">
        <v>2.0687310999999999</v>
      </c>
      <c r="DK74" s="212">
        <v>1.90174987</v>
      </c>
      <c r="DL74" s="212">
        <v>152990.94549000001</v>
      </c>
      <c r="DM74" s="212">
        <v>328.89359710000002</v>
      </c>
      <c r="DN74" s="212">
        <v>16.145961100000001</v>
      </c>
      <c r="DO74" s="212" t="s">
        <v>830</v>
      </c>
      <c r="DP74" s="212">
        <v>18060544.752</v>
      </c>
      <c r="DQ74" s="212">
        <v>1.4131376</v>
      </c>
      <c r="DR74" s="212">
        <v>14.705727100000001</v>
      </c>
      <c r="DS74" s="212">
        <v>21.594977499999999</v>
      </c>
      <c r="DT74" s="212">
        <v>1.8619486000000001</v>
      </c>
      <c r="DU74" s="212">
        <v>1.0369713</v>
      </c>
      <c r="DV74" s="212">
        <v>1687.7780409</v>
      </c>
      <c r="DW74" s="212">
        <v>22947.188933000001</v>
      </c>
      <c r="DX74" s="212">
        <v>0.821087872</v>
      </c>
      <c r="DY74" s="212">
        <v>9.6497720000000005</v>
      </c>
      <c r="DZ74" s="212">
        <v>226.001296</v>
      </c>
      <c r="EA74" s="212">
        <v>18.178889999999999</v>
      </c>
      <c r="EB74" s="212">
        <v>21.280601000000001</v>
      </c>
      <c r="EC74" s="212">
        <v>19.540044999999999</v>
      </c>
      <c r="ED74" s="212">
        <v>2246.274735</v>
      </c>
      <c r="EE74" s="212">
        <v>23.154337999999999</v>
      </c>
      <c r="EF74" s="212">
        <v>34.446156999999999</v>
      </c>
      <c r="EG74" s="212">
        <v>1.4234776</v>
      </c>
      <c r="EH74" s="212">
        <v>0.65338750000000001</v>
      </c>
      <c r="EI74" s="212">
        <v>1.1684665000000001</v>
      </c>
      <c r="EJ74" s="212" t="s">
        <v>830</v>
      </c>
      <c r="EK74" s="212">
        <v>1.6232873999999999</v>
      </c>
      <c r="EL74" s="212">
        <v>2.7254754000000001</v>
      </c>
      <c r="EM74">
        <v>1.2811098599999999</v>
      </c>
      <c r="EN74">
        <v>2.32916122</v>
      </c>
      <c r="EO74" s="221">
        <v>1.3951655999999999</v>
      </c>
      <c r="EP74">
        <v>261.88196399999998</v>
      </c>
      <c r="EQ74">
        <v>187.08103</v>
      </c>
      <c r="ER74">
        <v>16.503384700000002</v>
      </c>
      <c r="ES74">
        <v>14.3885983</v>
      </c>
      <c r="ET74">
        <v>8.8697887000000009</v>
      </c>
      <c r="EU74">
        <v>192.05502999999999</v>
      </c>
      <c r="EV74">
        <v>111.57114110000001</v>
      </c>
      <c r="EW74">
        <v>17.854747100000001</v>
      </c>
      <c r="EX74">
        <v>102.67781979999999</v>
      </c>
      <c r="EY74">
        <v>1.8557490000000001</v>
      </c>
      <c r="EZ74" s="223">
        <v>2315.1719610999999</v>
      </c>
      <c r="FA74">
        <v>8.4212209999999992</v>
      </c>
      <c r="FB74">
        <v>0.97474760000000005</v>
      </c>
      <c r="FC74">
        <v>1.9760401999999999</v>
      </c>
      <c r="FD74">
        <v>2.8451829000000002</v>
      </c>
      <c r="FE74">
        <v>1.2512589000000001</v>
      </c>
      <c r="FF74">
        <v>1.6589669</v>
      </c>
      <c r="FG74">
        <v>0.76602174000000001</v>
      </c>
      <c r="FH74">
        <v>1.1356918499999999</v>
      </c>
      <c r="FI74">
        <v>0.98275440000000003</v>
      </c>
      <c r="FJ74">
        <v>110.69477981999999</v>
      </c>
    </row>
    <row r="75" spans="1:166" x14ac:dyDescent="0.3">
      <c r="A75" s="223">
        <v>74</v>
      </c>
      <c r="B75" s="315">
        <v>42419</v>
      </c>
      <c r="C75" s="212">
        <v>1013548.2964</v>
      </c>
      <c r="D75" s="212">
        <v>104.51262843000001</v>
      </c>
      <c r="E75" s="212">
        <v>1.3320734000000001</v>
      </c>
      <c r="F75" s="212">
        <v>6.6629551999999999</v>
      </c>
      <c r="G75" s="212">
        <v>4.5673783874999998</v>
      </c>
      <c r="H75" s="212">
        <v>3.600907587</v>
      </c>
      <c r="I75" s="212">
        <v>1.0304159550000001</v>
      </c>
      <c r="J75" s="212">
        <v>4.3830869999999997</v>
      </c>
      <c r="K75" s="212">
        <v>3.0981030000000001</v>
      </c>
      <c r="L75" s="212">
        <v>10.634957397000001</v>
      </c>
      <c r="M75" s="212">
        <v>0.88181622299999995</v>
      </c>
      <c r="N75" s="212">
        <v>1.1898117850000001</v>
      </c>
      <c r="O75" s="212">
        <v>1.960250008</v>
      </c>
      <c r="P75" s="212">
        <v>1.3319718300000001</v>
      </c>
      <c r="Q75" s="212">
        <v>1.5554079999999999</v>
      </c>
      <c r="R75" s="212">
        <v>1.7808227670000001</v>
      </c>
      <c r="S75" s="212">
        <v>12.444870999999999</v>
      </c>
      <c r="T75" s="212">
        <v>2.9151274100000002</v>
      </c>
      <c r="U75" s="212">
        <v>3.285281473</v>
      </c>
      <c r="V75" s="212">
        <v>1.58835423</v>
      </c>
      <c r="W75" s="212">
        <v>1.3595443570000001</v>
      </c>
      <c r="X75" s="212">
        <v>3.4336622010000002</v>
      </c>
      <c r="Y75" s="212">
        <v>1.869324</v>
      </c>
      <c r="Z75" s="212">
        <v>1.6222890000000001</v>
      </c>
      <c r="AA75" s="212">
        <v>1.320509004</v>
      </c>
      <c r="AB75" s="212">
        <v>1.137143665</v>
      </c>
      <c r="AC75" s="212">
        <v>1.1519091770000001</v>
      </c>
      <c r="AD75" s="212">
        <v>1.3344021180000001</v>
      </c>
      <c r="AE75" s="212">
        <v>1.332312497</v>
      </c>
      <c r="AF75" s="212">
        <v>1.2879643169999999</v>
      </c>
      <c r="AG75" s="212">
        <v>9.3140300380000003</v>
      </c>
      <c r="AH75" s="212">
        <v>1.777856361</v>
      </c>
      <c r="AI75" s="212">
        <v>3.7836850000000002</v>
      </c>
      <c r="AJ75" s="212">
        <v>2.3792779999999998</v>
      </c>
      <c r="AK75" s="212">
        <v>195.94733360000001</v>
      </c>
      <c r="AL75" s="212">
        <v>1.0920922</v>
      </c>
      <c r="AM75" s="212">
        <v>1.8931522000000001</v>
      </c>
      <c r="AN75" s="212">
        <v>8.6252961999999993</v>
      </c>
      <c r="AO75" s="212">
        <v>1.7711854</v>
      </c>
      <c r="AP75" s="212">
        <v>1.7653018</v>
      </c>
      <c r="AQ75" s="212">
        <v>2.4451999</v>
      </c>
      <c r="AR75" s="212">
        <v>8.5912337999999995</v>
      </c>
      <c r="AS75" s="212">
        <v>333.56861650000002</v>
      </c>
      <c r="AT75" s="212">
        <v>1.1420946999999999</v>
      </c>
      <c r="AU75" s="212">
        <v>3.0202939999999998</v>
      </c>
      <c r="AV75" s="212">
        <v>2.5562388</v>
      </c>
      <c r="AW75" s="212">
        <v>1.5516456999999999</v>
      </c>
      <c r="AX75" s="212">
        <v>1.2330935000000001</v>
      </c>
      <c r="AY75" s="212">
        <v>2.5490563000000002</v>
      </c>
      <c r="AZ75" s="212" t="s">
        <v>830</v>
      </c>
      <c r="BA75" s="212">
        <v>1.8838542439999999</v>
      </c>
      <c r="BB75" s="212">
        <v>2.4226101999999998</v>
      </c>
      <c r="BC75" s="212">
        <v>3.0040460000000002</v>
      </c>
      <c r="BD75" s="212">
        <v>1.065062</v>
      </c>
      <c r="BE75" s="212">
        <v>1.0488900000000001</v>
      </c>
      <c r="BF75" s="212">
        <v>1.038305</v>
      </c>
      <c r="BG75" s="212">
        <v>1.0593239999999999</v>
      </c>
      <c r="BH75" s="212">
        <v>1.0429269999999999</v>
      </c>
      <c r="BI75" s="212">
        <v>1.196455</v>
      </c>
      <c r="BJ75" s="212">
        <v>1.0845450000000001</v>
      </c>
      <c r="BK75" s="212">
        <v>1.1856990000000001</v>
      </c>
      <c r="BL75" s="212">
        <v>1.189962</v>
      </c>
      <c r="BM75" s="212">
        <v>1.1893750000000001</v>
      </c>
      <c r="BN75" s="212">
        <v>1.0416529999999999</v>
      </c>
      <c r="BO75" s="212">
        <v>1.1229009999999999</v>
      </c>
      <c r="BP75" s="212">
        <v>2.63931</v>
      </c>
      <c r="BQ75" s="212">
        <v>1.37259</v>
      </c>
      <c r="BR75" s="212">
        <v>1.4718500000000001</v>
      </c>
      <c r="BS75" s="212">
        <v>1.252537</v>
      </c>
      <c r="BT75" s="212">
        <v>1.7483690000000001</v>
      </c>
      <c r="BU75" s="212">
        <v>1.7329429999999999</v>
      </c>
      <c r="BV75" s="212">
        <v>1.912247</v>
      </c>
      <c r="BW75" s="212">
        <v>1.752807</v>
      </c>
      <c r="BX75" s="212">
        <v>1.727128</v>
      </c>
      <c r="BY75" s="212">
        <v>1.716577</v>
      </c>
      <c r="BZ75" s="212">
        <v>1.975212</v>
      </c>
      <c r="CA75" s="212">
        <v>1.9068849999999999</v>
      </c>
      <c r="CB75" s="212">
        <v>1.9217770000000001</v>
      </c>
      <c r="CC75" s="212">
        <v>1.8620810000000001</v>
      </c>
      <c r="CD75" s="212">
        <v>1.8629169999999999</v>
      </c>
      <c r="CE75" s="212">
        <v>1.8131120000000001</v>
      </c>
      <c r="CF75" s="212">
        <v>1.137856</v>
      </c>
      <c r="CG75" s="212">
        <v>1.3064910000000001</v>
      </c>
      <c r="CH75" s="212">
        <v>1.3132189999999999</v>
      </c>
      <c r="CI75" s="212">
        <v>2.8565779999999998</v>
      </c>
      <c r="CJ75" s="212">
        <v>0.88549800000000001</v>
      </c>
      <c r="CK75" s="212">
        <v>0.96073600000000003</v>
      </c>
      <c r="CL75" s="212">
        <v>0.61911899999999997</v>
      </c>
      <c r="CM75" s="212">
        <v>2.7225990000000002</v>
      </c>
      <c r="CN75" s="212">
        <v>1.958191</v>
      </c>
      <c r="CO75" s="212">
        <v>0.99139900000000003</v>
      </c>
      <c r="CP75" s="212">
        <v>0.99546299999999999</v>
      </c>
      <c r="CQ75" s="212">
        <v>1.275517</v>
      </c>
      <c r="CR75" s="212">
        <v>13.864807000000001</v>
      </c>
      <c r="CS75" s="212">
        <v>4.3261159999999999</v>
      </c>
      <c r="CT75" s="212">
        <v>1.9803850000000001</v>
      </c>
      <c r="CU75" s="212">
        <v>5.2031910000000003</v>
      </c>
      <c r="CV75" s="212">
        <v>9.2989300000000004</v>
      </c>
      <c r="CW75" s="212" t="s">
        <v>830</v>
      </c>
      <c r="CX75" s="212">
        <v>1.2185785659999999</v>
      </c>
      <c r="CY75" s="212">
        <v>2.0312912998999999</v>
      </c>
      <c r="CZ75" s="212">
        <v>1.1698272367</v>
      </c>
      <c r="DA75" s="212">
        <v>14.443876723000001</v>
      </c>
      <c r="DB75" s="212">
        <v>1.074065</v>
      </c>
      <c r="DC75" s="212">
        <v>1.0778939999999999</v>
      </c>
      <c r="DD75" s="212">
        <v>1.948728</v>
      </c>
      <c r="DE75" s="212">
        <v>1.85467</v>
      </c>
      <c r="DF75" s="212">
        <v>1.78515</v>
      </c>
      <c r="DG75" s="212">
        <v>1.04717707</v>
      </c>
      <c r="DH75" s="212">
        <v>125.59236988000001</v>
      </c>
      <c r="DI75" s="212">
        <v>0.25539432000000001</v>
      </c>
      <c r="DJ75" s="212">
        <v>2.0696601000000001</v>
      </c>
      <c r="DK75" s="212">
        <v>1.90239829</v>
      </c>
      <c r="DL75" s="212">
        <v>153091.272</v>
      </c>
      <c r="DM75" s="212">
        <v>329.06211139999999</v>
      </c>
      <c r="DN75" s="212">
        <v>16.1549485</v>
      </c>
      <c r="DO75" s="212" t="s">
        <v>830</v>
      </c>
      <c r="DP75" s="212">
        <v>18059339.090999998</v>
      </c>
      <c r="DQ75" s="212">
        <v>1.4180934000000001</v>
      </c>
      <c r="DR75" s="212">
        <v>14.7117577</v>
      </c>
      <c r="DS75" s="212">
        <v>21.606454100000001</v>
      </c>
      <c r="DT75" s="212">
        <v>1.8649334</v>
      </c>
      <c r="DU75" s="212">
        <v>1.0418632000000001</v>
      </c>
      <c r="DV75" s="212">
        <v>1688.4638150000001</v>
      </c>
      <c r="DW75" s="212">
        <v>22943.818852</v>
      </c>
      <c r="DX75" s="212">
        <v>0.82334442699999999</v>
      </c>
      <c r="DY75" s="212">
        <v>9.6650650000000002</v>
      </c>
      <c r="DZ75" s="212">
        <v>226.09777</v>
      </c>
      <c r="EA75" s="212">
        <v>18.232326</v>
      </c>
      <c r="EB75" s="212">
        <v>21.283643000000001</v>
      </c>
      <c r="EC75" s="212">
        <v>19.563001</v>
      </c>
      <c r="ED75" s="212">
        <v>2247.4636209999999</v>
      </c>
      <c r="EE75" s="212">
        <v>23.159616</v>
      </c>
      <c r="EF75" s="212">
        <v>34.463974</v>
      </c>
      <c r="EG75" s="212">
        <v>1.4092321999999999</v>
      </c>
      <c r="EH75" s="212">
        <v>0.65358970000000005</v>
      </c>
      <c r="EI75" s="212">
        <v>1.0878572</v>
      </c>
      <c r="EJ75" s="212" t="s">
        <v>830</v>
      </c>
      <c r="EK75" s="212">
        <v>1.6226628000000001</v>
      </c>
      <c r="EL75" s="212">
        <v>2.7244256999999998</v>
      </c>
      <c r="EM75">
        <v>1.28123856</v>
      </c>
      <c r="EN75">
        <v>2.3308129700000002</v>
      </c>
      <c r="EO75" s="221">
        <v>1.3957930000000001</v>
      </c>
      <c r="EP75">
        <v>262.05700300000001</v>
      </c>
      <c r="EQ75">
        <v>187.24324999999999</v>
      </c>
      <c r="ER75">
        <v>16.505885500000002</v>
      </c>
      <c r="ES75">
        <v>14.405462999999999</v>
      </c>
      <c r="ET75">
        <v>8.8743906999999993</v>
      </c>
      <c r="EU75">
        <v>192.27831180000001</v>
      </c>
      <c r="EV75">
        <v>111.2726248</v>
      </c>
      <c r="EW75">
        <v>17.868325299999999</v>
      </c>
      <c r="EX75">
        <v>102.7278541</v>
      </c>
      <c r="EY75">
        <v>1.7943532</v>
      </c>
      <c r="EZ75" s="223">
        <v>2316.3407514999999</v>
      </c>
      <c r="FA75">
        <v>8.4248019999999997</v>
      </c>
      <c r="FB75">
        <v>0.97701199999999999</v>
      </c>
      <c r="FC75">
        <v>1.9782725000000001</v>
      </c>
      <c r="FD75">
        <v>2.8465495999999999</v>
      </c>
      <c r="FE75">
        <v>1.2525451999999999</v>
      </c>
      <c r="FF75">
        <v>1.6636356000000001</v>
      </c>
      <c r="FG75">
        <v>0.77012851999999998</v>
      </c>
      <c r="FH75">
        <v>1.13704158</v>
      </c>
      <c r="FI75">
        <v>0.98279813000000005</v>
      </c>
      <c r="FJ75">
        <v>110.06049089</v>
      </c>
    </row>
    <row r="76" spans="1:166" x14ac:dyDescent="0.3">
      <c r="A76" s="223">
        <v>75</v>
      </c>
      <c r="B76" s="315">
        <v>42422</v>
      </c>
      <c r="C76" s="212">
        <v>1013480.9019000001</v>
      </c>
      <c r="D76" s="212">
        <v>104.6110898</v>
      </c>
      <c r="E76" s="212">
        <v>1.3338885</v>
      </c>
      <c r="F76" s="212">
        <v>6.7087538000000002</v>
      </c>
      <c r="G76" s="212">
        <v>4.5734224381999997</v>
      </c>
      <c r="H76" s="212">
        <v>3.63687921</v>
      </c>
      <c r="I76" s="212">
        <v>1.045537377</v>
      </c>
      <c r="J76" s="212">
        <v>4.3853150000000003</v>
      </c>
      <c r="K76" s="212">
        <v>3.0992410000000001</v>
      </c>
      <c r="L76" s="212">
        <v>10.639057842</v>
      </c>
      <c r="M76" s="212">
        <v>0.90874439900000004</v>
      </c>
      <c r="N76" s="212">
        <v>1.2283451329999999</v>
      </c>
      <c r="O76" s="212">
        <v>1.95589729</v>
      </c>
      <c r="P76" s="212">
        <v>1.3354773449999999</v>
      </c>
      <c r="Q76" s="212">
        <v>1.556149</v>
      </c>
      <c r="R76" s="212">
        <v>1.780229783</v>
      </c>
      <c r="S76" s="212">
        <v>12.448645000000001</v>
      </c>
      <c r="T76" s="212">
        <v>2.9283480389999998</v>
      </c>
      <c r="U76" s="212">
        <v>3.30049854</v>
      </c>
      <c r="V76" s="212">
        <v>1.5999933980000001</v>
      </c>
      <c r="W76" s="212">
        <v>1.363780886</v>
      </c>
      <c r="X76" s="212">
        <v>3.4460132909999999</v>
      </c>
      <c r="Y76" s="212">
        <v>1.8706480000000001</v>
      </c>
      <c r="Z76" s="212">
        <v>1.6230599999999999</v>
      </c>
      <c r="AA76" s="212">
        <v>1.3286506309999999</v>
      </c>
      <c r="AB76" s="212">
        <v>1.1373693469999999</v>
      </c>
      <c r="AC76" s="212">
        <v>1.1525384519999999</v>
      </c>
      <c r="AD76" s="212">
        <v>1.3353025430000001</v>
      </c>
      <c r="AE76" s="212">
        <v>1.333211822</v>
      </c>
      <c r="AF76" s="212">
        <v>1.2929824780000001</v>
      </c>
      <c r="AG76" s="212">
        <v>9.318679543</v>
      </c>
      <c r="AH76" s="212">
        <v>1.7787002940000001</v>
      </c>
      <c r="AI76" s="212">
        <v>3.785669</v>
      </c>
      <c r="AJ76" s="212">
        <v>2.388172</v>
      </c>
      <c r="AK76" s="212">
        <v>196.21659743999999</v>
      </c>
      <c r="AL76" s="212">
        <v>1.0928232</v>
      </c>
      <c r="AM76" s="212">
        <v>1.9019064999999999</v>
      </c>
      <c r="AN76" s="212">
        <v>8.6297239000000001</v>
      </c>
      <c r="AO76" s="212">
        <v>1.7725724</v>
      </c>
      <c r="AP76" s="212">
        <v>1.7666865</v>
      </c>
      <c r="AQ76" s="212">
        <v>2.4464220000000001</v>
      </c>
      <c r="AR76" s="212">
        <v>8.5956752000000005</v>
      </c>
      <c r="AS76" s="212">
        <v>347.1721718</v>
      </c>
      <c r="AT76" s="212">
        <v>1.1625125999999999</v>
      </c>
      <c r="AU76" s="212">
        <v>3.0217638999999998</v>
      </c>
      <c r="AV76" s="212">
        <v>2.5678785999999998</v>
      </c>
      <c r="AW76" s="212">
        <v>1.5632942999999999</v>
      </c>
      <c r="AX76" s="212">
        <v>1.2334419999999999</v>
      </c>
      <c r="AY76" s="212">
        <v>2.5566008999999998</v>
      </c>
      <c r="AZ76" s="212" t="s">
        <v>830</v>
      </c>
      <c r="BA76" s="212">
        <v>1.8848078779999999</v>
      </c>
      <c r="BB76" s="212">
        <v>2.4348220999999999</v>
      </c>
      <c r="BC76" s="212">
        <v>3.0056129999999999</v>
      </c>
      <c r="BD76" s="212">
        <v>1.065469</v>
      </c>
      <c r="BE76" s="212">
        <v>1.049291</v>
      </c>
      <c r="BF76" s="212">
        <v>1.038702</v>
      </c>
      <c r="BG76" s="212">
        <v>1.0597289999999999</v>
      </c>
      <c r="BH76" s="212">
        <v>1.0433250000000001</v>
      </c>
      <c r="BI76" s="212">
        <v>1.1972640000000001</v>
      </c>
      <c r="BJ76" s="212">
        <v>1.083561</v>
      </c>
      <c r="BK76" s="212">
        <v>1.1874309999999999</v>
      </c>
      <c r="BL76" s="212">
        <v>1.1907639999999999</v>
      </c>
      <c r="BM76" s="212">
        <v>1.1901809999999999</v>
      </c>
      <c r="BN76" s="212">
        <v>1.048648</v>
      </c>
      <c r="BO76" s="212">
        <v>1.131553</v>
      </c>
      <c r="BP76" s="212">
        <v>2.6406770000000002</v>
      </c>
      <c r="BQ76" s="212">
        <v>1.373264</v>
      </c>
      <c r="BR76" s="212">
        <v>1.4716260000000001</v>
      </c>
      <c r="BS76" s="212">
        <v>1.2618940000000001</v>
      </c>
      <c r="BT76" s="212">
        <v>1.7535270000000001</v>
      </c>
      <c r="BU76" s="212">
        <v>1.7341089999999999</v>
      </c>
      <c r="BV76" s="212">
        <v>1.9134739999999999</v>
      </c>
      <c r="BW76" s="212">
        <v>1.754434</v>
      </c>
      <c r="BX76" s="212">
        <v>1.728329</v>
      </c>
      <c r="BY76" s="212">
        <v>1.718011</v>
      </c>
      <c r="BZ76" s="212">
        <v>1.9765219999999999</v>
      </c>
      <c r="CA76" s="212">
        <v>1.9081109999999999</v>
      </c>
      <c r="CB76" s="212">
        <v>1.9231419999999999</v>
      </c>
      <c r="CC76" s="212">
        <v>1.8635170000000001</v>
      </c>
      <c r="CD76" s="212">
        <v>1.864352</v>
      </c>
      <c r="CE76" s="212">
        <v>1.814589</v>
      </c>
      <c r="CF76" s="212">
        <v>1.138817</v>
      </c>
      <c r="CG76" s="212">
        <v>1.3135220000000001</v>
      </c>
      <c r="CH76" s="212">
        <v>1.3174619999999999</v>
      </c>
      <c r="CI76" s="212">
        <v>2.8581780000000001</v>
      </c>
      <c r="CJ76" s="212">
        <v>0.92645299999999997</v>
      </c>
      <c r="CK76" s="212">
        <v>1.0049760000000001</v>
      </c>
      <c r="CL76" s="212">
        <v>0.63818399999999997</v>
      </c>
      <c r="CM76" s="212">
        <v>2.836004</v>
      </c>
      <c r="CN76" s="212">
        <v>1.9476739999999999</v>
      </c>
      <c r="CO76" s="212">
        <v>1.0010220000000001</v>
      </c>
      <c r="CP76" s="212">
        <v>0.99542299999999995</v>
      </c>
      <c r="CQ76" s="212">
        <v>1.2761610000000001</v>
      </c>
      <c r="CR76" s="212">
        <v>13.870996999999999</v>
      </c>
      <c r="CS76" s="212">
        <v>4.328112</v>
      </c>
      <c r="CT76" s="212">
        <v>1.989617</v>
      </c>
      <c r="CU76" s="212">
        <v>5.2048880000000004</v>
      </c>
      <c r="CV76" s="212">
        <v>9.3030910000000002</v>
      </c>
      <c r="CW76" s="212" t="s">
        <v>830</v>
      </c>
      <c r="CX76" s="212">
        <v>1.2191977834000001</v>
      </c>
      <c r="CY76" s="212">
        <v>2.0342739526</v>
      </c>
      <c r="CZ76" s="212">
        <v>1.1706012605</v>
      </c>
      <c r="DA76" s="212">
        <v>14.450797229000001</v>
      </c>
      <c r="DB76" s="212">
        <v>1.074476</v>
      </c>
      <c r="DC76" s="212">
        <v>1.076916</v>
      </c>
      <c r="DD76" s="212">
        <v>1.949316</v>
      </c>
      <c r="DE76" s="212">
        <v>1.8631519999999999</v>
      </c>
      <c r="DF76" s="212">
        <v>1.786419</v>
      </c>
      <c r="DG76" s="212">
        <v>1.0510159699999999</v>
      </c>
      <c r="DH76" s="212">
        <v>125.66621571</v>
      </c>
      <c r="DI76" s="212">
        <v>0.25546374999999999</v>
      </c>
      <c r="DJ76" s="212">
        <v>2.0705936999999999</v>
      </c>
      <c r="DK76" s="212">
        <v>1.9004578999999999</v>
      </c>
      <c r="DL76" s="212">
        <v>153191.66424000001</v>
      </c>
      <c r="DM76" s="212">
        <v>329.19242220000001</v>
      </c>
      <c r="DN76" s="212">
        <v>16.1638929</v>
      </c>
      <c r="DO76" s="212" t="s">
        <v>830</v>
      </c>
      <c r="DP76" s="212">
        <v>18058120.278999999</v>
      </c>
      <c r="DQ76" s="212">
        <v>1.4309708999999999</v>
      </c>
      <c r="DR76" s="212">
        <v>14.717937900000001</v>
      </c>
      <c r="DS76" s="212">
        <v>21.617555299999999</v>
      </c>
      <c r="DT76" s="212">
        <v>1.8648799</v>
      </c>
      <c r="DU76" s="212">
        <v>1.0634638000000001</v>
      </c>
      <c r="DV76" s="212">
        <v>1689.1690868999999</v>
      </c>
      <c r="DW76" s="212">
        <v>22940.448101000002</v>
      </c>
      <c r="DX76" s="212">
        <v>0.82923281299999996</v>
      </c>
      <c r="DY76" s="212">
        <v>10.003187</v>
      </c>
      <c r="DZ76" s="212">
        <v>226.206053</v>
      </c>
      <c r="EA76" s="212">
        <v>18.297418</v>
      </c>
      <c r="EB76" s="212">
        <v>21.289784000000001</v>
      </c>
      <c r="EC76" s="212">
        <v>19.652587</v>
      </c>
      <c r="ED76" s="212">
        <v>2248.6356820000001</v>
      </c>
      <c r="EE76" s="212">
        <v>23.177703000000001</v>
      </c>
      <c r="EF76" s="212">
        <v>34.481529000000002</v>
      </c>
      <c r="EG76" s="212">
        <v>1.4131442999999999</v>
      </c>
      <c r="EH76" s="212">
        <v>0.66520579999999996</v>
      </c>
      <c r="EI76" s="212">
        <v>1.0943284</v>
      </c>
      <c r="EJ76" s="212" t="s">
        <v>830</v>
      </c>
      <c r="EK76" s="212">
        <v>1.6242165</v>
      </c>
      <c r="EL76" s="212">
        <v>2.7270332000000002</v>
      </c>
      <c r="EM76">
        <v>1.2813745700000001</v>
      </c>
      <c r="EN76">
        <v>2.3324658899999999</v>
      </c>
      <c r="EO76" s="221">
        <v>1.3964167999999999</v>
      </c>
      <c r="EP76">
        <v>262.06491899999997</v>
      </c>
      <c r="EQ76">
        <v>187.991209</v>
      </c>
      <c r="ER76">
        <v>16.510810200000002</v>
      </c>
      <c r="ES76">
        <v>14.471584699999999</v>
      </c>
      <c r="ET76">
        <v>8.8789695000000002</v>
      </c>
      <c r="EU76">
        <v>193.1591287</v>
      </c>
      <c r="EV76">
        <v>114.0816494</v>
      </c>
      <c r="EW76">
        <v>17.8804473</v>
      </c>
      <c r="EX76">
        <v>102.7776167</v>
      </c>
      <c r="EY76">
        <v>2.0835777000000002</v>
      </c>
      <c r="EZ76" s="223">
        <v>2317.493172</v>
      </c>
      <c r="FA76">
        <v>8.4283409999999996</v>
      </c>
      <c r="FB76">
        <v>1.0052402</v>
      </c>
      <c r="FC76">
        <v>1.9871634</v>
      </c>
      <c r="FD76">
        <v>2.8479583000000002</v>
      </c>
      <c r="FE76">
        <v>1.2534723999999999</v>
      </c>
      <c r="FF76">
        <v>1.6695557999999999</v>
      </c>
      <c r="FG76">
        <v>0.78342297000000005</v>
      </c>
      <c r="FH76">
        <v>1.1372011</v>
      </c>
      <c r="FI76">
        <v>0.98272451999999999</v>
      </c>
      <c r="FJ76">
        <v>111.13965691999999</v>
      </c>
    </row>
    <row r="77" spans="1:166" x14ac:dyDescent="0.3">
      <c r="A77" s="223">
        <v>76</v>
      </c>
      <c r="B77" s="315">
        <v>42423</v>
      </c>
      <c r="C77" s="212">
        <v>1013414.7763</v>
      </c>
      <c r="D77" s="212">
        <v>104.60728453</v>
      </c>
      <c r="E77" s="212">
        <v>1.3342681000000001</v>
      </c>
      <c r="F77" s="212">
        <v>6.7038681999999996</v>
      </c>
      <c r="G77" s="212">
        <v>4.5941422121000004</v>
      </c>
      <c r="H77" s="212">
        <v>3.5562757930000002</v>
      </c>
      <c r="I77" s="212">
        <v>1.039697882</v>
      </c>
      <c r="J77" s="212">
        <v>4.3875460000000004</v>
      </c>
      <c r="K77" s="212">
        <v>3.1003759999999998</v>
      </c>
      <c r="L77" s="212">
        <v>10.643321678</v>
      </c>
      <c r="M77" s="212">
        <v>0.90054969500000004</v>
      </c>
      <c r="N77" s="212">
        <v>1.21177735</v>
      </c>
      <c r="O77" s="212">
        <v>1.959606728</v>
      </c>
      <c r="P77" s="212">
        <v>1.3364948240000001</v>
      </c>
      <c r="Q77" s="212">
        <v>1.556853</v>
      </c>
      <c r="R77" s="212">
        <v>1.7797346249999999</v>
      </c>
      <c r="S77" s="212">
        <v>12.446356</v>
      </c>
      <c r="T77" s="212">
        <v>2.9289834840000002</v>
      </c>
      <c r="U77" s="212">
        <v>3.3012645100000002</v>
      </c>
      <c r="V77" s="212">
        <v>1.600791155</v>
      </c>
      <c r="W77" s="212">
        <v>1.3634182480000001</v>
      </c>
      <c r="X77" s="212">
        <v>3.441900698</v>
      </c>
      <c r="Y77" s="212">
        <v>1.871402</v>
      </c>
      <c r="Z77" s="212">
        <v>1.6238600000000001</v>
      </c>
      <c r="AA77" s="212">
        <v>1.3297476989999999</v>
      </c>
      <c r="AB77" s="212">
        <v>1.1374098479999999</v>
      </c>
      <c r="AC77" s="212">
        <v>1.152686544</v>
      </c>
      <c r="AD77" s="212">
        <v>1.336203574</v>
      </c>
      <c r="AE77" s="212">
        <v>1.3341117330000001</v>
      </c>
      <c r="AF77" s="212">
        <v>1.294385785</v>
      </c>
      <c r="AG77" s="212">
        <v>9.3232674509999995</v>
      </c>
      <c r="AH77" s="212">
        <v>1.7790152480000001</v>
      </c>
      <c r="AI77" s="212">
        <v>3.7875589999999999</v>
      </c>
      <c r="AJ77" s="212">
        <v>2.3888259999999999</v>
      </c>
      <c r="AK77" s="212">
        <v>196.26155237</v>
      </c>
      <c r="AL77" s="212">
        <v>1.0923214000000001</v>
      </c>
      <c r="AM77" s="212">
        <v>1.9023791999999999</v>
      </c>
      <c r="AN77" s="212">
        <v>8.6341602999999996</v>
      </c>
      <c r="AO77" s="212">
        <v>1.7738290999999999</v>
      </c>
      <c r="AP77" s="212">
        <v>1.7679398</v>
      </c>
      <c r="AQ77" s="212">
        <v>2.4476521</v>
      </c>
      <c r="AR77" s="212">
        <v>8.5999631000000001</v>
      </c>
      <c r="AS77" s="212">
        <v>341.4338396</v>
      </c>
      <c r="AT77" s="212">
        <v>1.1479604999999999</v>
      </c>
      <c r="AU77" s="212">
        <v>3.0231799000000001</v>
      </c>
      <c r="AV77" s="212">
        <v>2.5683883999999999</v>
      </c>
      <c r="AW77" s="212">
        <v>1.5639734999999999</v>
      </c>
      <c r="AX77" s="212">
        <v>1.2332167999999999</v>
      </c>
      <c r="AY77" s="212">
        <v>2.5556093</v>
      </c>
      <c r="AZ77" s="212" t="s">
        <v>830</v>
      </c>
      <c r="BA77" s="212">
        <v>1.8857760020000001</v>
      </c>
      <c r="BB77" s="212">
        <v>2.4352947999999999</v>
      </c>
      <c r="BC77" s="212">
        <v>3.0071080000000001</v>
      </c>
      <c r="BD77" s="212">
        <v>1.0655479999999999</v>
      </c>
      <c r="BE77" s="212">
        <v>1.0493680000000001</v>
      </c>
      <c r="BF77" s="212">
        <v>1.038778</v>
      </c>
      <c r="BG77" s="212">
        <v>1.0598080000000001</v>
      </c>
      <c r="BH77" s="212">
        <v>1.0434019999999999</v>
      </c>
      <c r="BI77" s="212">
        <v>1.1980740000000001</v>
      </c>
      <c r="BJ77" s="212">
        <v>1.083348</v>
      </c>
      <c r="BK77" s="212">
        <v>1.1875830000000001</v>
      </c>
      <c r="BL77" s="212">
        <v>1.1915659999999999</v>
      </c>
      <c r="BM77" s="212">
        <v>1.1909879999999999</v>
      </c>
      <c r="BN77" s="212">
        <v>1.049666</v>
      </c>
      <c r="BO77" s="212">
        <v>1.132317</v>
      </c>
      <c r="BP77" s="212">
        <v>2.6420599999999999</v>
      </c>
      <c r="BQ77" s="212">
        <v>1.3739380000000001</v>
      </c>
      <c r="BR77" s="212">
        <v>1.4713540000000001</v>
      </c>
      <c r="BS77" s="212">
        <v>1.262513</v>
      </c>
      <c r="BT77" s="212">
        <v>1.7530460000000001</v>
      </c>
      <c r="BU77" s="212">
        <v>1.735276</v>
      </c>
      <c r="BV77" s="212">
        <v>1.9147019999999999</v>
      </c>
      <c r="BW77" s="212">
        <v>1.756062</v>
      </c>
      <c r="BX77" s="212">
        <v>1.7295309999999999</v>
      </c>
      <c r="BY77" s="212">
        <v>1.7194469999999999</v>
      </c>
      <c r="BZ77" s="212">
        <v>1.977833</v>
      </c>
      <c r="CA77" s="212">
        <v>1.9093370000000001</v>
      </c>
      <c r="CB77" s="212">
        <v>1.9245080000000001</v>
      </c>
      <c r="CC77" s="212">
        <v>1.864954</v>
      </c>
      <c r="CD77" s="212">
        <v>1.8657889999999999</v>
      </c>
      <c r="CE77" s="212">
        <v>1.815753</v>
      </c>
      <c r="CF77" s="212">
        <v>1.1396250000000001</v>
      </c>
      <c r="CG77" s="212">
        <v>1.310252</v>
      </c>
      <c r="CH77" s="212">
        <v>1.3159179999999999</v>
      </c>
      <c r="CI77" s="212">
        <v>2.859613</v>
      </c>
      <c r="CJ77" s="212">
        <v>0.90937900000000005</v>
      </c>
      <c r="CK77" s="212">
        <v>0.98653100000000005</v>
      </c>
      <c r="CL77" s="212">
        <v>0.63031199999999998</v>
      </c>
      <c r="CM77" s="212">
        <v>2.7877519999999998</v>
      </c>
      <c r="CN77" s="212">
        <v>1.933092</v>
      </c>
      <c r="CO77" s="212">
        <v>0.99798799999999999</v>
      </c>
      <c r="CP77" s="212">
        <v>0.99082599999999998</v>
      </c>
      <c r="CQ77" s="212">
        <v>1.2768170000000001</v>
      </c>
      <c r="CR77" s="212">
        <v>13.877369</v>
      </c>
      <c r="CS77" s="212">
        <v>4.3301540000000003</v>
      </c>
      <c r="CT77" s="212">
        <v>1.9905310000000001</v>
      </c>
      <c r="CU77" s="212">
        <v>5.2065890000000001</v>
      </c>
      <c r="CV77" s="212">
        <v>9.3073680000000003</v>
      </c>
      <c r="CW77" s="212" t="s">
        <v>830</v>
      </c>
      <c r="CX77" s="212">
        <v>1.2197667292000001</v>
      </c>
      <c r="CY77" s="212">
        <v>2.0445434046000002</v>
      </c>
      <c r="CZ77" s="212">
        <v>1.1710897589</v>
      </c>
      <c r="DA77" s="212">
        <v>14.457333326000001</v>
      </c>
      <c r="DB77" s="212">
        <v>1.0745549999999999</v>
      </c>
      <c r="DC77" s="212">
        <v>1.0767040000000001</v>
      </c>
      <c r="DD77" s="212">
        <v>1.948942</v>
      </c>
      <c r="DE77" s="212">
        <v>1.863569</v>
      </c>
      <c r="DF77" s="212">
        <v>1.787145</v>
      </c>
      <c r="DG77" s="212">
        <v>1.0499305299999999</v>
      </c>
      <c r="DH77" s="212">
        <v>125.74087455</v>
      </c>
      <c r="DI77" s="212">
        <v>0.25542943000000001</v>
      </c>
      <c r="DJ77" s="212">
        <v>2.0715422000000001</v>
      </c>
      <c r="DK77" s="212">
        <v>1.8994024700000001</v>
      </c>
      <c r="DL77" s="212">
        <v>153292.12221</v>
      </c>
      <c r="DM77" s="212">
        <v>329.09219400000001</v>
      </c>
      <c r="DN77" s="212">
        <v>16.172843</v>
      </c>
      <c r="DO77" s="212" t="s">
        <v>830</v>
      </c>
      <c r="DP77" s="212">
        <v>18056916.844000001</v>
      </c>
      <c r="DQ77" s="212">
        <v>1.4390004999999999</v>
      </c>
      <c r="DR77" s="212">
        <v>14.724218799999999</v>
      </c>
      <c r="DS77" s="212">
        <v>21.628691199999999</v>
      </c>
      <c r="DT77" s="212">
        <v>1.8627102</v>
      </c>
      <c r="DU77" s="212">
        <v>1.0546032000000001</v>
      </c>
      <c r="DV77" s="212">
        <v>1689.8751737</v>
      </c>
      <c r="DW77" s="212">
        <v>22937.077248000001</v>
      </c>
      <c r="DX77" s="212">
        <v>0.83034578699999995</v>
      </c>
      <c r="DY77" s="212">
        <v>9.8556559999999998</v>
      </c>
      <c r="DZ77" s="212">
        <v>226.295683</v>
      </c>
      <c r="EA77" s="212">
        <v>18.275320000000001</v>
      </c>
      <c r="EB77" s="212">
        <v>21.285326999999999</v>
      </c>
      <c r="EC77" s="212">
        <v>19.656471</v>
      </c>
      <c r="ED77" s="212">
        <v>2249.8121540000002</v>
      </c>
      <c r="EE77" s="212">
        <v>23.194026000000001</v>
      </c>
      <c r="EF77" s="212">
        <v>34.499194000000003</v>
      </c>
      <c r="EG77" s="212">
        <v>1.4063414000000001</v>
      </c>
      <c r="EH77" s="212">
        <v>0.66031969999999995</v>
      </c>
      <c r="EI77" s="212">
        <v>1.0929818</v>
      </c>
      <c r="EJ77" s="212" t="s">
        <v>830</v>
      </c>
      <c r="EK77" s="212">
        <v>1.624133</v>
      </c>
      <c r="EL77" s="212">
        <v>2.7268922999999998</v>
      </c>
      <c r="EM77">
        <v>1.28151035</v>
      </c>
      <c r="EN77">
        <v>2.3341199800000001</v>
      </c>
      <c r="EO77" s="221">
        <v>1.3970461999999999</v>
      </c>
      <c r="EP77">
        <v>262.15946200000002</v>
      </c>
      <c r="EQ77">
        <v>188.06064799999999</v>
      </c>
      <c r="ER77">
        <v>16.507465700000001</v>
      </c>
      <c r="ES77">
        <v>14.4745629</v>
      </c>
      <c r="ET77">
        <v>8.8835393000000007</v>
      </c>
      <c r="EU77">
        <v>193.1970287</v>
      </c>
      <c r="EV77">
        <v>113.00398010000001</v>
      </c>
      <c r="EW77">
        <v>17.887378500000001</v>
      </c>
      <c r="EX77">
        <v>102.8272735</v>
      </c>
      <c r="EY77">
        <v>1.9912064</v>
      </c>
      <c r="EZ77" s="223">
        <v>2318.6452776000001</v>
      </c>
      <c r="FA77">
        <v>8.4318840000000002</v>
      </c>
      <c r="FB77">
        <v>0.9928112</v>
      </c>
      <c r="FC77">
        <v>1.9876342</v>
      </c>
      <c r="FD77">
        <v>2.8494008000000002</v>
      </c>
      <c r="FE77">
        <v>1.2539501</v>
      </c>
      <c r="FF77">
        <v>1.6677660999999999</v>
      </c>
      <c r="FG77">
        <v>0.77753700999999997</v>
      </c>
      <c r="FH77">
        <v>1.13941257</v>
      </c>
      <c r="FI77">
        <v>0.98264578999999996</v>
      </c>
      <c r="FJ77">
        <v>112.69071848999999</v>
      </c>
    </row>
    <row r="78" spans="1:166" x14ac:dyDescent="0.3">
      <c r="A78" s="223">
        <v>77</v>
      </c>
      <c r="B78" s="315">
        <v>42424</v>
      </c>
      <c r="C78" s="212">
        <v>1013348.7149</v>
      </c>
      <c r="D78" s="212" t="s">
        <v>830</v>
      </c>
      <c r="E78" s="212">
        <v>1.3357919</v>
      </c>
      <c r="F78" s="212">
        <v>6.6436301999999996</v>
      </c>
      <c r="G78" s="212">
        <v>4.5963407434999999</v>
      </c>
      <c r="H78" s="212">
        <v>3.5117920790000001</v>
      </c>
      <c r="I78" s="212">
        <v>1.0370873089999999</v>
      </c>
      <c r="J78" s="212">
        <v>4.3897360000000001</v>
      </c>
      <c r="K78" s="212">
        <v>3.1015130000000002</v>
      </c>
      <c r="L78" s="212">
        <v>10.647498103</v>
      </c>
      <c r="M78" s="212">
        <v>0.88990301800000005</v>
      </c>
      <c r="N78" s="212">
        <v>1.2001395930000001</v>
      </c>
      <c r="O78" s="212">
        <v>1.961808639</v>
      </c>
      <c r="P78" s="212">
        <v>1.3403799709999999</v>
      </c>
      <c r="Q78" s="212">
        <v>1.557582</v>
      </c>
      <c r="R78" s="212">
        <v>1.7807706270000001</v>
      </c>
      <c r="S78" s="212">
        <v>12.460184999999999</v>
      </c>
      <c r="T78" s="212">
        <v>2.9379755809999999</v>
      </c>
      <c r="U78" s="212">
        <v>3.3114754</v>
      </c>
      <c r="V78" s="212">
        <v>1.6079033110000001</v>
      </c>
      <c r="W78" s="212">
        <v>1.365830079</v>
      </c>
      <c r="X78" s="212">
        <v>3.4475154940000001</v>
      </c>
      <c r="Y78" s="212">
        <v>1.87256</v>
      </c>
      <c r="Z78" s="212">
        <v>1.624652</v>
      </c>
      <c r="AA78" s="212">
        <v>1.3334592999999999</v>
      </c>
      <c r="AB78" s="212">
        <v>1.137603677</v>
      </c>
      <c r="AC78" s="212">
        <v>1.1539748089999999</v>
      </c>
      <c r="AD78" s="212">
        <v>1.3373255369999999</v>
      </c>
      <c r="AE78" s="212">
        <v>1.3352322430000001</v>
      </c>
      <c r="AF78" s="212">
        <v>1.299455931</v>
      </c>
      <c r="AG78" s="212">
        <v>9.3276956930000008</v>
      </c>
      <c r="AH78" s="212">
        <v>1.7792303380000001</v>
      </c>
      <c r="AI78" s="212">
        <v>3.789698</v>
      </c>
      <c r="AJ78" s="212">
        <v>2.3959579999999998</v>
      </c>
      <c r="AK78" s="212">
        <v>196.37378332</v>
      </c>
      <c r="AL78" s="212">
        <v>1.0950394000000001</v>
      </c>
      <c r="AM78" s="212">
        <v>1.9084760000000001</v>
      </c>
      <c r="AN78" s="212">
        <v>8.6386944999999997</v>
      </c>
      <c r="AO78" s="212">
        <v>1.7745508999999999</v>
      </c>
      <c r="AP78" s="212">
        <v>1.7686598</v>
      </c>
      <c r="AQ78" s="212">
        <v>2.4489043000000001</v>
      </c>
      <c r="AR78" s="212">
        <v>8.6043500999999996</v>
      </c>
      <c r="AS78" s="212">
        <v>337.95619340000002</v>
      </c>
      <c r="AT78" s="212">
        <v>1.1421136999999999</v>
      </c>
      <c r="AU78" s="212">
        <v>3.0246309</v>
      </c>
      <c r="AV78" s="212">
        <v>2.5764949000000001</v>
      </c>
      <c r="AW78" s="212">
        <v>1.5708405999999999</v>
      </c>
      <c r="AX78" s="212">
        <v>1.2347223000000001</v>
      </c>
      <c r="AY78" s="212">
        <v>2.5602200000000002</v>
      </c>
      <c r="AZ78" s="212" t="s">
        <v>830</v>
      </c>
      <c r="BA78" s="212">
        <v>1.8867404969999999</v>
      </c>
      <c r="BB78" s="212">
        <v>2.4424994999999998</v>
      </c>
      <c r="BC78" s="212">
        <v>3.008718</v>
      </c>
      <c r="BD78" s="212">
        <v>1.065653</v>
      </c>
      <c r="BE78" s="212">
        <v>1.049471</v>
      </c>
      <c r="BF78" s="212">
        <v>1.03888</v>
      </c>
      <c r="BG78" s="212">
        <v>1.059912</v>
      </c>
      <c r="BH78" s="212">
        <v>1.043504</v>
      </c>
      <c r="BI78" s="212">
        <v>1.1990810000000001</v>
      </c>
      <c r="BJ78" s="212">
        <v>1.0840000000000001</v>
      </c>
      <c r="BK78" s="212">
        <v>1.1910419999999999</v>
      </c>
      <c r="BL78" s="212">
        <v>1.192566</v>
      </c>
      <c r="BM78" s="212">
        <v>1.191991</v>
      </c>
      <c r="BN78" s="212">
        <v>1.0531239999999999</v>
      </c>
      <c r="BO78" s="212">
        <v>1.136282</v>
      </c>
      <c r="BP78" s="212">
        <v>2.643427</v>
      </c>
      <c r="BQ78" s="212">
        <v>1.3746130000000001</v>
      </c>
      <c r="BR78" s="212">
        <v>1.4723740000000001</v>
      </c>
      <c r="BS78" s="212">
        <v>1.2681249999999999</v>
      </c>
      <c r="BT78" s="212">
        <v>1.7561800000000001</v>
      </c>
      <c r="BU78" s="212">
        <v>1.736661</v>
      </c>
      <c r="BV78" s="212">
        <v>1.916301</v>
      </c>
      <c r="BW78" s="212">
        <v>1.7576970000000001</v>
      </c>
      <c r="BX78" s="212">
        <v>1.7310220000000001</v>
      </c>
      <c r="BY78" s="212">
        <v>1.7209319999999999</v>
      </c>
      <c r="BZ78" s="212">
        <v>1.979341</v>
      </c>
      <c r="CA78" s="212">
        <v>1.9107510000000001</v>
      </c>
      <c r="CB78" s="212">
        <v>1.9263220000000001</v>
      </c>
      <c r="CC78" s="212">
        <v>1.866393</v>
      </c>
      <c r="CD78" s="212">
        <v>1.8672260000000001</v>
      </c>
      <c r="CE78" s="212">
        <v>1.816994</v>
      </c>
      <c r="CF78" s="212">
        <v>1.14049</v>
      </c>
      <c r="CG78" s="212">
        <v>1.3135159999999999</v>
      </c>
      <c r="CH78" s="212">
        <v>1.318044</v>
      </c>
      <c r="CI78" s="212">
        <v>2.8611740000000001</v>
      </c>
      <c r="CJ78" s="212">
        <v>0.89358700000000002</v>
      </c>
      <c r="CK78" s="212">
        <v>0.96958699999999998</v>
      </c>
      <c r="CL78" s="212">
        <v>0.62448999999999999</v>
      </c>
      <c r="CM78" s="212">
        <v>2.7537470000000002</v>
      </c>
      <c r="CN78" s="212">
        <v>1.9389430000000001</v>
      </c>
      <c r="CO78" s="212">
        <v>0.98696300000000003</v>
      </c>
      <c r="CP78" s="212">
        <v>0.98423000000000005</v>
      </c>
      <c r="CQ78" s="212">
        <v>1.2774650000000001</v>
      </c>
      <c r="CR78" s="212">
        <v>13.883462</v>
      </c>
      <c r="CS78" s="212">
        <v>4.3321540000000001</v>
      </c>
      <c r="CT78" s="212">
        <v>1.9963299999999999</v>
      </c>
      <c r="CU78" s="212">
        <v>5.2082860000000002</v>
      </c>
      <c r="CV78" s="212">
        <v>9.3114840000000001</v>
      </c>
      <c r="CW78" s="212" t="s">
        <v>830</v>
      </c>
      <c r="CX78" s="212">
        <v>1.2204016438</v>
      </c>
      <c r="CY78" s="212">
        <v>2.0448529336000001</v>
      </c>
      <c r="CZ78" s="212">
        <v>1.1717865548999999</v>
      </c>
      <c r="DA78" s="212">
        <v>14.464551395000001</v>
      </c>
      <c r="DB78" s="212">
        <v>1.0746610000000001</v>
      </c>
      <c r="DC78" s="212">
        <v>1.0773520000000001</v>
      </c>
      <c r="DD78" s="212">
        <v>1.9510350000000001</v>
      </c>
      <c r="DE78" s="212">
        <v>1.869445</v>
      </c>
      <c r="DF78" s="212">
        <v>1.7882659999999999</v>
      </c>
      <c r="DG78" s="212">
        <v>1.0515392800000001</v>
      </c>
      <c r="DH78" s="212">
        <v>125.8147385</v>
      </c>
      <c r="DI78" s="212">
        <v>0.25555406000000003</v>
      </c>
      <c r="DJ78" s="212">
        <v>2.0724832000000002</v>
      </c>
      <c r="DK78" s="212">
        <v>1.8985960500000001</v>
      </c>
      <c r="DL78" s="212" t="s">
        <v>830</v>
      </c>
      <c r="DM78" s="212">
        <v>329.26095379999998</v>
      </c>
      <c r="DN78" s="212">
        <v>16.181857600000001</v>
      </c>
      <c r="DO78" s="212" t="s">
        <v>830</v>
      </c>
      <c r="DP78" s="212">
        <v>18055713.489</v>
      </c>
      <c r="DQ78" s="212">
        <v>1.4182923000000001</v>
      </c>
      <c r="DR78" s="212">
        <v>14.7304786</v>
      </c>
      <c r="DS78" s="212">
        <v>21.640019200000001</v>
      </c>
      <c r="DT78" s="212">
        <v>1.8602627</v>
      </c>
      <c r="DU78" s="212">
        <v>1.0448827999999999</v>
      </c>
      <c r="DV78" s="212">
        <v>1690.5851239000001</v>
      </c>
      <c r="DW78" s="212">
        <v>22933.709639000001</v>
      </c>
      <c r="DX78" s="212">
        <v>0.82992061299999997</v>
      </c>
      <c r="DY78" s="212">
        <v>9.7637339999999995</v>
      </c>
      <c r="DZ78" s="212">
        <v>226.457494</v>
      </c>
      <c r="EA78" s="212">
        <v>18.304998999999999</v>
      </c>
      <c r="EB78" s="212">
        <v>21.308074999999999</v>
      </c>
      <c r="EC78" s="212">
        <v>19.717348999999999</v>
      </c>
      <c r="ED78" s="212">
        <v>2251.0017849999999</v>
      </c>
      <c r="EE78" s="212">
        <v>23.203191</v>
      </c>
      <c r="EF78" s="212">
        <v>34.517015999999998</v>
      </c>
      <c r="EG78" s="212">
        <v>1.3921503</v>
      </c>
      <c r="EH78" s="212">
        <v>0.66052010000000005</v>
      </c>
      <c r="EI78" s="212">
        <v>1.0946893</v>
      </c>
      <c r="EJ78" s="212" t="s">
        <v>830</v>
      </c>
      <c r="EK78" s="212">
        <v>1.623831</v>
      </c>
      <c r="EL78" s="212">
        <v>2.7263842</v>
      </c>
      <c r="EM78">
        <v>1.2814293999999999</v>
      </c>
      <c r="EN78">
        <v>2.3361606899999998</v>
      </c>
      <c r="EO78" s="221">
        <v>1.3976751000000001</v>
      </c>
      <c r="EP78">
        <v>262.49036100000001</v>
      </c>
      <c r="EQ78">
        <v>188.62846500000001</v>
      </c>
      <c r="ER78">
        <v>16.525283699999999</v>
      </c>
      <c r="ES78">
        <v>14.5196345</v>
      </c>
      <c r="ET78">
        <v>8.8881868999999991</v>
      </c>
      <c r="EU78">
        <v>193.79683850000001</v>
      </c>
      <c r="EV78">
        <v>111.5308101</v>
      </c>
      <c r="EW78">
        <v>17.8978401</v>
      </c>
      <c r="EX78">
        <v>102.87782989999999</v>
      </c>
      <c r="EY78">
        <v>1.9773445999999999</v>
      </c>
      <c r="EZ78" s="223">
        <v>2319.8248177999999</v>
      </c>
      <c r="FA78">
        <v>8.4354750000000003</v>
      </c>
      <c r="FB78">
        <v>0.98198379999999996</v>
      </c>
      <c r="FC78">
        <v>1.9937149000000001</v>
      </c>
      <c r="FD78">
        <v>2.8507794999999998</v>
      </c>
      <c r="FE78">
        <v>1.2547664999999999</v>
      </c>
      <c r="FF78">
        <v>1.6704284</v>
      </c>
      <c r="FG78">
        <v>0.77092318000000004</v>
      </c>
      <c r="FH78">
        <v>1.1401686900000001</v>
      </c>
      <c r="FI78">
        <v>0.98256706000000005</v>
      </c>
      <c r="FJ78">
        <v>111.5431964</v>
      </c>
    </row>
    <row r="79" spans="1:166" x14ac:dyDescent="0.3">
      <c r="A79" s="223">
        <v>78</v>
      </c>
      <c r="B79" s="315">
        <v>42425</v>
      </c>
      <c r="C79" s="212">
        <v>1013282.3666</v>
      </c>
      <c r="D79" s="212">
        <v>104.56872247</v>
      </c>
      <c r="E79" s="212">
        <v>1.3366236</v>
      </c>
      <c r="F79" s="212">
        <v>6.6494118000000002</v>
      </c>
      <c r="G79" s="212">
        <v>4.6104281041000004</v>
      </c>
      <c r="H79" s="212">
        <v>3.4888894119999998</v>
      </c>
      <c r="I79" s="212">
        <v>1.0399966279999999</v>
      </c>
      <c r="J79" s="212">
        <v>4.3919959999999998</v>
      </c>
      <c r="K79" s="212">
        <v>3.1026319999999998</v>
      </c>
      <c r="L79" s="212">
        <v>10.651773761999999</v>
      </c>
      <c r="M79" s="212">
        <v>0.89110382200000005</v>
      </c>
      <c r="N79" s="212">
        <v>1.1988744090000001</v>
      </c>
      <c r="O79" s="212">
        <v>1.9638394539999999</v>
      </c>
      <c r="P79" s="212">
        <v>1.3409444159999999</v>
      </c>
      <c r="Q79" s="212">
        <v>1.558276</v>
      </c>
      <c r="R79" s="212">
        <v>1.7822949079999999</v>
      </c>
      <c r="S79" s="212">
        <v>12.471783</v>
      </c>
      <c r="T79" s="212">
        <v>2.9361189630000002</v>
      </c>
      <c r="U79" s="212">
        <v>3.3092159109999999</v>
      </c>
      <c r="V79" s="212">
        <v>1.6051665150000001</v>
      </c>
      <c r="W79" s="212">
        <v>1.3646502229999999</v>
      </c>
      <c r="X79" s="212">
        <v>3.4413277039999999</v>
      </c>
      <c r="Y79" s="212">
        <v>1.873273</v>
      </c>
      <c r="Z79" s="212">
        <v>1.625459</v>
      </c>
      <c r="AA79" s="212">
        <v>1.331142179</v>
      </c>
      <c r="AB79" s="212">
        <v>1.138532104</v>
      </c>
      <c r="AC79" s="212">
        <v>1.154809706</v>
      </c>
      <c r="AD79" s="212">
        <v>1.338259439</v>
      </c>
      <c r="AE79" s="212">
        <v>1.3361649760000001</v>
      </c>
      <c r="AF79" s="212">
        <v>1.2989654559999999</v>
      </c>
      <c r="AG79" s="212">
        <v>9.3322830850000003</v>
      </c>
      <c r="AH79" s="212">
        <v>1.780849541</v>
      </c>
      <c r="AI79" s="212">
        <v>3.7917010000000002</v>
      </c>
      <c r="AJ79" s="212">
        <v>2.3952399999999998</v>
      </c>
      <c r="AK79" s="212">
        <v>196.41446191</v>
      </c>
      <c r="AL79" s="212">
        <v>1.0965886</v>
      </c>
      <c r="AM79" s="212">
        <v>1.9071776</v>
      </c>
      <c r="AN79" s="212">
        <v>8.6432178999999998</v>
      </c>
      <c r="AO79" s="212">
        <v>1.7756594999999999</v>
      </c>
      <c r="AP79" s="212">
        <v>1.7697615</v>
      </c>
      <c r="AQ79" s="212">
        <v>2.4501533000000002</v>
      </c>
      <c r="AR79" s="212">
        <v>8.6083987000000004</v>
      </c>
      <c r="AS79" s="212">
        <v>336.39854769999999</v>
      </c>
      <c r="AT79" s="212">
        <v>1.1601528000000001</v>
      </c>
      <c r="AU79" s="212">
        <v>3.0259627999999998</v>
      </c>
      <c r="AV79" s="212">
        <v>2.5747178000000002</v>
      </c>
      <c r="AW79" s="212">
        <v>1.5680065000000001</v>
      </c>
      <c r="AX79" s="212">
        <v>1.2358935</v>
      </c>
      <c r="AY79" s="212">
        <v>2.5583494999999998</v>
      </c>
      <c r="AZ79" s="212" t="s">
        <v>830</v>
      </c>
      <c r="BA79" s="212">
        <v>1.8877000289999999</v>
      </c>
      <c r="BB79" s="212">
        <v>2.4400636000000002</v>
      </c>
      <c r="BC79" s="212">
        <v>3.0101939999999998</v>
      </c>
      <c r="BD79" s="212">
        <v>1.0665279999999999</v>
      </c>
      <c r="BE79" s="212">
        <v>1.0503340000000001</v>
      </c>
      <c r="BF79" s="212">
        <v>1.0397339999999999</v>
      </c>
      <c r="BG79" s="212">
        <v>1.060783</v>
      </c>
      <c r="BH79" s="212">
        <v>1.0443610000000001</v>
      </c>
      <c r="BI79" s="212">
        <v>1.199921</v>
      </c>
      <c r="BJ79" s="212">
        <v>1.084849</v>
      </c>
      <c r="BK79" s="212">
        <v>1.192048</v>
      </c>
      <c r="BL79" s="212">
        <v>1.193398</v>
      </c>
      <c r="BM79" s="212">
        <v>1.1928259999999999</v>
      </c>
      <c r="BN79" s="212">
        <v>1.0524560000000001</v>
      </c>
      <c r="BO79" s="212">
        <v>1.134153</v>
      </c>
      <c r="BP79" s="212">
        <v>2.6448160000000001</v>
      </c>
      <c r="BQ79" s="212">
        <v>1.3752880000000001</v>
      </c>
      <c r="BR79" s="212">
        <v>1.4736100000000001</v>
      </c>
      <c r="BS79" s="212">
        <v>1.265951</v>
      </c>
      <c r="BT79" s="212">
        <v>1.7548699999999999</v>
      </c>
      <c r="BU79" s="212">
        <v>1.7378690000000001</v>
      </c>
      <c r="BV79" s="212">
        <v>1.9175679999999999</v>
      </c>
      <c r="BW79" s="212">
        <v>1.7593289999999999</v>
      </c>
      <c r="BX79" s="212">
        <v>1.732267</v>
      </c>
      <c r="BY79" s="212">
        <v>1.722377</v>
      </c>
      <c r="BZ79" s="212">
        <v>1.9806999999999999</v>
      </c>
      <c r="CA79" s="212">
        <v>1.9120159999999999</v>
      </c>
      <c r="CB79" s="212">
        <v>1.9277340000000001</v>
      </c>
      <c r="CC79" s="212">
        <v>1.8678319999999999</v>
      </c>
      <c r="CD79" s="212">
        <v>1.868665</v>
      </c>
      <c r="CE79" s="212">
        <v>1.8181940000000001</v>
      </c>
      <c r="CF79" s="212">
        <v>1.141327</v>
      </c>
      <c r="CG79" s="212">
        <v>1.3092079999999999</v>
      </c>
      <c r="CH79" s="212">
        <v>1.3159810000000001</v>
      </c>
      <c r="CI79" s="212">
        <v>2.862511</v>
      </c>
      <c r="CJ79" s="212">
        <v>0.89614199999999999</v>
      </c>
      <c r="CK79" s="212">
        <v>0.97219100000000003</v>
      </c>
      <c r="CL79" s="212">
        <v>0.62257099999999999</v>
      </c>
      <c r="CM79" s="212">
        <v>2.7460640000000001</v>
      </c>
      <c r="CN79" s="212">
        <v>1.9515119999999999</v>
      </c>
      <c r="CO79" s="212">
        <v>0.99644299999999997</v>
      </c>
      <c r="CP79" s="212">
        <v>0.99431000000000003</v>
      </c>
      <c r="CQ79" s="212">
        <v>1.2781290000000001</v>
      </c>
      <c r="CR79" s="212">
        <v>13.889972999999999</v>
      </c>
      <c r="CS79" s="212">
        <v>4.3341859999999999</v>
      </c>
      <c r="CT79" s="212">
        <v>1.994929</v>
      </c>
      <c r="CU79" s="212">
        <v>5.2099849999999996</v>
      </c>
      <c r="CV79" s="212">
        <v>9.3158390000000004</v>
      </c>
      <c r="CW79" s="212" t="s">
        <v>830</v>
      </c>
      <c r="CX79" s="212">
        <v>1.2210360079</v>
      </c>
      <c r="CY79" s="212">
        <v>2.0515064613999998</v>
      </c>
      <c r="CZ79" s="212">
        <v>1.172230487</v>
      </c>
      <c r="DA79" s="212">
        <v>14.471403303000001</v>
      </c>
      <c r="DB79" s="212">
        <v>1.0755440000000001</v>
      </c>
      <c r="DC79" s="212">
        <v>1.0781970000000001</v>
      </c>
      <c r="DD79" s="212">
        <v>1.952863</v>
      </c>
      <c r="DE79" s="212">
        <v>1.868236</v>
      </c>
      <c r="DF79" s="212">
        <v>1.7889429999999999</v>
      </c>
      <c r="DG79" s="212">
        <v>1.04997849</v>
      </c>
      <c r="DH79" s="212">
        <v>125.88974609</v>
      </c>
      <c r="DI79" s="212">
        <v>0.25554911000000002</v>
      </c>
      <c r="DJ79" s="212">
        <v>2.0734351000000002</v>
      </c>
      <c r="DK79" s="212">
        <v>1.8985905300000001</v>
      </c>
      <c r="DL79" s="212">
        <v>153493.23579000001</v>
      </c>
      <c r="DM79" s="212">
        <v>329.43153260000003</v>
      </c>
      <c r="DN79" s="212">
        <v>16.190792900000002</v>
      </c>
      <c r="DO79" s="212" t="s">
        <v>830</v>
      </c>
      <c r="DP79" s="212">
        <v>18054509.993000001</v>
      </c>
      <c r="DQ79" s="212">
        <v>1.4185570999999999</v>
      </c>
      <c r="DR79" s="212">
        <v>14.736786499999999</v>
      </c>
      <c r="DS79" s="212">
        <v>21.651068599999999</v>
      </c>
      <c r="DT79" s="212">
        <v>1.8622763</v>
      </c>
      <c r="DU79" s="212">
        <v>1.0474399999999999</v>
      </c>
      <c r="DV79" s="212">
        <v>1691.2917044000001</v>
      </c>
      <c r="DW79" s="212">
        <v>22930.339500999999</v>
      </c>
      <c r="DX79" s="212">
        <v>0.83159197399999996</v>
      </c>
      <c r="DY79" s="212">
        <v>9.7266309999999994</v>
      </c>
      <c r="DZ79" s="212">
        <v>226.54417900000001</v>
      </c>
      <c r="EA79" s="212">
        <v>18.270258999999999</v>
      </c>
      <c r="EB79" s="212">
        <v>21.327985000000002</v>
      </c>
      <c r="EC79" s="212">
        <v>19.704281999999999</v>
      </c>
      <c r="ED79" s="212">
        <v>2252.1818790000002</v>
      </c>
      <c r="EE79" s="212">
        <v>23.217186000000002</v>
      </c>
      <c r="EF79" s="212">
        <v>34.534416</v>
      </c>
      <c r="EG79" s="212">
        <v>1.3871423000000001</v>
      </c>
      <c r="EH79" s="212">
        <v>0.66072050000000004</v>
      </c>
      <c r="EI79" s="212">
        <v>1.0944531</v>
      </c>
      <c r="EJ79" s="212" t="s">
        <v>830</v>
      </c>
      <c r="EK79" s="212">
        <v>1.6248902000000001</v>
      </c>
      <c r="EL79" s="212">
        <v>2.7281628000000002</v>
      </c>
      <c r="EM79">
        <v>1.28156545</v>
      </c>
      <c r="EN79">
        <v>2.33787251</v>
      </c>
      <c r="EO79" s="221">
        <v>1.3983056</v>
      </c>
      <c r="EP79">
        <v>262.51290399999999</v>
      </c>
      <c r="EQ79">
        <v>188.54240999999999</v>
      </c>
      <c r="ER79">
        <v>16.540875400000001</v>
      </c>
      <c r="ES79">
        <v>14.510149200000001</v>
      </c>
      <c r="ET79">
        <v>8.8927622999999993</v>
      </c>
      <c r="EU79">
        <v>193.66833890000001</v>
      </c>
      <c r="EV79">
        <v>112.1322897</v>
      </c>
      <c r="EW79">
        <v>17.904596600000001</v>
      </c>
      <c r="EX79">
        <v>102.9275493</v>
      </c>
      <c r="EY79">
        <v>1.9635125</v>
      </c>
      <c r="EZ79" s="223">
        <v>2320.9788856999999</v>
      </c>
      <c r="FA79">
        <v>8.4389780000000005</v>
      </c>
      <c r="FB79">
        <v>0.98310920000000002</v>
      </c>
      <c r="FC79">
        <v>1.9923137</v>
      </c>
      <c r="FD79">
        <v>2.8522126999999999</v>
      </c>
      <c r="FE79">
        <v>1.2551751</v>
      </c>
      <c r="FF79">
        <v>1.6674309</v>
      </c>
      <c r="FG79">
        <v>0.77211452000000003</v>
      </c>
      <c r="FH79">
        <v>1.1423581599999999</v>
      </c>
      <c r="FI79">
        <v>0.98248833999999996</v>
      </c>
      <c r="FJ79">
        <v>111.79430759</v>
      </c>
    </row>
    <row r="80" spans="1:166" x14ac:dyDescent="0.3">
      <c r="A80" s="223">
        <v>79</v>
      </c>
      <c r="B80" s="315">
        <v>42426</v>
      </c>
      <c r="C80" s="212">
        <v>1013216.4429</v>
      </c>
      <c r="D80" s="212">
        <v>104.56466747</v>
      </c>
      <c r="E80" s="212">
        <v>1.3364787</v>
      </c>
      <c r="F80" s="212">
        <v>6.6747605999999999</v>
      </c>
      <c r="G80" s="212">
        <v>4.6062486781</v>
      </c>
      <c r="H80" s="212">
        <v>3.458066992</v>
      </c>
      <c r="I80" s="212">
        <v>1.0334184070000001</v>
      </c>
      <c r="J80" s="212">
        <v>4.3942389999999998</v>
      </c>
      <c r="K80" s="212">
        <v>3.1037689999999998</v>
      </c>
      <c r="L80" s="212">
        <v>10.656165218</v>
      </c>
      <c r="M80" s="212">
        <v>0.88762933499999996</v>
      </c>
      <c r="N80" s="212">
        <v>1.188080024</v>
      </c>
      <c r="O80" s="212">
        <v>1.9657604660000001</v>
      </c>
      <c r="P80" s="212">
        <v>1.341043006</v>
      </c>
      <c r="Q80" s="212">
        <v>1.5590269999999999</v>
      </c>
      <c r="R80" s="212">
        <v>1.780392403</v>
      </c>
      <c r="S80" s="212">
        <v>12.459135</v>
      </c>
      <c r="T80" s="212">
        <v>2.9356578839999998</v>
      </c>
      <c r="U80" s="212">
        <v>3.3088998420000002</v>
      </c>
      <c r="V80" s="212">
        <v>1.605562642</v>
      </c>
      <c r="W80" s="212">
        <v>1.3642703890000001</v>
      </c>
      <c r="X80" s="212">
        <v>3.4391640689999998</v>
      </c>
      <c r="Y80" s="212">
        <v>1.87415</v>
      </c>
      <c r="Z80" s="212">
        <v>1.626282</v>
      </c>
      <c r="AA80" s="212">
        <v>1.334348241</v>
      </c>
      <c r="AB80" s="212">
        <v>1.138539242</v>
      </c>
      <c r="AC80" s="212">
        <v>1.1544650400000001</v>
      </c>
      <c r="AD80" s="212">
        <v>1.3391940040000001</v>
      </c>
      <c r="AE80" s="212">
        <v>1.337098404</v>
      </c>
      <c r="AF80" s="212">
        <v>1.300395808</v>
      </c>
      <c r="AG80" s="212">
        <v>9.336906849</v>
      </c>
      <c r="AH80" s="212">
        <v>1.781397822</v>
      </c>
      <c r="AI80" s="212">
        <v>3.7934489999999998</v>
      </c>
      <c r="AJ80" s="212">
        <v>2.394339</v>
      </c>
      <c r="AK80" s="212">
        <v>196.52144967000001</v>
      </c>
      <c r="AL80" s="212">
        <v>1.0936996000000001</v>
      </c>
      <c r="AM80" s="212">
        <v>1.9068115000000001</v>
      </c>
      <c r="AN80" s="212">
        <v>8.6478014999999999</v>
      </c>
      <c r="AO80" s="212">
        <v>1.7763517</v>
      </c>
      <c r="AP80" s="212">
        <v>1.7704426</v>
      </c>
      <c r="AQ80" s="212">
        <v>2.4514125</v>
      </c>
      <c r="AR80" s="212">
        <v>8.6129297999999999</v>
      </c>
      <c r="AS80" s="212">
        <v>334.04137009999999</v>
      </c>
      <c r="AT80" s="212">
        <v>1.1477085</v>
      </c>
      <c r="AU80" s="212">
        <v>3.0274643000000001</v>
      </c>
      <c r="AV80" s="212">
        <v>2.5740354000000001</v>
      </c>
      <c r="AW80" s="212">
        <v>1.5685465999999999</v>
      </c>
      <c r="AX80" s="212">
        <v>1.2343138</v>
      </c>
      <c r="AY80" s="212">
        <v>2.5581318999999998</v>
      </c>
      <c r="AZ80" s="212" t="s">
        <v>830</v>
      </c>
      <c r="BA80" s="212">
        <v>1.888646244</v>
      </c>
      <c r="BB80" s="212">
        <v>2.4405926</v>
      </c>
      <c r="BC80" s="212">
        <v>3.0116999999999998</v>
      </c>
      <c r="BD80" s="212">
        <v>1.066746</v>
      </c>
      <c r="BE80" s="212">
        <v>1.050548</v>
      </c>
      <c r="BF80" s="212">
        <v>1.039946</v>
      </c>
      <c r="BG80" s="212">
        <v>1.0609999999999999</v>
      </c>
      <c r="BH80" s="212">
        <v>1.0445739999999999</v>
      </c>
      <c r="BI80" s="212">
        <v>1.20076</v>
      </c>
      <c r="BJ80" s="212">
        <v>1.0835630000000001</v>
      </c>
      <c r="BK80" s="212">
        <v>1.1908430000000001</v>
      </c>
      <c r="BL80" s="212">
        <v>1.194231</v>
      </c>
      <c r="BM80" s="212">
        <v>1.1936629999999999</v>
      </c>
      <c r="BN80" s="212">
        <v>1.0551470000000001</v>
      </c>
      <c r="BO80" s="212">
        <v>1.1339710000000001</v>
      </c>
      <c r="BP80" s="212">
        <v>2.6460900000000001</v>
      </c>
      <c r="BQ80" s="212">
        <v>1.375963</v>
      </c>
      <c r="BR80" s="212">
        <v>1.4722649999999999</v>
      </c>
      <c r="BS80" s="212">
        <v>1.2664550000000001</v>
      </c>
      <c r="BT80" s="212">
        <v>1.754724</v>
      </c>
      <c r="BU80" s="212">
        <v>1.7394019999999999</v>
      </c>
      <c r="BV80" s="212">
        <v>1.918836</v>
      </c>
      <c r="BW80" s="212">
        <v>1.762027</v>
      </c>
      <c r="BX80" s="212">
        <v>1.7341679999999999</v>
      </c>
      <c r="BY80" s="212">
        <v>1.7244280000000001</v>
      </c>
      <c r="BZ80" s="212">
        <v>1.9820439999999999</v>
      </c>
      <c r="CA80" s="212">
        <v>1.9132819999999999</v>
      </c>
      <c r="CB80" s="212">
        <v>1.9291480000000001</v>
      </c>
      <c r="CC80" s="212">
        <v>1.86907</v>
      </c>
      <c r="CD80" s="212">
        <v>1.8698969999999999</v>
      </c>
      <c r="CE80" s="212">
        <v>1.819383</v>
      </c>
      <c r="CF80" s="212">
        <v>1.138771</v>
      </c>
      <c r="CG80" s="212">
        <v>1.308371</v>
      </c>
      <c r="CH80" s="212">
        <v>1.3158859999999999</v>
      </c>
      <c r="CI80" s="212">
        <v>2.8637739999999998</v>
      </c>
      <c r="CJ80" s="212">
        <v>0.889096</v>
      </c>
      <c r="CK80" s="212">
        <v>0.964584</v>
      </c>
      <c r="CL80" s="212">
        <v>0.61757399999999996</v>
      </c>
      <c r="CM80" s="212">
        <v>2.7259980000000001</v>
      </c>
      <c r="CN80" s="212">
        <v>1.974613</v>
      </c>
      <c r="CO80" s="212">
        <v>0.99138499999999996</v>
      </c>
      <c r="CP80" s="212">
        <v>0.99735399999999996</v>
      </c>
      <c r="CQ80" s="212">
        <v>1.2787900000000001</v>
      </c>
      <c r="CR80" s="212">
        <v>13.896342000000001</v>
      </c>
      <c r="CS80" s="212">
        <v>4.335642</v>
      </c>
      <c r="CT80" s="212">
        <v>1.9952080000000001</v>
      </c>
      <c r="CU80" s="212">
        <v>5.2116860000000003</v>
      </c>
      <c r="CV80" s="212">
        <v>9.3201140000000002</v>
      </c>
      <c r="CW80" s="212" t="s">
        <v>830</v>
      </c>
      <c r="CX80" s="212">
        <v>1.2216768111</v>
      </c>
      <c r="CY80" s="212">
        <v>2.0493287701999998</v>
      </c>
      <c r="CZ80" s="212">
        <v>1.1726725017999999</v>
      </c>
      <c r="DA80" s="212">
        <v>14.478824285</v>
      </c>
      <c r="DB80" s="212">
        <v>1.0757639999999999</v>
      </c>
      <c r="DC80" s="212">
        <v>1.076919</v>
      </c>
      <c r="DD80" s="212">
        <v>1.950879</v>
      </c>
      <c r="DE80" s="212">
        <v>1.8679269999999999</v>
      </c>
      <c r="DF80" s="212">
        <v>1.7897510000000001</v>
      </c>
      <c r="DG80" s="212">
        <v>1.05023373</v>
      </c>
      <c r="DH80" s="212">
        <v>125.96474145000001</v>
      </c>
      <c r="DI80" s="212">
        <v>0.25559135999999999</v>
      </c>
      <c r="DJ80" s="212">
        <v>2.0743814</v>
      </c>
      <c r="DK80" s="212">
        <v>1.8980822500000001</v>
      </c>
      <c r="DL80" s="212">
        <v>153593.89185000001</v>
      </c>
      <c r="DM80" s="212">
        <v>329.60081200000002</v>
      </c>
      <c r="DN80" s="212">
        <v>16.199862299999999</v>
      </c>
      <c r="DO80" s="212" t="s">
        <v>830</v>
      </c>
      <c r="DP80" s="212">
        <v>18053130.686999999</v>
      </c>
      <c r="DQ80" s="212">
        <v>1.4304737000000001</v>
      </c>
      <c r="DR80" s="212">
        <v>14.735623800000001</v>
      </c>
      <c r="DS80" s="212">
        <v>21.662543700000001</v>
      </c>
      <c r="DT80" s="212">
        <v>1.8595295000000001</v>
      </c>
      <c r="DU80" s="212">
        <v>1.0466819999999999</v>
      </c>
      <c r="DV80" s="212">
        <v>1691.937105</v>
      </c>
      <c r="DW80" s="212">
        <v>22918.519252999999</v>
      </c>
      <c r="DX80" s="212">
        <v>0.83869539100000001</v>
      </c>
      <c r="DY80" s="212">
        <v>9.6597270000000002</v>
      </c>
      <c r="DZ80" s="212">
        <v>226.650432</v>
      </c>
      <c r="EA80" s="212">
        <v>18.255485</v>
      </c>
      <c r="EB80" s="212">
        <v>21.306211000000001</v>
      </c>
      <c r="EC80" s="212">
        <v>19.701086</v>
      </c>
      <c r="ED80" s="212">
        <v>2253.3750839999998</v>
      </c>
      <c r="EE80" s="212">
        <v>23.225294000000002</v>
      </c>
      <c r="EF80" s="212">
        <v>34.552436999999998</v>
      </c>
      <c r="EG80" s="212">
        <v>1.3951511000000001</v>
      </c>
      <c r="EH80" s="212">
        <v>0.66092099999999998</v>
      </c>
      <c r="EI80" s="212">
        <v>1.0946448</v>
      </c>
      <c r="EJ80" s="212" t="s">
        <v>830</v>
      </c>
      <c r="EK80" s="212">
        <v>1.6263970000000001</v>
      </c>
      <c r="EL80" s="212">
        <v>2.7306680999999999</v>
      </c>
      <c r="EM80">
        <v>1.2816656</v>
      </c>
      <c r="EN80">
        <v>2.3395855600000002</v>
      </c>
      <c r="EO80" s="221">
        <v>1.3989408999999999</v>
      </c>
      <c r="EP80">
        <v>262.80098600000002</v>
      </c>
      <c r="EQ80">
        <v>188.562286</v>
      </c>
      <c r="ER80">
        <v>16.5241221</v>
      </c>
      <c r="ES80">
        <v>14.5078902</v>
      </c>
      <c r="ET80">
        <v>8.8974087999999991</v>
      </c>
      <c r="EU80">
        <v>193.6363222</v>
      </c>
      <c r="EV80">
        <v>111.1271859</v>
      </c>
      <c r="EW80">
        <v>17.9125871</v>
      </c>
      <c r="EX80">
        <v>102.97808999999999</v>
      </c>
      <c r="EY80">
        <v>1.9384127</v>
      </c>
      <c r="EZ80" s="223">
        <v>2322.1584152</v>
      </c>
      <c r="FA80">
        <v>8.4426159999999992</v>
      </c>
      <c r="FB80">
        <v>0.97596850000000002</v>
      </c>
      <c r="FC80">
        <v>1.9919357</v>
      </c>
      <c r="FD80">
        <v>2.8536337999999999</v>
      </c>
      <c r="FE80">
        <v>1.2554964</v>
      </c>
      <c r="FF80">
        <v>1.6660313</v>
      </c>
      <c r="FG80">
        <v>0.76960883000000002</v>
      </c>
      <c r="FH80">
        <v>1.14612505</v>
      </c>
      <c r="FI80">
        <v>0.98217673999999999</v>
      </c>
      <c r="FJ80">
        <v>110.76210039</v>
      </c>
    </row>
    <row r="81" spans="1:166" x14ac:dyDescent="0.3">
      <c r="A81" s="223">
        <v>80</v>
      </c>
      <c r="B81" s="315">
        <v>42429</v>
      </c>
      <c r="C81" s="212">
        <v>1013150.3999</v>
      </c>
      <c r="D81" s="212">
        <v>104.62342695</v>
      </c>
      <c r="E81" s="212">
        <v>1.3379189</v>
      </c>
      <c r="F81" s="212">
        <v>6.7965394000000003</v>
      </c>
      <c r="G81" s="212">
        <v>4.6060134756000002</v>
      </c>
      <c r="H81" s="212">
        <v>3.5177510220000001</v>
      </c>
      <c r="I81" s="212">
        <v>1.04929725</v>
      </c>
      <c r="J81" s="212">
        <v>4.3964660000000002</v>
      </c>
      <c r="K81" s="212">
        <v>3.1049099999999998</v>
      </c>
      <c r="L81" s="212">
        <v>10.660552569</v>
      </c>
      <c r="M81" s="212">
        <v>0.90908804499999996</v>
      </c>
      <c r="N81" s="212">
        <v>1.2186517050000001</v>
      </c>
      <c r="O81" s="212">
        <v>1.9633059079999999</v>
      </c>
      <c r="P81" s="212">
        <v>1.3451902120000001</v>
      </c>
      <c r="Q81" s="212">
        <v>1.5597350000000001</v>
      </c>
      <c r="R81" s="212">
        <v>1.7830120309999999</v>
      </c>
      <c r="S81" s="212">
        <v>12.478891000000001</v>
      </c>
      <c r="T81" s="212">
        <v>2.9381475400000001</v>
      </c>
      <c r="U81" s="212">
        <v>3.3113751759999999</v>
      </c>
      <c r="V81" s="212">
        <v>1.605840436</v>
      </c>
      <c r="W81" s="212">
        <v>1.365938455</v>
      </c>
      <c r="X81" s="212">
        <v>3.4466615470000002</v>
      </c>
      <c r="Y81" s="212">
        <v>1.875373</v>
      </c>
      <c r="Z81" s="212">
        <v>1.627102</v>
      </c>
      <c r="AA81" s="212">
        <v>1.338536929</v>
      </c>
      <c r="AB81" s="212">
        <v>1.139419875</v>
      </c>
      <c r="AC81" s="212">
        <v>1.1562867160000001</v>
      </c>
      <c r="AD81" s="212">
        <v>1.3401292220000001</v>
      </c>
      <c r="AE81" s="212">
        <v>1.338032455</v>
      </c>
      <c r="AF81" s="212">
        <v>1.304579766</v>
      </c>
      <c r="AG81" s="212">
        <v>9.3415521409999993</v>
      </c>
      <c r="AH81" s="212">
        <v>1.7826318830000001</v>
      </c>
      <c r="AI81" s="212">
        <v>3.7955920000000001</v>
      </c>
      <c r="AJ81" s="212">
        <v>2.3972410000000002</v>
      </c>
      <c r="AK81" s="212">
        <v>196.74991118</v>
      </c>
      <c r="AL81" s="212">
        <v>1.0960855</v>
      </c>
      <c r="AM81" s="212">
        <v>1.9083991</v>
      </c>
      <c r="AN81" s="212">
        <v>8.6523230000000009</v>
      </c>
      <c r="AO81" s="212">
        <v>1.7771971</v>
      </c>
      <c r="AP81" s="212">
        <v>1.7712686</v>
      </c>
      <c r="AQ81" s="212">
        <v>2.4526759</v>
      </c>
      <c r="AR81" s="212">
        <v>8.6173038000000002</v>
      </c>
      <c r="AS81" s="212">
        <v>343.68849110000002</v>
      </c>
      <c r="AT81" s="212">
        <v>1.1685722999999999</v>
      </c>
      <c r="AU81" s="212">
        <v>3.0289104</v>
      </c>
      <c r="AV81" s="212">
        <v>2.5763082000000002</v>
      </c>
      <c r="AW81" s="212">
        <v>1.5689389</v>
      </c>
      <c r="AX81" s="212">
        <v>1.2363305</v>
      </c>
      <c r="AY81" s="212">
        <v>2.5614751999999998</v>
      </c>
      <c r="AZ81" s="212" t="s">
        <v>830</v>
      </c>
      <c r="BA81" s="212">
        <v>1.889604807</v>
      </c>
      <c r="BB81" s="212">
        <v>2.4431079000000002</v>
      </c>
      <c r="BC81" s="212">
        <v>3.0133459999999999</v>
      </c>
      <c r="BD81" s="212">
        <v>1.0673889999999999</v>
      </c>
      <c r="BE81" s="212">
        <v>1.0511809999999999</v>
      </c>
      <c r="BF81" s="212">
        <v>1.0405720000000001</v>
      </c>
      <c r="BG81" s="212">
        <v>1.0616380000000001</v>
      </c>
      <c r="BH81" s="212">
        <v>1.0452030000000001</v>
      </c>
      <c r="BI81" s="212">
        <v>1.2016009999999999</v>
      </c>
      <c r="BJ81" s="212">
        <v>1.08552</v>
      </c>
      <c r="BK81" s="212">
        <v>1.194453</v>
      </c>
      <c r="BL81" s="212">
        <v>1.1950639999999999</v>
      </c>
      <c r="BM81" s="212">
        <v>1.194499</v>
      </c>
      <c r="BN81" s="212">
        <v>1.058494</v>
      </c>
      <c r="BO81" s="212">
        <v>1.1350070000000001</v>
      </c>
      <c r="BP81" s="212">
        <v>2.6474600000000001</v>
      </c>
      <c r="BQ81" s="212">
        <v>1.376638</v>
      </c>
      <c r="BR81" s="212">
        <v>1.474485</v>
      </c>
      <c r="BS81" s="212">
        <v>1.2668140000000001</v>
      </c>
      <c r="BT81" s="212">
        <v>1.7569619999999999</v>
      </c>
      <c r="BU81" s="212">
        <v>1.7406109999999999</v>
      </c>
      <c r="BV81" s="212">
        <v>1.920105</v>
      </c>
      <c r="BW81" s="212">
        <v>1.763657</v>
      </c>
      <c r="BX81" s="212">
        <v>1.735411</v>
      </c>
      <c r="BY81" s="212">
        <v>1.725873</v>
      </c>
      <c r="BZ81" s="212">
        <v>1.9834050000000001</v>
      </c>
      <c r="CA81" s="212">
        <v>1.9145490000000001</v>
      </c>
      <c r="CB81" s="212">
        <v>1.930563</v>
      </c>
      <c r="CC81" s="212">
        <v>1.8703050000000001</v>
      </c>
      <c r="CD81" s="212">
        <v>1.8711310000000001</v>
      </c>
      <c r="CE81" s="212">
        <v>1.8205849999999999</v>
      </c>
      <c r="CF81" s="212">
        <v>1.139613</v>
      </c>
      <c r="CG81" s="212">
        <v>1.3131120000000001</v>
      </c>
      <c r="CH81" s="212">
        <v>1.3188390000000001</v>
      </c>
      <c r="CI81" s="212">
        <v>2.8653240000000002</v>
      </c>
      <c r="CJ81" s="212">
        <v>0.91447599999999996</v>
      </c>
      <c r="CK81" s="212">
        <v>0.99209599999999998</v>
      </c>
      <c r="CL81" s="212">
        <v>0.63359799999999999</v>
      </c>
      <c r="CM81" s="212">
        <v>2.803099</v>
      </c>
      <c r="CN81" s="212">
        <v>1.968059</v>
      </c>
      <c r="CO81" s="212">
        <v>1.005423</v>
      </c>
      <c r="CP81" s="212">
        <v>1.008707</v>
      </c>
      <c r="CQ81" s="212">
        <v>1.2794490000000001</v>
      </c>
      <c r="CR81" s="212">
        <v>13.902741000000001</v>
      </c>
      <c r="CS81" s="212">
        <v>4.3376479999999997</v>
      </c>
      <c r="CT81" s="212">
        <v>1.996319</v>
      </c>
      <c r="CU81" s="212">
        <v>5.213387</v>
      </c>
      <c r="CV81" s="212">
        <v>9.324408</v>
      </c>
      <c r="CW81" s="212">
        <v>890.55087856</v>
      </c>
      <c r="CX81" s="212">
        <v>1.2223176264</v>
      </c>
      <c r="CY81" s="212">
        <v>2.0487372234999999</v>
      </c>
      <c r="CZ81" s="212">
        <v>1.1733784041999999</v>
      </c>
      <c r="DA81" s="212">
        <v>14.486058557</v>
      </c>
      <c r="DB81" s="212">
        <v>1.0764119999999999</v>
      </c>
      <c r="DC81" s="212">
        <v>1.078864</v>
      </c>
      <c r="DD81" s="212">
        <v>1.953943</v>
      </c>
      <c r="DE81" s="212">
        <v>1.869415</v>
      </c>
      <c r="DF81" s="212">
        <v>1.790905</v>
      </c>
      <c r="DG81" s="212">
        <v>1.0530689499999999</v>
      </c>
      <c r="DH81" s="212">
        <v>126.0394027</v>
      </c>
      <c r="DI81" s="212">
        <v>0.25565495999999999</v>
      </c>
      <c r="DJ81" s="212">
        <v>2.0753238000000001</v>
      </c>
      <c r="DK81" s="212">
        <v>1.8934034500000001</v>
      </c>
      <c r="DL81" s="212">
        <v>153694.61342000001</v>
      </c>
      <c r="DM81" s="212">
        <v>329.7641959</v>
      </c>
      <c r="DN81" s="212">
        <v>16.057094200000002</v>
      </c>
      <c r="DO81" s="212">
        <v>67.94</v>
      </c>
      <c r="DP81" s="212">
        <v>18052103.897999998</v>
      </c>
      <c r="DQ81" s="212">
        <v>1.4670345</v>
      </c>
      <c r="DR81" s="212">
        <v>14.750194499999999</v>
      </c>
      <c r="DS81" s="212">
        <v>21.673710700000001</v>
      </c>
      <c r="DT81" s="212">
        <v>1.8564868000000001</v>
      </c>
      <c r="DU81" s="212">
        <v>1.0691086999999999</v>
      </c>
      <c r="DV81" s="212">
        <v>1692.0398304</v>
      </c>
      <c r="DW81" s="212">
        <v>22880.912575999999</v>
      </c>
      <c r="DX81" s="212">
        <v>0.83056959200000002</v>
      </c>
      <c r="DY81" s="212">
        <v>9.9030620000000003</v>
      </c>
      <c r="DZ81" s="212">
        <v>226.82344599999999</v>
      </c>
      <c r="EA81" s="212">
        <v>18.294118999999998</v>
      </c>
      <c r="EB81" s="212">
        <v>21.339264</v>
      </c>
      <c r="EC81" s="212">
        <v>19.716922</v>
      </c>
      <c r="ED81" s="212">
        <v>2254.5098130000001</v>
      </c>
      <c r="EE81" s="212">
        <v>23.234380999999999</v>
      </c>
      <c r="EF81" s="212">
        <v>34.570272000000003</v>
      </c>
      <c r="EG81" s="212">
        <v>1.4162166</v>
      </c>
      <c r="EH81" s="212">
        <v>0.66112159999999998</v>
      </c>
      <c r="EI81" s="212">
        <v>1.0908466000000001</v>
      </c>
      <c r="EJ81" s="212">
        <v>1.8771826</v>
      </c>
      <c r="EK81" s="212">
        <v>1.6298273000000001</v>
      </c>
      <c r="EL81" s="212">
        <v>2.7364522</v>
      </c>
      <c r="EM81">
        <v>1.2818052799999999</v>
      </c>
      <c r="EN81">
        <v>2.3412998599999999</v>
      </c>
      <c r="EO81" s="221">
        <v>1.3995731</v>
      </c>
      <c r="EP81">
        <v>263.03605599999997</v>
      </c>
      <c r="EQ81">
        <v>188.76658</v>
      </c>
      <c r="ER81">
        <v>16.550363699999998</v>
      </c>
      <c r="ES81">
        <v>14.519465</v>
      </c>
      <c r="ET81">
        <v>8.9020861999999994</v>
      </c>
      <c r="EU81">
        <v>193.78896359999999</v>
      </c>
      <c r="EV81">
        <v>113.14861550000001</v>
      </c>
      <c r="EW81">
        <v>17.9234197</v>
      </c>
      <c r="EX81">
        <v>103.02898690000001</v>
      </c>
      <c r="EY81">
        <v>2.0678021000000002</v>
      </c>
      <c r="EZ81" s="223">
        <v>2323.3445747999999</v>
      </c>
      <c r="FA81">
        <v>8.4462139999999994</v>
      </c>
      <c r="FB81">
        <v>0.99702880000000005</v>
      </c>
      <c r="FC81">
        <v>1.9935419999999999</v>
      </c>
      <c r="FD81">
        <v>2.8550656999999999</v>
      </c>
      <c r="FE81">
        <v>1.2565997</v>
      </c>
      <c r="FF81">
        <v>1.6694926000000001</v>
      </c>
      <c r="FG81">
        <v>0.78182094999999996</v>
      </c>
      <c r="FH81">
        <v>1.1484458399999999</v>
      </c>
      <c r="FI81">
        <v>0.98209805999999999</v>
      </c>
      <c r="FJ81">
        <v>110.37349123</v>
      </c>
    </row>
    <row r="82" spans="1:166" x14ac:dyDescent="0.3">
      <c r="A82" s="223">
        <v>81</v>
      </c>
      <c r="B82" s="315">
        <v>42430</v>
      </c>
      <c r="C82" s="212">
        <v>1013084.2082</v>
      </c>
      <c r="D82" s="212">
        <v>104.59437893</v>
      </c>
      <c r="E82" s="212">
        <v>1.3415429000000001</v>
      </c>
      <c r="F82" s="212">
        <v>6.8759287999999996</v>
      </c>
      <c r="G82" s="212">
        <v>4.6094739161999998</v>
      </c>
      <c r="H82" s="212">
        <v>3.6522394149999999</v>
      </c>
      <c r="I82" s="212">
        <v>1.062558672</v>
      </c>
      <c r="J82" s="212">
        <v>4.398644</v>
      </c>
      <c r="K82" s="212">
        <v>3.1060479999999999</v>
      </c>
      <c r="L82" s="212">
        <v>10.664903904999999</v>
      </c>
      <c r="M82" s="212">
        <v>0.92714157399999997</v>
      </c>
      <c r="N82" s="212">
        <v>1.2491145560000001</v>
      </c>
      <c r="O82" s="212">
        <v>1.9622061930000001</v>
      </c>
      <c r="P82" s="212">
        <v>1.3508627070000001</v>
      </c>
      <c r="Q82" s="212">
        <v>1.5604849999999999</v>
      </c>
      <c r="R82" s="212">
        <v>1.7890021410000001</v>
      </c>
      <c r="S82" s="212">
        <v>12.518506</v>
      </c>
      <c r="T82" s="212">
        <v>2.9489211169999998</v>
      </c>
      <c r="U82" s="212">
        <v>3.323580523</v>
      </c>
      <c r="V82" s="212">
        <v>1.6122974809999999</v>
      </c>
      <c r="W82" s="212">
        <v>1.369766722</v>
      </c>
      <c r="X82" s="212">
        <v>3.4595983929999998</v>
      </c>
      <c r="Y82" s="212">
        <v>1.8772740000000001</v>
      </c>
      <c r="Z82" s="212">
        <v>1.6279090000000001</v>
      </c>
      <c r="AA82" s="212">
        <v>1.344590564</v>
      </c>
      <c r="AB82" s="212">
        <v>1.141082938</v>
      </c>
      <c r="AC82" s="212">
        <v>1.159601302</v>
      </c>
      <c r="AD82" s="212">
        <v>1.3410655199999999</v>
      </c>
      <c r="AE82" s="212">
        <v>1.3389686890000001</v>
      </c>
      <c r="AF82" s="212">
        <v>1.310382728</v>
      </c>
      <c r="AG82" s="212">
        <v>9.3461766019999999</v>
      </c>
      <c r="AH82" s="212">
        <v>1.784393114</v>
      </c>
      <c r="AI82" s="212">
        <v>3.7979729999999998</v>
      </c>
      <c r="AJ82" s="212">
        <v>2.4067470000000002</v>
      </c>
      <c r="AK82" s="212">
        <v>197.02884496999999</v>
      </c>
      <c r="AL82" s="212">
        <v>1.1012122</v>
      </c>
      <c r="AM82" s="212">
        <v>1.9154191</v>
      </c>
      <c r="AN82" s="212">
        <v>8.6567296999999996</v>
      </c>
      <c r="AO82" s="212">
        <v>1.7783583999999999</v>
      </c>
      <c r="AP82" s="212">
        <v>1.7724207000000001</v>
      </c>
      <c r="AQ82" s="212">
        <v>2.4539331999999998</v>
      </c>
      <c r="AR82" s="212">
        <v>8.6215194000000004</v>
      </c>
      <c r="AS82" s="212">
        <v>354.37225960000001</v>
      </c>
      <c r="AT82" s="212">
        <v>1.1782846</v>
      </c>
      <c r="AU82" s="212">
        <v>3.0303008999999999</v>
      </c>
      <c r="AV82" s="212">
        <v>2.585699</v>
      </c>
      <c r="AW82" s="212">
        <v>1.5750276999999999</v>
      </c>
      <c r="AX82" s="212">
        <v>1.2404086000000001</v>
      </c>
      <c r="AY82" s="212">
        <v>2.5686897000000002</v>
      </c>
      <c r="AZ82" s="212" t="s">
        <v>830</v>
      </c>
      <c r="BA82" s="212">
        <v>1.8905286640000001</v>
      </c>
      <c r="BB82" s="212">
        <v>2.4526444000000001</v>
      </c>
      <c r="BC82" s="212">
        <v>3.015161</v>
      </c>
      <c r="BD82" s="212">
        <v>1.0684290000000001</v>
      </c>
      <c r="BE82" s="212">
        <v>1.052206</v>
      </c>
      <c r="BF82" s="212">
        <v>1.041587</v>
      </c>
      <c r="BG82" s="212">
        <v>1.0626739999999999</v>
      </c>
      <c r="BH82" s="212">
        <v>1.046222</v>
      </c>
      <c r="BI82" s="212">
        <v>1.2024410000000001</v>
      </c>
      <c r="BJ82" s="212">
        <v>1.090274</v>
      </c>
      <c r="BK82" s="212">
        <v>1.2008129999999999</v>
      </c>
      <c r="BL82" s="212">
        <v>1.195897</v>
      </c>
      <c r="BM82" s="212">
        <v>1.1953370000000001</v>
      </c>
      <c r="BN82" s="212">
        <v>1.0635319999999999</v>
      </c>
      <c r="BO82" s="212">
        <v>1.1403460000000001</v>
      </c>
      <c r="BP82" s="212">
        <v>2.6492110000000002</v>
      </c>
      <c r="BQ82" s="212">
        <v>1.3773139999999999</v>
      </c>
      <c r="BR82" s="212">
        <v>1.4793799999999999</v>
      </c>
      <c r="BS82" s="212">
        <v>1.272027</v>
      </c>
      <c r="BT82" s="212">
        <v>1.7619320000000001</v>
      </c>
      <c r="BU82" s="212">
        <v>1.7418199999999999</v>
      </c>
      <c r="BV82" s="212">
        <v>1.9213739999999999</v>
      </c>
      <c r="BW82" s="212">
        <v>1.764853</v>
      </c>
      <c r="BX82" s="212">
        <v>1.736656</v>
      </c>
      <c r="BY82" s="212">
        <v>1.727155</v>
      </c>
      <c r="BZ82" s="212">
        <v>1.9847669999999999</v>
      </c>
      <c r="CA82" s="212">
        <v>1.9158170000000001</v>
      </c>
      <c r="CB82" s="212">
        <v>1.932042</v>
      </c>
      <c r="CC82" s="212">
        <v>1.87154</v>
      </c>
      <c r="CD82" s="212">
        <v>1.8723650000000001</v>
      </c>
      <c r="CE82" s="212">
        <v>1.821787</v>
      </c>
      <c r="CF82" s="212">
        <v>1.1404559999999999</v>
      </c>
      <c r="CG82" s="212">
        <v>1.320972</v>
      </c>
      <c r="CH82" s="212">
        <v>1.3237000000000001</v>
      </c>
      <c r="CI82" s="212">
        <v>2.867089</v>
      </c>
      <c r="CJ82" s="212">
        <v>0.94327099999999997</v>
      </c>
      <c r="CK82" s="212">
        <v>1.023277</v>
      </c>
      <c r="CL82" s="212">
        <v>0.64932100000000004</v>
      </c>
      <c r="CM82" s="212">
        <v>2.8889390000000001</v>
      </c>
      <c r="CN82" s="212">
        <v>1.9770570000000001</v>
      </c>
      <c r="CO82" s="212">
        <v>1.023407</v>
      </c>
      <c r="CP82" s="212">
        <v>1.011361</v>
      </c>
      <c r="CQ82" s="212">
        <v>1.2801130000000001</v>
      </c>
      <c r="CR82" s="212">
        <v>13.909202000000001</v>
      </c>
      <c r="CS82" s="212">
        <v>4.339836</v>
      </c>
      <c r="CT82" s="212">
        <v>2.002259</v>
      </c>
      <c r="CU82" s="212">
        <v>5.21509</v>
      </c>
      <c r="CV82" s="212">
        <v>9.3287370000000003</v>
      </c>
      <c r="CW82" s="212" t="s">
        <v>830</v>
      </c>
      <c r="CX82" s="212">
        <v>1.22294141</v>
      </c>
      <c r="CY82" s="212">
        <v>2.0503256836000001</v>
      </c>
      <c r="CZ82" s="212">
        <v>1.1744565271</v>
      </c>
      <c r="DA82" s="212">
        <v>14.493243572000001</v>
      </c>
      <c r="DB82" s="212">
        <v>1.0774619999999999</v>
      </c>
      <c r="DC82" s="212">
        <v>1.0835889999999999</v>
      </c>
      <c r="DD82" s="212">
        <v>1.9601679999999999</v>
      </c>
      <c r="DE82" s="212">
        <v>1.876412</v>
      </c>
      <c r="DF82" s="212">
        <v>1.7927280000000001</v>
      </c>
      <c r="DG82" s="212">
        <v>1.0563378699999999</v>
      </c>
      <c r="DH82" s="212">
        <v>126.11510534</v>
      </c>
      <c r="DI82" s="212">
        <v>0.25626346999999999</v>
      </c>
      <c r="DJ82" s="212">
        <v>2.0762839999999998</v>
      </c>
      <c r="DK82" s="212">
        <v>1.8939098700000001</v>
      </c>
      <c r="DL82" s="212">
        <v>153795.40139000001</v>
      </c>
      <c r="DM82" s="212">
        <v>329.88075889999999</v>
      </c>
      <c r="DN82" s="212">
        <v>15.915005300000001</v>
      </c>
      <c r="DO82" s="212" t="s">
        <v>830</v>
      </c>
      <c r="DP82" s="212">
        <v>18050922.686999999</v>
      </c>
      <c r="DQ82" s="212">
        <v>1.4772048</v>
      </c>
      <c r="DR82" s="212">
        <v>14.7570453</v>
      </c>
      <c r="DS82" s="212">
        <v>21.685028200000001</v>
      </c>
      <c r="DT82" s="212">
        <v>1.8655662</v>
      </c>
      <c r="DU82" s="212">
        <v>1.0871904999999999</v>
      </c>
      <c r="DV82" s="212">
        <v>1692.8376017000001</v>
      </c>
      <c r="DW82" s="212">
        <v>22880.994179000001</v>
      </c>
      <c r="DX82" s="212">
        <v>0.83883286800000001</v>
      </c>
      <c r="DY82" s="212">
        <v>10.176603999999999</v>
      </c>
      <c r="DZ82" s="212">
        <v>227.08370500000001</v>
      </c>
      <c r="EA82" s="212">
        <v>18.362966</v>
      </c>
      <c r="EB82" s="212">
        <v>21.406981999999999</v>
      </c>
      <c r="EC82" s="212">
        <v>19.790507999999999</v>
      </c>
      <c r="ED82" s="212">
        <v>2255.6871120000001</v>
      </c>
      <c r="EE82" s="212">
        <v>23.249023000000001</v>
      </c>
      <c r="EF82" s="212">
        <v>34.588033000000003</v>
      </c>
      <c r="EG82" s="212">
        <v>1.4252944000000001</v>
      </c>
      <c r="EH82" s="212">
        <v>0.6612749</v>
      </c>
      <c r="EI82" s="212">
        <v>1.0927165999999999</v>
      </c>
      <c r="EJ82" s="212" t="s">
        <v>830</v>
      </c>
      <c r="EK82" s="212">
        <v>1.6320032</v>
      </c>
      <c r="EL82" s="212">
        <v>2.7401051999999999</v>
      </c>
      <c r="EM82">
        <v>1.28194192</v>
      </c>
      <c r="EN82">
        <v>2.3430154299999999</v>
      </c>
      <c r="EO82" s="221">
        <v>1.3996522</v>
      </c>
      <c r="EP82">
        <v>263.34393299999999</v>
      </c>
      <c r="EQ82">
        <v>189.37513100000001</v>
      </c>
      <c r="ER82">
        <v>16.603060899999999</v>
      </c>
      <c r="ES82">
        <v>14.5737975</v>
      </c>
      <c r="ET82">
        <v>8.9066565999999998</v>
      </c>
      <c r="EU82">
        <v>194.51239580000001</v>
      </c>
      <c r="EV82">
        <v>114.5909379</v>
      </c>
      <c r="EW82">
        <v>17.941308100000001</v>
      </c>
      <c r="EX82">
        <v>103.0786416</v>
      </c>
      <c r="EY82">
        <v>2.1297581999999999</v>
      </c>
      <c r="EZ82" s="223">
        <v>2324.4923859</v>
      </c>
      <c r="FA82">
        <v>8.4497180000000007</v>
      </c>
      <c r="FB82">
        <v>1.0228527999999999</v>
      </c>
      <c r="FC82">
        <v>2.0009412000000002</v>
      </c>
      <c r="FD82">
        <v>2.8565155999999998</v>
      </c>
      <c r="FE82">
        <v>1.2583092</v>
      </c>
      <c r="FF82">
        <v>1.6754682999999999</v>
      </c>
      <c r="FG82">
        <v>0.79485729999999999</v>
      </c>
      <c r="FH82">
        <v>1.1470977899999999</v>
      </c>
      <c r="FI82">
        <v>0.98201936999999995</v>
      </c>
      <c r="FJ82">
        <v>110.69343948</v>
      </c>
    </row>
    <row r="83" spans="1:166" x14ac:dyDescent="0.3">
      <c r="A83" s="223">
        <v>82</v>
      </c>
      <c r="B83" s="315">
        <v>42431</v>
      </c>
      <c r="C83" s="212">
        <v>1012987.7943</v>
      </c>
      <c r="D83" s="212">
        <v>104.63302197</v>
      </c>
      <c r="E83" s="212">
        <v>1.3433225</v>
      </c>
      <c r="F83" s="212">
        <v>6.8440880999999996</v>
      </c>
      <c r="G83" s="212">
        <v>4.6264086898999999</v>
      </c>
      <c r="H83" s="212">
        <v>3.7515480000000001</v>
      </c>
      <c r="I83" s="212">
        <v>1.0713480259999999</v>
      </c>
      <c r="J83" s="212">
        <v>4.4008320000000003</v>
      </c>
      <c r="K83" s="212">
        <v>3.1071840000000002</v>
      </c>
      <c r="L83" s="212">
        <v>10.669393702000001</v>
      </c>
      <c r="M83" s="212">
        <v>0.93558589599999997</v>
      </c>
      <c r="N83" s="212">
        <v>1.2637376920000001</v>
      </c>
      <c r="O83" s="212">
        <v>1.9602695269999999</v>
      </c>
      <c r="P83" s="212">
        <v>1.3527235769999999</v>
      </c>
      <c r="Q83" s="212">
        <v>1.5612379999999999</v>
      </c>
      <c r="R83" s="212">
        <v>1.790875201</v>
      </c>
      <c r="S83" s="212">
        <v>12.53087</v>
      </c>
      <c r="T83" s="212">
        <v>2.9606625200000001</v>
      </c>
      <c r="U83" s="212">
        <v>3.3371448859999999</v>
      </c>
      <c r="V83" s="212">
        <v>1.622563354</v>
      </c>
      <c r="W83" s="212">
        <v>1.372897314</v>
      </c>
      <c r="X83" s="212">
        <v>3.4660116830000001</v>
      </c>
      <c r="Y83" s="212">
        <v>1.878077</v>
      </c>
      <c r="Z83" s="212">
        <v>1.6287430000000001</v>
      </c>
      <c r="AA83" s="212">
        <v>1.3470802070000001</v>
      </c>
      <c r="AB83" s="212">
        <v>1.1418626359999999</v>
      </c>
      <c r="AC83" s="212">
        <v>1.1608815960000001</v>
      </c>
      <c r="AD83" s="212">
        <v>1.342002108</v>
      </c>
      <c r="AE83" s="212">
        <v>1.3399042800000001</v>
      </c>
      <c r="AF83" s="212">
        <v>1.3139941900000001</v>
      </c>
      <c r="AG83" s="212">
        <v>9.3508249449999994</v>
      </c>
      <c r="AH83" s="212">
        <v>1.7855342919999999</v>
      </c>
      <c r="AI83" s="212">
        <v>3.7999480000000001</v>
      </c>
      <c r="AJ83" s="212">
        <v>2.4147110000000001</v>
      </c>
      <c r="AK83" s="212">
        <v>197.14531493000001</v>
      </c>
      <c r="AL83" s="212">
        <v>1.1028172000000001</v>
      </c>
      <c r="AM83" s="212">
        <v>1.9232640999999999</v>
      </c>
      <c r="AN83" s="212">
        <v>8.6613576999999999</v>
      </c>
      <c r="AO83" s="212">
        <v>1.7801536</v>
      </c>
      <c r="AP83" s="212">
        <v>1.7742118</v>
      </c>
      <c r="AQ83" s="212">
        <v>2.4552032000000001</v>
      </c>
      <c r="AR83" s="212">
        <v>8.6258891000000002</v>
      </c>
      <c r="AS83" s="212">
        <v>360.57825500000001</v>
      </c>
      <c r="AT83" s="212">
        <v>1.1722707999999999</v>
      </c>
      <c r="AU83" s="212">
        <v>3.0317447999999998</v>
      </c>
      <c r="AV83" s="212">
        <v>2.5957976999999999</v>
      </c>
      <c r="AW83" s="212">
        <v>1.5847222999999999</v>
      </c>
      <c r="AX83" s="212">
        <v>1.2416647999999999</v>
      </c>
      <c r="AY83" s="212">
        <v>2.5741128</v>
      </c>
      <c r="AZ83" s="212" t="s">
        <v>830</v>
      </c>
      <c r="BA83" s="212">
        <v>1.8915438360000001</v>
      </c>
      <c r="BB83" s="212">
        <v>2.4625338999999999</v>
      </c>
      <c r="BC83" s="212">
        <v>3.0166390000000001</v>
      </c>
      <c r="BD83" s="212">
        <v>1.0690409999999999</v>
      </c>
      <c r="BE83" s="212">
        <v>1.052808</v>
      </c>
      <c r="BF83" s="212">
        <v>1.042184</v>
      </c>
      <c r="BG83" s="212">
        <v>1.063283</v>
      </c>
      <c r="BH83" s="212">
        <v>1.046821</v>
      </c>
      <c r="BI83" s="212">
        <v>1.2032830000000001</v>
      </c>
      <c r="BJ83" s="212">
        <v>1.091737</v>
      </c>
      <c r="BK83" s="212">
        <v>1.202188</v>
      </c>
      <c r="BL83" s="212">
        <v>1.1967319999999999</v>
      </c>
      <c r="BM83" s="212">
        <v>1.196175</v>
      </c>
      <c r="BN83" s="212">
        <v>1.065456</v>
      </c>
      <c r="BO83" s="212">
        <v>1.1449849999999999</v>
      </c>
      <c r="BP83" s="212">
        <v>2.6505749999999999</v>
      </c>
      <c r="BQ83" s="212">
        <v>1.37799</v>
      </c>
      <c r="BR83" s="212">
        <v>1.4808950000000001</v>
      </c>
      <c r="BS83" s="212">
        <v>1.279784</v>
      </c>
      <c r="BT83" s="212">
        <v>1.7657210000000001</v>
      </c>
      <c r="BU83" s="212">
        <v>1.7430289999999999</v>
      </c>
      <c r="BV83" s="212">
        <v>1.9226449999999999</v>
      </c>
      <c r="BW83" s="212">
        <v>1.7660499999999999</v>
      </c>
      <c r="BX83" s="212">
        <v>1.7379020000000001</v>
      </c>
      <c r="BY83" s="212">
        <v>1.728437</v>
      </c>
      <c r="BZ83" s="212">
        <v>1.986129</v>
      </c>
      <c r="CA83" s="212">
        <v>1.9170860000000001</v>
      </c>
      <c r="CB83" s="212">
        <v>1.9334579999999999</v>
      </c>
      <c r="CC83" s="212">
        <v>1.8727769999999999</v>
      </c>
      <c r="CD83" s="212">
        <v>1.8735999999999999</v>
      </c>
      <c r="CE83" s="212">
        <v>1.822991</v>
      </c>
      <c r="CF83" s="212">
        <v>1.1412990000000001</v>
      </c>
      <c r="CG83" s="212">
        <v>1.3245880000000001</v>
      </c>
      <c r="CH83" s="212">
        <v>1.3259110000000001</v>
      </c>
      <c r="CI83" s="212">
        <v>2.8685619999999998</v>
      </c>
      <c r="CJ83" s="212">
        <v>0.95862599999999998</v>
      </c>
      <c r="CK83" s="212">
        <v>1.039925</v>
      </c>
      <c r="CL83" s="212">
        <v>0.65500899999999995</v>
      </c>
      <c r="CM83" s="212">
        <v>2.9377620000000002</v>
      </c>
      <c r="CN83" s="212">
        <v>1.965204</v>
      </c>
      <c r="CO83" s="212">
        <v>1.031328</v>
      </c>
      <c r="CP83" s="212">
        <v>1.0177959999999999</v>
      </c>
      <c r="CQ83" s="212">
        <v>1.280756</v>
      </c>
      <c r="CR83" s="212">
        <v>13.915069000000001</v>
      </c>
      <c r="CS83" s="212">
        <v>4.3418599999999996</v>
      </c>
      <c r="CT83" s="212">
        <v>2.01031</v>
      </c>
      <c r="CU83" s="212">
        <v>5.2167909999999997</v>
      </c>
      <c r="CV83" s="212">
        <v>9.3327530000000003</v>
      </c>
      <c r="CW83" s="212" t="s">
        <v>830</v>
      </c>
      <c r="CX83" s="212">
        <v>1.2235819143</v>
      </c>
      <c r="CY83" s="212">
        <v>2.0588499047000002</v>
      </c>
      <c r="CZ83" s="212">
        <v>1.1750407496999999</v>
      </c>
      <c r="DA83" s="212">
        <v>14.500577377999999</v>
      </c>
      <c r="DB83" s="212">
        <v>1.0780799999999999</v>
      </c>
      <c r="DC83" s="212">
        <v>1.085043</v>
      </c>
      <c r="DD83" s="212">
        <v>1.9620660000000001</v>
      </c>
      <c r="DE83" s="212">
        <v>1.884088</v>
      </c>
      <c r="DF83" s="212">
        <v>1.7935270000000001</v>
      </c>
      <c r="DG83" s="212">
        <v>1.0583380899999999</v>
      </c>
      <c r="DH83" s="212">
        <v>126.1868054</v>
      </c>
      <c r="DI83" s="212">
        <v>0.25630131</v>
      </c>
      <c r="DJ83" s="212">
        <v>2.0772206999999998</v>
      </c>
      <c r="DK83" s="212">
        <v>1.89455814</v>
      </c>
      <c r="DL83" s="212">
        <v>153896.25531000001</v>
      </c>
      <c r="DM83" s="212">
        <v>330.04728720000003</v>
      </c>
      <c r="DN83" s="212">
        <v>16.039226800000002</v>
      </c>
      <c r="DO83" s="212" t="s">
        <v>830</v>
      </c>
      <c r="DP83" s="212">
        <v>18049741.552999999</v>
      </c>
      <c r="DQ83" s="212">
        <v>1.4548733</v>
      </c>
      <c r="DR83" s="212">
        <v>14.763337399999999</v>
      </c>
      <c r="DS83" s="212">
        <v>21.696539699999999</v>
      </c>
      <c r="DT83" s="212">
        <v>1.8664898999999999</v>
      </c>
      <c r="DU83" s="212">
        <v>1.0925769999999999</v>
      </c>
      <c r="DV83" s="212" t="s">
        <v>830</v>
      </c>
      <c r="DW83" s="212" t="s">
        <v>830</v>
      </c>
      <c r="DX83" s="212">
        <v>0.84120867499999996</v>
      </c>
      <c r="DY83" s="212">
        <v>10.322032</v>
      </c>
      <c r="DZ83" s="212">
        <v>227.24866700000001</v>
      </c>
      <c r="EA83" s="212">
        <v>18.399664000000001</v>
      </c>
      <c r="EB83" s="212">
        <v>21.427724000000001</v>
      </c>
      <c r="EC83" s="212">
        <v>19.870857000000001</v>
      </c>
      <c r="ED83" s="212">
        <v>2256.8570249999998</v>
      </c>
      <c r="EE83" s="212">
        <v>23.272696</v>
      </c>
      <c r="EF83" s="212">
        <v>34.605910000000002</v>
      </c>
      <c r="EG83" s="212">
        <v>1.4170970000000001</v>
      </c>
      <c r="EH83" s="212">
        <v>0.66145240000000005</v>
      </c>
      <c r="EI83" s="212">
        <v>1.0951991999999999</v>
      </c>
      <c r="EJ83" s="212" t="s">
        <v>830</v>
      </c>
      <c r="EK83" s="212">
        <v>1.6333359000000001</v>
      </c>
      <c r="EL83" s="212">
        <v>2.7423422999999998</v>
      </c>
      <c r="EM83">
        <v>1.2820783899999999</v>
      </c>
      <c r="EN83">
        <v>2.3447322499999999</v>
      </c>
      <c r="EO83" s="221">
        <v>1.3995862999999999</v>
      </c>
      <c r="EP83">
        <v>263.481852</v>
      </c>
      <c r="EQ83">
        <v>190.090869</v>
      </c>
      <c r="ER83">
        <v>16.618991900000001</v>
      </c>
      <c r="ES83">
        <v>14.633236500000001</v>
      </c>
      <c r="ET83">
        <v>8.9112299000000004</v>
      </c>
      <c r="EU83">
        <v>195.30612049999999</v>
      </c>
      <c r="EV83">
        <v>115.18053999999999</v>
      </c>
      <c r="EW83">
        <v>17.948304</v>
      </c>
      <c r="EX83">
        <v>103.128294</v>
      </c>
      <c r="EY83">
        <v>2.2787882000000002</v>
      </c>
      <c r="EZ83" s="223">
        <v>2325.6353057000001</v>
      </c>
      <c r="FA83">
        <v>8.4533380000000005</v>
      </c>
      <c r="FB83">
        <v>1.0332254000000001</v>
      </c>
      <c r="FC83">
        <v>2.0090629</v>
      </c>
      <c r="FD83">
        <v>2.8578806999999999</v>
      </c>
      <c r="FE83">
        <v>1.2588220999999999</v>
      </c>
      <c r="FF83">
        <v>1.6785391999999999</v>
      </c>
      <c r="FG83">
        <v>0.79973799000000001</v>
      </c>
      <c r="FH83">
        <v>1.14750793</v>
      </c>
      <c r="FI83">
        <v>0.98194068999999995</v>
      </c>
      <c r="FJ83">
        <v>112.05818986</v>
      </c>
    </row>
    <row r="84" spans="1:166" x14ac:dyDescent="0.3">
      <c r="A84" s="223">
        <v>83</v>
      </c>
      <c r="B84" s="315">
        <v>42432</v>
      </c>
      <c r="C84" s="212">
        <v>1012921.3121</v>
      </c>
      <c r="D84" s="212">
        <v>104.62973418999999</v>
      </c>
      <c r="E84" s="212">
        <v>1.3467979999999999</v>
      </c>
      <c r="F84" s="212">
        <v>6.8343362000000001</v>
      </c>
      <c r="G84" s="212">
        <v>4.6463825188000003</v>
      </c>
      <c r="H84" s="212">
        <v>3.9211354620000001</v>
      </c>
      <c r="I84" s="212">
        <v>1.089293885</v>
      </c>
      <c r="J84" s="212">
        <v>4.4030420000000001</v>
      </c>
      <c r="K84" s="212">
        <v>3.1083090000000002</v>
      </c>
      <c r="L84" s="212">
        <v>10.673670166999999</v>
      </c>
      <c r="M84" s="212">
        <v>0.95479007699999996</v>
      </c>
      <c r="N84" s="212">
        <v>1.307351092</v>
      </c>
      <c r="O84" s="212">
        <v>1.9527791290000001</v>
      </c>
      <c r="P84" s="212">
        <v>1.3564817680000001</v>
      </c>
      <c r="Q84" s="212">
        <v>1.5619940000000001</v>
      </c>
      <c r="R84" s="212">
        <v>1.79027162</v>
      </c>
      <c r="S84" s="212">
        <v>12.528783000000001</v>
      </c>
      <c r="T84" s="212">
        <v>2.9990893980000002</v>
      </c>
      <c r="U84" s="212">
        <v>3.3823653259999999</v>
      </c>
      <c r="V84" s="212">
        <v>1.65914293</v>
      </c>
      <c r="W84" s="212">
        <v>1.3810928149999999</v>
      </c>
      <c r="X84" s="212">
        <v>3.4783264520000001</v>
      </c>
      <c r="Y84" s="212">
        <v>1.879132</v>
      </c>
      <c r="Z84" s="212">
        <v>1.6295470000000001</v>
      </c>
      <c r="AA84" s="212">
        <v>1.360423677</v>
      </c>
      <c r="AB84" s="212">
        <v>1.1418160239999999</v>
      </c>
      <c r="AC84" s="212">
        <v>1.161779203</v>
      </c>
      <c r="AD84" s="212">
        <v>1.3429393590000001</v>
      </c>
      <c r="AE84" s="212">
        <v>1.340840566</v>
      </c>
      <c r="AF84" s="212">
        <v>1.3235341350000001</v>
      </c>
      <c r="AG84" s="212">
        <v>9.3554753880000003</v>
      </c>
      <c r="AH84" s="212">
        <v>1.7858884820000001</v>
      </c>
      <c r="AI84" s="212">
        <v>3.8019630000000002</v>
      </c>
      <c r="AJ84" s="212">
        <v>2.4394969999999998</v>
      </c>
      <c r="AK84" s="212">
        <v>197.48514639999999</v>
      </c>
      <c r="AL84" s="212">
        <v>1.1011465</v>
      </c>
      <c r="AM84" s="212">
        <v>1.9493617999999999</v>
      </c>
      <c r="AN84" s="212">
        <v>8.6657758999999999</v>
      </c>
      <c r="AO84" s="212">
        <v>1.7809185999999999</v>
      </c>
      <c r="AP84" s="212">
        <v>1.7749803</v>
      </c>
      <c r="AQ84" s="212">
        <v>2.4564360000000001</v>
      </c>
      <c r="AR84" s="212">
        <v>8.6300001999999996</v>
      </c>
      <c r="AS84" s="212">
        <v>379.08080710000002</v>
      </c>
      <c r="AT84" s="212">
        <v>1.1910095000000001</v>
      </c>
      <c r="AU84" s="212">
        <v>3.0330970000000002</v>
      </c>
      <c r="AV84" s="212">
        <v>2.6292806</v>
      </c>
      <c r="AW84" s="212">
        <v>1.6203327999999999</v>
      </c>
      <c r="AX84" s="212">
        <v>1.2410128</v>
      </c>
      <c r="AY84" s="212">
        <v>2.5886477000000001</v>
      </c>
      <c r="AZ84" s="212" t="s">
        <v>830</v>
      </c>
      <c r="BA84" s="212">
        <v>1.8925078259999999</v>
      </c>
      <c r="BB84" s="212">
        <v>2.4956982000000001</v>
      </c>
      <c r="BC84" s="212">
        <v>3.018275</v>
      </c>
      <c r="BD84" s="212">
        <v>1.069075</v>
      </c>
      <c r="BE84" s="212">
        <v>1.0528409999999999</v>
      </c>
      <c r="BF84" s="212">
        <v>1.042216</v>
      </c>
      <c r="BG84" s="212">
        <v>1.0633159999999999</v>
      </c>
      <c r="BH84" s="212">
        <v>1.046853</v>
      </c>
      <c r="BI84" s="212">
        <v>1.2041249999999999</v>
      </c>
      <c r="BJ84" s="212">
        <v>1.0912170000000001</v>
      </c>
      <c r="BK84" s="212">
        <v>1.2037869999999999</v>
      </c>
      <c r="BL84" s="212">
        <v>1.1975659999999999</v>
      </c>
      <c r="BM84" s="212">
        <v>1.197014</v>
      </c>
      <c r="BN84" s="212">
        <v>1.076857</v>
      </c>
      <c r="BO84" s="212">
        <v>1.1687149999999999</v>
      </c>
      <c r="BP84" s="212">
        <v>2.6519430000000002</v>
      </c>
      <c r="BQ84" s="212">
        <v>1.3786670000000001</v>
      </c>
      <c r="BR84" s="212">
        <v>1.4806330000000001</v>
      </c>
      <c r="BS84" s="212">
        <v>1.308216</v>
      </c>
      <c r="BT84" s="212">
        <v>1.775719</v>
      </c>
      <c r="BU84" s="212">
        <v>1.74424</v>
      </c>
      <c r="BV84" s="212">
        <v>1.923916</v>
      </c>
      <c r="BW84" s="212">
        <v>1.7672479999999999</v>
      </c>
      <c r="BX84" s="212">
        <v>1.7391479999999999</v>
      </c>
      <c r="BY84" s="212">
        <v>1.7297210000000001</v>
      </c>
      <c r="BZ84" s="212">
        <v>1.987493</v>
      </c>
      <c r="CA84" s="212">
        <v>1.918356</v>
      </c>
      <c r="CB84" s="212">
        <v>1.934876</v>
      </c>
      <c r="CC84" s="212">
        <v>1.8740140000000001</v>
      </c>
      <c r="CD84" s="212">
        <v>1.8748359999999999</v>
      </c>
      <c r="CE84" s="212">
        <v>1.824195</v>
      </c>
      <c r="CF84" s="212">
        <v>1.142144</v>
      </c>
      <c r="CG84" s="212">
        <v>1.332273</v>
      </c>
      <c r="CH84" s="212">
        <v>1.3304640000000001</v>
      </c>
      <c r="CI84" s="212">
        <v>2.870946</v>
      </c>
      <c r="CJ84" s="212">
        <v>1.0076849999999999</v>
      </c>
      <c r="CK84" s="212">
        <v>1.093038</v>
      </c>
      <c r="CL84" s="212">
        <v>0.67597399999999996</v>
      </c>
      <c r="CM84" s="212">
        <v>3.086929</v>
      </c>
      <c r="CN84" s="212">
        <v>1.927808</v>
      </c>
      <c r="CO84" s="212">
        <v>1.0446470000000001</v>
      </c>
      <c r="CP84" s="212">
        <v>1.0247850000000001</v>
      </c>
      <c r="CQ84" s="212">
        <v>1.281412</v>
      </c>
      <c r="CR84" s="212">
        <v>13.921177</v>
      </c>
      <c r="CS84" s="212">
        <v>4.3438920000000003</v>
      </c>
      <c r="CT84" s="212">
        <v>2.0357699999999999</v>
      </c>
      <c r="CU84" s="212">
        <v>5.2184920000000004</v>
      </c>
      <c r="CV84" s="212">
        <v>9.3368959999999994</v>
      </c>
      <c r="CW84" s="212" t="s">
        <v>830</v>
      </c>
      <c r="CX84" s="212">
        <v>1.2241637484000001</v>
      </c>
      <c r="CY84" s="212">
        <v>2.0686293510999998</v>
      </c>
      <c r="CZ84" s="212">
        <v>1.1756860818999999</v>
      </c>
      <c r="DA84" s="212">
        <v>14.507158762</v>
      </c>
      <c r="DB84" s="212">
        <v>1.0781130000000001</v>
      </c>
      <c r="DC84" s="212">
        <v>1.084527</v>
      </c>
      <c r="DD84" s="212">
        <v>1.9617690000000001</v>
      </c>
      <c r="DE84" s="212">
        <v>1.909381</v>
      </c>
      <c r="DF84" s="212">
        <v>1.7945420000000001</v>
      </c>
      <c r="DG84" s="212">
        <v>1.06303854</v>
      </c>
      <c r="DH84" s="212">
        <v>126.25919911</v>
      </c>
      <c r="DI84" s="212">
        <v>0.25643644999999998</v>
      </c>
      <c r="DJ84" s="212">
        <v>2.0781643000000001</v>
      </c>
      <c r="DK84" s="212">
        <v>1.8951188400000001</v>
      </c>
      <c r="DL84" s="212">
        <v>153997.17541</v>
      </c>
      <c r="DM84" s="212">
        <v>330.2131134</v>
      </c>
      <c r="DN84" s="212">
        <v>16.030665299999999</v>
      </c>
      <c r="DO84" s="212" t="s">
        <v>830</v>
      </c>
      <c r="DP84" s="212">
        <v>18048560.495999999</v>
      </c>
      <c r="DQ84" s="212">
        <v>1.4112549999999999</v>
      </c>
      <c r="DR84" s="212">
        <v>14.7697994</v>
      </c>
      <c r="DS84" s="212">
        <v>21.7076478</v>
      </c>
      <c r="DT84" s="212">
        <v>1.8782000999999999</v>
      </c>
      <c r="DU84" s="212">
        <v>1.1127931</v>
      </c>
      <c r="DV84" s="212" t="s">
        <v>830</v>
      </c>
      <c r="DW84" s="212" t="s">
        <v>830</v>
      </c>
      <c r="DX84" s="212">
        <v>0.84832057000000005</v>
      </c>
      <c r="DY84" s="212">
        <v>10.757567999999999</v>
      </c>
      <c r="DZ84" s="212">
        <v>227.38315800000001</v>
      </c>
      <c r="EA84" s="212">
        <v>18.466698999999998</v>
      </c>
      <c r="EB84" s="212">
        <v>21.424282000000002</v>
      </c>
      <c r="EC84" s="212">
        <v>20.135044000000001</v>
      </c>
      <c r="ED84" s="212">
        <v>2258.0523880000001</v>
      </c>
      <c r="EE84" s="212">
        <v>23.283308000000002</v>
      </c>
      <c r="EF84" s="212">
        <v>34.623344000000003</v>
      </c>
      <c r="EG84" s="212">
        <v>1.4465642999999999</v>
      </c>
      <c r="EH84" s="212">
        <v>0.66165470000000004</v>
      </c>
      <c r="EI84" s="212">
        <v>1.0915037000000001</v>
      </c>
      <c r="EJ84" s="212" t="s">
        <v>830</v>
      </c>
      <c r="EK84" s="212">
        <v>1.6357446</v>
      </c>
      <c r="EL84" s="212">
        <v>2.7463864</v>
      </c>
      <c r="EM84">
        <v>1.28221385</v>
      </c>
      <c r="EN84">
        <v>2.3464503400000001</v>
      </c>
      <c r="EO84" s="221">
        <v>1.4002226</v>
      </c>
      <c r="EP84">
        <v>263.61769500000003</v>
      </c>
      <c r="EQ84">
        <v>192.25960699999999</v>
      </c>
      <c r="ER84">
        <v>16.616524900000002</v>
      </c>
      <c r="ES84">
        <v>14.828654500000001</v>
      </c>
      <c r="ET84">
        <v>8.9157606999999999</v>
      </c>
      <c r="EU84">
        <v>197.91254369999999</v>
      </c>
      <c r="EV84">
        <v>115.9246631</v>
      </c>
      <c r="EW84">
        <v>17.957941099999999</v>
      </c>
      <c r="EX84">
        <v>103.1772819</v>
      </c>
      <c r="EY84">
        <v>2.5627130999999999</v>
      </c>
      <c r="EZ84" s="223">
        <v>2326.7837509000001</v>
      </c>
      <c r="FA84">
        <v>8.4568209999999997</v>
      </c>
      <c r="FB84">
        <v>1.0621973</v>
      </c>
      <c r="FC84">
        <v>2.0346544</v>
      </c>
      <c r="FD84">
        <v>2.8592852</v>
      </c>
      <c r="FE84">
        <v>1.2596206999999999</v>
      </c>
      <c r="FF84">
        <v>1.6840206</v>
      </c>
      <c r="FG84">
        <v>0.81809476000000003</v>
      </c>
      <c r="FH84">
        <v>1.14950368</v>
      </c>
      <c r="FI84">
        <v>0.98186202</v>
      </c>
      <c r="FJ84">
        <v>113.26099317000001</v>
      </c>
    </row>
    <row r="85" spans="1:166" x14ac:dyDescent="0.3">
      <c r="A85" s="223">
        <v>84</v>
      </c>
      <c r="B85" s="315">
        <v>42433</v>
      </c>
      <c r="C85" s="212">
        <v>1012855.1519000001</v>
      </c>
      <c r="D85" s="212">
        <v>104.59958265</v>
      </c>
      <c r="E85" s="212">
        <v>1.3090885999999999</v>
      </c>
      <c r="F85" s="212">
        <v>6.9526557000000002</v>
      </c>
      <c r="G85" s="212">
        <v>4.7101471647000004</v>
      </c>
      <c r="H85" s="212">
        <v>4.0293535230000002</v>
      </c>
      <c r="I85" s="212">
        <v>1.1104434910000001</v>
      </c>
      <c r="J85" s="212">
        <v>4.4052860000000003</v>
      </c>
      <c r="K85" s="212">
        <v>3.1094469999999998</v>
      </c>
      <c r="L85" s="212">
        <v>10.678254781</v>
      </c>
      <c r="M85" s="212">
        <v>0.97689201199999998</v>
      </c>
      <c r="N85" s="212">
        <v>1.340614202</v>
      </c>
      <c r="O85" s="212">
        <v>1.9454882019999999</v>
      </c>
      <c r="P85" s="212">
        <v>1.3587718360000001</v>
      </c>
      <c r="Q85" s="212">
        <v>1.562748</v>
      </c>
      <c r="R85" s="212">
        <v>1.7912351710000001</v>
      </c>
      <c r="S85" s="212">
        <v>12.531094</v>
      </c>
      <c r="T85" s="212">
        <v>3.0252911039999999</v>
      </c>
      <c r="U85" s="212">
        <v>3.4133720620000001</v>
      </c>
      <c r="V85" s="212">
        <v>1.6843194530000001</v>
      </c>
      <c r="W85" s="212">
        <v>1.3881521459999999</v>
      </c>
      <c r="X85" s="212">
        <v>3.4952405770000001</v>
      </c>
      <c r="Y85" s="212">
        <v>1.880004</v>
      </c>
      <c r="Z85" s="212">
        <v>1.6304019999999999</v>
      </c>
      <c r="AA85" s="212">
        <v>1.366887108</v>
      </c>
      <c r="AB85" s="212">
        <v>1.142409829</v>
      </c>
      <c r="AC85" s="212">
        <v>1.1629616540000001</v>
      </c>
      <c r="AD85" s="212">
        <v>1.3438772670000001</v>
      </c>
      <c r="AE85" s="212">
        <v>1.3417774760000001</v>
      </c>
      <c r="AF85" s="212">
        <v>1.3298518429999999</v>
      </c>
      <c r="AG85" s="212">
        <v>9.3601588880000008</v>
      </c>
      <c r="AH85" s="212">
        <v>1.7868556799999999</v>
      </c>
      <c r="AI85" s="212">
        <v>3.8038759999999998</v>
      </c>
      <c r="AJ85" s="212">
        <v>2.4568859999999999</v>
      </c>
      <c r="AK85" s="212">
        <v>197.70241003000001</v>
      </c>
      <c r="AL85" s="212">
        <v>1.0998675</v>
      </c>
      <c r="AM85" s="212">
        <v>1.9676885</v>
      </c>
      <c r="AN85" s="212">
        <v>8.6702537999999993</v>
      </c>
      <c r="AO85" s="212">
        <v>1.7819103999999999</v>
      </c>
      <c r="AP85" s="212">
        <v>1.7759837999999999</v>
      </c>
      <c r="AQ85" s="212">
        <v>2.4576718999999998</v>
      </c>
      <c r="AR85" s="212">
        <v>8.6343186000000003</v>
      </c>
      <c r="AS85" s="212">
        <v>394.2884823</v>
      </c>
      <c r="AT85" s="212">
        <v>1.195263</v>
      </c>
      <c r="AU85" s="212">
        <v>3.0345224000000002</v>
      </c>
      <c r="AV85" s="212">
        <v>2.6519349000000001</v>
      </c>
      <c r="AW85" s="212">
        <v>1.6446346000000001</v>
      </c>
      <c r="AX85" s="212">
        <v>1.2407592000000001</v>
      </c>
      <c r="AY85" s="212">
        <v>2.6016712000000002</v>
      </c>
      <c r="AZ85" s="212" t="s">
        <v>830</v>
      </c>
      <c r="BA85" s="212">
        <v>1.8934709869999999</v>
      </c>
      <c r="BB85" s="212">
        <v>2.5171747999999998</v>
      </c>
      <c r="BC85" s="212">
        <v>3.0198870000000002</v>
      </c>
      <c r="BD85" s="212">
        <v>1.069531</v>
      </c>
      <c r="BE85" s="212">
        <v>1.053291</v>
      </c>
      <c r="BF85" s="212">
        <v>1.0426610000000001</v>
      </c>
      <c r="BG85" s="212">
        <v>1.0637700000000001</v>
      </c>
      <c r="BH85" s="212">
        <v>1.0472999999999999</v>
      </c>
      <c r="BI85" s="212">
        <v>1.204968</v>
      </c>
      <c r="BJ85" s="212">
        <v>1.0923929999999999</v>
      </c>
      <c r="BK85" s="212">
        <v>1.204296</v>
      </c>
      <c r="BL85" s="212">
        <v>1.198402</v>
      </c>
      <c r="BM85" s="212">
        <v>1.1978530000000001</v>
      </c>
      <c r="BN85" s="212">
        <v>1.0819879999999999</v>
      </c>
      <c r="BO85" s="212">
        <v>1.1852739999999999</v>
      </c>
      <c r="BP85" s="212">
        <v>2.653321</v>
      </c>
      <c r="BQ85" s="212">
        <v>1.379343</v>
      </c>
      <c r="BR85" s="212">
        <v>1.481412</v>
      </c>
      <c r="BS85" s="212">
        <v>1.327531</v>
      </c>
      <c r="BT85" s="212">
        <v>1.7846150000000001</v>
      </c>
      <c r="BU85" s="212">
        <v>1.7451410000000001</v>
      </c>
      <c r="BV85" s="212">
        <v>1.925189</v>
      </c>
      <c r="BW85" s="212">
        <v>1.768408</v>
      </c>
      <c r="BX85" s="212">
        <v>1.7404109999999999</v>
      </c>
      <c r="BY85" s="212">
        <v>1.7310239999999999</v>
      </c>
      <c r="BZ85" s="212">
        <v>1.9887919999999999</v>
      </c>
      <c r="CA85" s="212">
        <v>1.919627</v>
      </c>
      <c r="CB85" s="212">
        <v>1.9362950000000001</v>
      </c>
      <c r="CC85" s="212">
        <v>1.8752519999999999</v>
      </c>
      <c r="CD85" s="212">
        <v>1.8760730000000001</v>
      </c>
      <c r="CE85" s="212">
        <v>1.825342</v>
      </c>
      <c r="CF85" s="212">
        <v>1.1472640000000001</v>
      </c>
      <c r="CG85" s="212">
        <v>1.3435140000000001</v>
      </c>
      <c r="CH85" s="212">
        <v>1.3369470000000001</v>
      </c>
      <c r="CI85" s="212">
        <v>2.8716650000000001</v>
      </c>
      <c r="CJ85" s="212">
        <v>1.0499069999999999</v>
      </c>
      <c r="CK85" s="212">
        <v>1.13873</v>
      </c>
      <c r="CL85" s="212">
        <v>0.69433699999999998</v>
      </c>
      <c r="CM85" s="212">
        <v>3.2109760000000001</v>
      </c>
      <c r="CN85" s="212">
        <v>1.9086730000000001</v>
      </c>
      <c r="CO85" s="212">
        <v>1.0446470000000001</v>
      </c>
      <c r="CP85" s="212">
        <v>1.047569</v>
      </c>
      <c r="CQ85" s="212">
        <v>1.282073</v>
      </c>
      <c r="CR85" s="212">
        <v>13.92746</v>
      </c>
      <c r="CS85" s="212">
        <v>4.3459269999999997</v>
      </c>
      <c r="CT85" s="212">
        <v>2.0538259999999999</v>
      </c>
      <c r="CU85" s="212">
        <v>5.2201950000000004</v>
      </c>
      <c r="CV85" s="212">
        <v>9.341132</v>
      </c>
      <c r="CW85" s="212" t="s">
        <v>830</v>
      </c>
      <c r="CX85" s="212">
        <v>1.2247810779999999</v>
      </c>
      <c r="CY85" s="212">
        <v>2.0999584040000001</v>
      </c>
      <c r="CZ85" s="212">
        <v>1.1762518342999999</v>
      </c>
      <c r="DA85" s="212">
        <v>14.514098732000001</v>
      </c>
      <c r="DB85" s="212">
        <v>1.0785739999999999</v>
      </c>
      <c r="DC85" s="212">
        <v>1.0856969999999999</v>
      </c>
      <c r="DD85" s="212">
        <v>1.9620919999999999</v>
      </c>
      <c r="DE85" s="212">
        <v>1.9270229999999999</v>
      </c>
      <c r="DF85" s="212">
        <v>1.79539</v>
      </c>
      <c r="DG85" s="212">
        <v>1.0670454700000001</v>
      </c>
      <c r="DH85" s="212">
        <v>126.33317986</v>
      </c>
      <c r="DI85" s="212">
        <v>0.25664709000000002</v>
      </c>
      <c r="DJ85" s="212">
        <v>2.0791183000000002</v>
      </c>
      <c r="DK85" s="212">
        <v>1.8951157599999999</v>
      </c>
      <c r="DL85" s="212">
        <v>154098.16169000001</v>
      </c>
      <c r="DM85" s="212">
        <v>330.37928849999997</v>
      </c>
      <c r="DN85" s="212">
        <v>16.039892900000002</v>
      </c>
      <c r="DO85" s="212" t="s">
        <v>830</v>
      </c>
      <c r="DP85" s="212">
        <v>18047379.517999999</v>
      </c>
      <c r="DQ85" s="212">
        <v>1.4365307</v>
      </c>
      <c r="DR85" s="212">
        <v>14.776397299999999</v>
      </c>
      <c r="DS85" s="212">
        <v>21.7189686</v>
      </c>
      <c r="DT85" s="212">
        <v>1.8868072</v>
      </c>
      <c r="DU85" s="212">
        <v>1.1419637</v>
      </c>
      <c r="DV85" s="212" t="s">
        <v>830</v>
      </c>
      <c r="DW85" s="212" t="s">
        <v>830</v>
      </c>
      <c r="DX85" s="212">
        <v>0.84705248499999997</v>
      </c>
      <c r="DY85" s="212">
        <v>11.121902</v>
      </c>
      <c r="DZ85" s="212">
        <v>227.51093599999999</v>
      </c>
      <c r="EA85" s="212">
        <v>18.556713999999999</v>
      </c>
      <c r="EB85" s="212">
        <v>21.428111999999999</v>
      </c>
      <c r="EC85" s="212">
        <v>20.317855999999999</v>
      </c>
      <c r="ED85" s="212">
        <v>2259.2357980000002</v>
      </c>
      <c r="EE85" s="212">
        <v>23.296507999999999</v>
      </c>
      <c r="EF85" s="212">
        <v>34.641013000000001</v>
      </c>
      <c r="EG85" s="212">
        <v>1.4667512</v>
      </c>
      <c r="EH85" s="212">
        <v>0.66185769999999999</v>
      </c>
      <c r="EI85" s="212">
        <v>1.0968036000000001</v>
      </c>
      <c r="EJ85" s="212" t="s">
        <v>830</v>
      </c>
      <c r="EK85" s="212">
        <v>1.6349359000000001</v>
      </c>
      <c r="EL85" s="212">
        <v>2.7450283</v>
      </c>
      <c r="EM85">
        <v>1.28234578</v>
      </c>
      <c r="EN85">
        <v>2.3481696699999999</v>
      </c>
      <c r="EO85" s="221">
        <v>1.4008579000000001</v>
      </c>
      <c r="EP85">
        <v>263.89746400000001</v>
      </c>
      <c r="EQ85">
        <v>193.78892500000001</v>
      </c>
      <c r="ER85">
        <v>16.6198084</v>
      </c>
      <c r="ES85">
        <v>14.963620499999999</v>
      </c>
      <c r="ET85">
        <v>8.9201943999999997</v>
      </c>
      <c r="EU85">
        <v>199.7120773</v>
      </c>
      <c r="EV85">
        <v>117.0789623</v>
      </c>
      <c r="EW85">
        <v>17.966124099999998</v>
      </c>
      <c r="EX85">
        <v>103.22514580000001</v>
      </c>
      <c r="EY85">
        <v>2.8052845</v>
      </c>
      <c r="EZ85" s="223">
        <v>2327.9005474999999</v>
      </c>
      <c r="FA85">
        <v>8.4603509999999993</v>
      </c>
      <c r="FB85">
        <v>1.0923931</v>
      </c>
      <c r="FC85">
        <v>2.0519088999999999</v>
      </c>
      <c r="FD85">
        <v>2.8607149999999999</v>
      </c>
      <c r="FE85">
        <v>1.2602637000000001</v>
      </c>
      <c r="FF85">
        <v>1.691381</v>
      </c>
      <c r="FG85">
        <v>0.83717306999999996</v>
      </c>
      <c r="FH85">
        <v>1.1502595099999999</v>
      </c>
      <c r="FI85">
        <v>0.98179762000000004</v>
      </c>
      <c r="FJ85">
        <v>115.33205528000001</v>
      </c>
    </row>
    <row r="86" spans="1:166" x14ac:dyDescent="0.3">
      <c r="A86" s="223">
        <v>85</v>
      </c>
      <c r="B86" s="315">
        <v>42436</v>
      </c>
      <c r="C86" s="212">
        <v>1012789.0263</v>
      </c>
      <c r="D86" s="212">
        <v>104.60552753</v>
      </c>
      <c r="E86" s="212">
        <v>1.3037080000000001</v>
      </c>
      <c r="F86" s="212">
        <v>6.9476468999999996</v>
      </c>
      <c r="G86" s="212">
        <v>4.7559472214999996</v>
      </c>
      <c r="H86" s="212">
        <v>3.9679525619999998</v>
      </c>
      <c r="I86" s="212">
        <v>1.11147408</v>
      </c>
      <c r="J86" s="212">
        <v>4.4075170000000004</v>
      </c>
      <c r="K86" s="212">
        <v>3.110589</v>
      </c>
      <c r="L86" s="212">
        <v>10.682367387999999</v>
      </c>
      <c r="M86" s="212">
        <v>0.977093137</v>
      </c>
      <c r="N86" s="212">
        <v>1.3422891299999999</v>
      </c>
      <c r="O86" s="212">
        <v>1.94276867</v>
      </c>
      <c r="P86" s="212">
        <v>1.350611453</v>
      </c>
      <c r="Q86" s="212">
        <v>1.5635049999999999</v>
      </c>
      <c r="R86" s="212">
        <v>1.785417448</v>
      </c>
      <c r="S86" s="212">
        <v>12.496199000000001</v>
      </c>
      <c r="T86" s="212">
        <v>3.0003941589999998</v>
      </c>
      <c r="U86" s="212">
        <v>3.3855499490000001</v>
      </c>
      <c r="V86" s="212">
        <v>1.664786415</v>
      </c>
      <c r="W86" s="212">
        <v>1.383206049</v>
      </c>
      <c r="X86" s="212">
        <v>3.4858855480000002</v>
      </c>
      <c r="Y86" s="212">
        <v>1.8805719999999999</v>
      </c>
      <c r="Z86" s="212">
        <v>1.6311789999999999</v>
      </c>
      <c r="AA86" s="212">
        <v>1.3550626429999999</v>
      </c>
      <c r="AB86" s="212">
        <v>1.141872271</v>
      </c>
      <c r="AC86" s="212">
        <v>1.1597145550000001</v>
      </c>
      <c r="AD86" s="212">
        <v>1.344815739</v>
      </c>
      <c r="AE86" s="212">
        <v>1.3427150859999999</v>
      </c>
      <c r="AF86" s="212">
        <v>1.318003405</v>
      </c>
      <c r="AG86" s="212">
        <v>9.3647643929999997</v>
      </c>
      <c r="AH86" s="212">
        <v>1.787386497</v>
      </c>
      <c r="AI86" s="212">
        <v>3.8051910000000002</v>
      </c>
      <c r="AJ86" s="212">
        <v>2.4390890000000001</v>
      </c>
      <c r="AK86" s="212">
        <v>197.77701775</v>
      </c>
      <c r="AL86" s="212">
        <v>1.0958148000000001</v>
      </c>
      <c r="AM86" s="212">
        <v>1.9514003</v>
      </c>
      <c r="AN86" s="212">
        <v>8.6748036000000006</v>
      </c>
      <c r="AO86" s="212">
        <v>1.7827310000000001</v>
      </c>
      <c r="AP86" s="212">
        <v>1.7768120000000001</v>
      </c>
      <c r="AQ86" s="212">
        <v>2.4589259000000001</v>
      </c>
      <c r="AR86" s="212">
        <v>8.6387750000000008</v>
      </c>
      <c r="AS86" s="212">
        <v>395.5698524</v>
      </c>
      <c r="AT86" s="212">
        <v>1.1958879</v>
      </c>
      <c r="AU86" s="212">
        <v>3.0359962999999999</v>
      </c>
      <c r="AV86" s="212">
        <v>2.6302108</v>
      </c>
      <c r="AW86" s="212">
        <v>1.6259337</v>
      </c>
      <c r="AX86" s="212">
        <v>1.2374508</v>
      </c>
      <c r="AY86" s="212">
        <v>2.5917504999999998</v>
      </c>
      <c r="AZ86" s="212" t="s">
        <v>830</v>
      </c>
      <c r="BA86" s="212">
        <v>1.8944149459999999</v>
      </c>
      <c r="BB86" s="212">
        <v>2.4973912999999999</v>
      </c>
      <c r="BC86" s="212">
        <v>3.021131</v>
      </c>
      <c r="BD86" s="212">
        <v>1.0697449999999999</v>
      </c>
      <c r="BE86" s="212">
        <v>1.053501</v>
      </c>
      <c r="BF86" s="212">
        <v>1.0428679999999999</v>
      </c>
      <c r="BG86" s="212">
        <v>1.063982</v>
      </c>
      <c r="BH86" s="212">
        <v>1.0475099999999999</v>
      </c>
      <c r="BI86" s="212">
        <v>1.205811</v>
      </c>
      <c r="BJ86" s="212">
        <v>1.087485</v>
      </c>
      <c r="BK86" s="212">
        <v>1.1976830000000001</v>
      </c>
      <c r="BL86" s="212">
        <v>1.199238</v>
      </c>
      <c r="BM86" s="212">
        <v>1.198693</v>
      </c>
      <c r="BN86" s="212">
        <v>1.071501</v>
      </c>
      <c r="BO86" s="212">
        <v>1.173977</v>
      </c>
      <c r="BP86" s="212">
        <v>2.654703</v>
      </c>
      <c r="BQ86" s="212">
        <v>1.38002</v>
      </c>
      <c r="BR86" s="212">
        <v>1.476901</v>
      </c>
      <c r="BS86" s="212">
        <v>1.312635</v>
      </c>
      <c r="BT86" s="212">
        <v>1.7783230000000001</v>
      </c>
      <c r="BU86" s="212">
        <v>1.746351</v>
      </c>
      <c r="BV86" s="212">
        <v>1.9264619999999999</v>
      </c>
      <c r="BW86" s="212">
        <v>1.769604</v>
      </c>
      <c r="BX86" s="212">
        <v>1.741655</v>
      </c>
      <c r="BY86" s="212">
        <v>1.732305</v>
      </c>
      <c r="BZ86" s="212">
        <v>1.990156</v>
      </c>
      <c r="CA86" s="212">
        <v>1.920898</v>
      </c>
      <c r="CB86" s="212">
        <v>1.937711</v>
      </c>
      <c r="CC86" s="212">
        <v>1.8764909999999999</v>
      </c>
      <c r="CD86" s="212">
        <v>1.877311</v>
      </c>
      <c r="CE86" s="212">
        <v>1.8265439999999999</v>
      </c>
      <c r="CF86" s="212">
        <v>1.1481049999999999</v>
      </c>
      <c r="CG86" s="212">
        <v>1.336954</v>
      </c>
      <c r="CH86" s="212">
        <v>1.3335090000000001</v>
      </c>
      <c r="CI86" s="212">
        <v>2.8728120000000001</v>
      </c>
      <c r="CJ86" s="212">
        <v>1.0509679999999999</v>
      </c>
      <c r="CK86" s="212">
        <v>1.1399509999999999</v>
      </c>
      <c r="CL86" s="212">
        <v>0.69404500000000002</v>
      </c>
      <c r="CM86" s="212">
        <v>3.2189809999999999</v>
      </c>
      <c r="CN86" s="212">
        <v>1.9110549999999999</v>
      </c>
      <c r="CO86" s="212">
        <v>1.0446470000000001</v>
      </c>
      <c r="CP86" s="212">
        <v>1.0422260000000001</v>
      </c>
      <c r="CQ86" s="212">
        <v>1.2827249999999999</v>
      </c>
      <c r="CR86" s="212">
        <v>13.933508</v>
      </c>
      <c r="CS86" s="212">
        <v>4.3478770000000004</v>
      </c>
      <c r="CT86" s="212">
        <v>2.0397599999999998</v>
      </c>
      <c r="CU86" s="212">
        <v>5.2218989999999996</v>
      </c>
      <c r="CV86" s="212">
        <v>9.3452389999999994</v>
      </c>
      <c r="CW86" s="212" t="s">
        <v>830</v>
      </c>
      <c r="CX86" s="212">
        <v>1.2254048478999999</v>
      </c>
      <c r="CY86" s="212">
        <v>2.1221373364999998</v>
      </c>
      <c r="CZ86" s="212">
        <v>1.1766065348000001</v>
      </c>
      <c r="DA86" s="212">
        <v>14.521344452999999</v>
      </c>
      <c r="DB86" s="212">
        <v>1.078789</v>
      </c>
      <c r="DC86" s="212">
        <v>1.0808180000000001</v>
      </c>
      <c r="DD86" s="212">
        <v>1.956691</v>
      </c>
      <c r="DE86" s="212">
        <v>1.9111499999999999</v>
      </c>
      <c r="DF86" s="212">
        <v>1.7959449999999999</v>
      </c>
      <c r="DG86" s="212">
        <v>1.06417841</v>
      </c>
      <c r="DH86" s="212">
        <v>126.40573422999999</v>
      </c>
      <c r="DI86" s="212">
        <v>0.25645394999999999</v>
      </c>
      <c r="DJ86" s="212">
        <v>2.0800597999999999</v>
      </c>
      <c r="DK86" s="212">
        <v>1.8936084099999999</v>
      </c>
      <c r="DL86" s="212">
        <v>154199.21437</v>
      </c>
      <c r="DM86" s="212">
        <v>322.3173769</v>
      </c>
      <c r="DN86" s="212">
        <v>15.877380199999999</v>
      </c>
      <c r="DO86" s="212" t="s">
        <v>830</v>
      </c>
      <c r="DP86" s="212">
        <v>18046198.353</v>
      </c>
      <c r="DQ86" s="212">
        <v>1.4315252000000001</v>
      </c>
      <c r="DR86" s="212">
        <v>14.782762</v>
      </c>
      <c r="DS86" s="212">
        <v>21.730654300000001</v>
      </c>
      <c r="DT86" s="212">
        <v>1.8824194000000001</v>
      </c>
      <c r="DU86" s="212">
        <v>1.1403730999999999</v>
      </c>
      <c r="DV86" s="212" t="s">
        <v>830</v>
      </c>
      <c r="DW86" s="212" t="s">
        <v>830</v>
      </c>
      <c r="DX86" s="212">
        <v>0.86186963999999999</v>
      </c>
      <c r="DY86" s="212">
        <v>11.144973999999999</v>
      </c>
      <c r="DZ86" s="212">
        <v>227.535079</v>
      </c>
      <c r="EA86" s="212">
        <v>18.505876000000001</v>
      </c>
      <c r="EB86" s="212">
        <v>21.369315</v>
      </c>
      <c r="EC86" s="212">
        <v>20.152006</v>
      </c>
      <c r="ED86" s="212">
        <v>2260.4204719999998</v>
      </c>
      <c r="EE86" s="212">
        <v>23.307680999999999</v>
      </c>
      <c r="EF86" s="212">
        <v>34.658996000000002</v>
      </c>
      <c r="EG86" s="212">
        <v>1.4398374</v>
      </c>
      <c r="EH86" s="212">
        <v>0.66209649999999998</v>
      </c>
      <c r="EI86" s="212">
        <v>1.0942573</v>
      </c>
      <c r="EJ86" s="212" t="s">
        <v>830</v>
      </c>
      <c r="EK86" s="212">
        <v>1.6308727000000001</v>
      </c>
      <c r="EL86" s="212">
        <v>2.7385880999999999</v>
      </c>
      <c r="EM86">
        <v>1.28246606</v>
      </c>
      <c r="EN86">
        <v>2.3498902500000001</v>
      </c>
      <c r="EO86" s="221">
        <v>1.4014944</v>
      </c>
      <c r="EP86">
        <v>263.72112900000002</v>
      </c>
      <c r="EQ86">
        <v>192.34696</v>
      </c>
      <c r="ER86">
        <v>16.574368799999998</v>
      </c>
      <c r="ES86">
        <v>14.841842700000001</v>
      </c>
      <c r="ET86">
        <v>8.9243241999999992</v>
      </c>
      <c r="EU86">
        <v>198.08479579999999</v>
      </c>
      <c r="EV86">
        <v>117.63654870000001</v>
      </c>
      <c r="EW86">
        <v>17.9709535</v>
      </c>
      <c r="EX86">
        <v>103.26944140000001</v>
      </c>
      <c r="EY86">
        <v>2.7855956000000002</v>
      </c>
      <c r="EZ86" s="223">
        <v>2328.9229488000001</v>
      </c>
      <c r="FA86">
        <v>8.4639620000000004</v>
      </c>
      <c r="FB86">
        <v>1.0938809</v>
      </c>
      <c r="FC86">
        <v>2.0361587000000001</v>
      </c>
      <c r="FD86">
        <v>2.8621177000000002</v>
      </c>
      <c r="FE86">
        <v>1.2603245999999999</v>
      </c>
      <c r="FF86">
        <v>1.6871771</v>
      </c>
      <c r="FG86">
        <v>0.83550683999999997</v>
      </c>
      <c r="FH86">
        <v>1.15051221</v>
      </c>
      <c r="FI86">
        <v>0.98173202999999998</v>
      </c>
      <c r="FJ86">
        <v>118.66743596000001</v>
      </c>
    </row>
    <row r="87" spans="1:166" x14ac:dyDescent="0.3">
      <c r="A87" s="223">
        <v>86</v>
      </c>
      <c r="B87" s="315">
        <v>42437</v>
      </c>
      <c r="C87" s="212">
        <v>1012754.3294</v>
      </c>
      <c r="D87" s="212">
        <v>104.60158321999999</v>
      </c>
      <c r="E87" s="212">
        <v>1.3085011</v>
      </c>
      <c r="F87" s="212">
        <v>6.9092910999999999</v>
      </c>
      <c r="G87" s="212">
        <v>4.7170603249000003</v>
      </c>
      <c r="H87" s="212">
        <v>4.0243033920000002</v>
      </c>
      <c r="I87" s="212">
        <v>1.1149260569999999</v>
      </c>
      <c r="J87" s="212">
        <v>4.4097210000000002</v>
      </c>
      <c r="K87" s="212">
        <v>3.1117270000000001</v>
      </c>
      <c r="L87" s="212">
        <v>10.686862</v>
      </c>
      <c r="M87" s="212">
        <v>0.97380086700000001</v>
      </c>
      <c r="N87" s="212">
        <v>1.3449742769999999</v>
      </c>
      <c r="O87" s="212">
        <v>1.9457004979999999</v>
      </c>
      <c r="P87" s="212">
        <v>1.356570415</v>
      </c>
      <c r="Q87" s="212">
        <v>1.5642389999999999</v>
      </c>
      <c r="R87" s="212">
        <v>1.7885841689999999</v>
      </c>
      <c r="S87" s="212">
        <v>12.515491000000001</v>
      </c>
      <c r="T87" s="212">
        <v>3.0273628220000002</v>
      </c>
      <c r="U87" s="212">
        <v>3.4159401489999999</v>
      </c>
      <c r="V87" s="212">
        <v>1.6881799639999999</v>
      </c>
      <c r="W87" s="212">
        <v>1.3893807410000001</v>
      </c>
      <c r="X87" s="212">
        <v>3.4987042860000002</v>
      </c>
      <c r="Y87" s="212">
        <v>1.881928</v>
      </c>
      <c r="Z87" s="212">
        <v>1.6320170000000001</v>
      </c>
      <c r="AA87" s="212">
        <v>1.366346399</v>
      </c>
      <c r="AB87" s="212">
        <v>1.142402965</v>
      </c>
      <c r="AC87" s="212">
        <v>1.161810864</v>
      </c>
      <c r="AD87" s="212">
        <v>1.3457549600000001</v>
      </c>
      <c r="AE87" s="212">
        <v>1.3436533470000001</v>
      </c>
      <c r="AF87" s="212">
        <v>1.328164337</v>
      </c>
      <c r="AG87" s="212">
        <v>9.3694074619999999</v>
      </c>
      <c r="AH87" s="212">
        <v>1.7879471499999999</v>
      </c>
      <c r="AI87" s="212">
        <v>3.8072889999999999</v>
      </c>
      <c r="AJ87" s="212">
        <v>2.4571770000000002</v>
      </c>
      <c r="AK87" s="212">
        <v>198.12642534</v>
      </c>
      <c r="AL87" s="212">
        <v>1.0982415999999999</v>
      </c>
      <c r="AM87" s="212">
        <v>1.9689945</v>
      </c>
      <c r="AN87" s="212">
        <v>8.6792479</v>
      </c>
      <c r="AO87" s="212">
        <v>1.7832851000000001</v>
      </c>
      <c r="AP87" s="212">
        <v>1.7773566999999999</v>
      </c>
      <c r="AQ87" s="212">
        <v>2.4601608000000001</v>
      </c>
      <c r="AR87" s="212">
        <v>8.6429045999999996</v>
      </c>
      <c r="AS87" s="212">
        <v>394.4404763</v>
      </c>
      <c r="AT87" s="212">
        <v>1.2005125000000001</v>
      </c>
      <c r="AU87" s="212">
        <v>3.0373553000000002</v>
      </c>
      <c r="AV87" s="212">
        <v>2.6534072000000002</v>
      </c>
      <c r="AW87" s="212">
        <v>1.6481813999999999</v>
      </c>
      <c r="AX87" s="212">
        <v>1.2394103000000001</v>
      </c>
      <c r="AY87" s="212">
        <v>2.6037509000000001</v>
      </c>
      <c r="AZ87" s="212" t="s">
        <v>830</v>
      </c>
      <c r="BA87" s="212">
        <v>1.8953783129999999</v>
      </c>
      <c r="BB87" s="212">
        <v>2.5204008</v>
      </c>
      <c r="BC87" s="212">
        <v>3.0229469999999998</v>
      </c>
      <c r="BD87" s="212">
        <v>1.069909</v>
      </c>
      <c r="BE87" s="212">
        <v>1.053663</v>
      </c>
      <c r="BF87" s="212">
        <v>1.0430280000000001</v>
      </c>
      <c r="BG87" s="212">
        <v>1.0641449999999999</v>
      </c>
      <c r="BH87" s="212">
        <v>1.0476700000000001</v>
      </c>
      <c r="BI87" s="212">
        <v>1.206655</v>
      </c>
      <c r="BJ87" s="212">
        <v>1.0900270000000001</v>
      </c>
      <c r="BK87" s="212">
        <v>1.2006330000000001</v>
      </c>
      <c r="BL87" s="212">
        <v>1.200075</v>
      </c>
      <c r="BM87" s="212">
        <v>1.199533</v>
      </c>
      <c r="BN87" s="212">
        <v>1.080543</v>
      </c>
      <c r="BO87" s="212">
        <v>1.1877329999999999</v>
      </c>
      <c r="BP87" s="212">
        <v>2.6560769999999998</v>
      </c>
      <c r="BQ87" s="212">
        <v>1.380698</v>
      </c>
      <c r="BR87" s="212">
        <v>1.479333</v>
      </c>
      <c r="BS87" s="212">
        <v>1.3304229999999999</v>
      </c>
      <c r="BT87" s="212">
        <v>1.786286</v>
      </c>
      <c r="BU87" s="212">
        <v>1.747566</v>
      </c>
      <c r="BV87" s="212">
        <v>1.9277359999999999</v>
      </c>
      <c r="BW87" s="212">
        <v>1.770804</v>
      </c>
      <c r="BX87" s="212">
        <v>1.742904</v>
      </c>
      <c r="BY87" s="212">
        <v>1.7335910000000001</v>
      </c>
      <c r="BZ87" s="212">
        <v>1.991525</v>
      </c>
      <c r="CA87" s="212">
        <v>1.9221710000000001</v>
      </c>
      <c r="CB87" s="212">
        <v>1.938601</v>
      </c>
      <c r="CC87" s="212">
        <v>1.877731</v>
      </c>
      <c r="CD87" s="212">
        <v>1.878549</v>
      </c>
      <c r="CE87" s="212">
        <v>1.8277509999999999</v>
      </c>
      <c r="CF87" s="212">
        <v>1.148946</v>
      </c>
      <c r="CG87" s="212">
        <v>1.3454219999999999</v>
      </c>
      <c r="CH87" s="212">
        <v>1.338608</v>
      </c>
      <c r="CI87" s="212">
        <v>2.8745129999999999</v>
      </c>
      <c r="CJ87" s="212">
        <v>1.05203</v>
      </c>
      <c r="CK87" s="212">
        <v>1.140998</v>
      </c>
      <c r="CL87" s="212">
        <v>0.69355199999999995</v>
      </c>
      <c r="CM87" s="212">
        <v>3.2125689999999998</v>
      </c>
      <c r="CN87" s="212">
        <v>1.8847290000000001</v>
      </c>
      <c r="CO87" s="212">
        <v>1.0446470000000001</v>
      </c>
      <c r="CP87" s="212">
        <v>1.0451600000000001</v>
      </c>
      <c r="CQ87" s="212">
        <v>1.283393</v>
      </c>
      <c r="CR87" s="212">
        <v>13.939938</v>
      </c>
      <c r="CS87" s="212">
        <v>4.3499489999999996</v>
      </c>
      <c r="CT87" s="212">
        <v>2.0559379999999998</v>
      </c>
      <c r="CU87" s="212">
        <v>5.2236039999999999</v>
      </c>
      <c r="CV87" s="212">
        <v>9.3495600000000003</v>
      </c>
      <c r="CW87" s="212" t="s">
        <v>830</v>
      </c>
      <c r="CX87" s="212">
        <v>1.2260057048999999</v>
      </c>
      <c r="CY87" s="212">
        <v>2.1034992333</v>
      </c>
      <c r="CZ87" s="212">
        <v>1.1781078484</v>
      </c>
      <c r="DA87" s="212">
        <v>14.528213485</v>
      </c>
      <c r="DB87" s="212">
        <v>1.0789550000000001</v>
      </c>
      <c r="DC87" s="212">
        <v>1.083345</v>
      </c>
      <c r="DD87" s="212">
        <v>1.9596629999999999</v>
      </c>
      <c r="DE87" s="212">
        <v>1.928361</v>
      </c>
      <c r="DF87" s="212">
        <v>1.7972410000000001</v>
      </c>
      <c r="DG87" s="212">
        <v>1.0677812</v>
      </c>
      <c r="DH87" s="212">
        <v>126.47998375</v>
      </c>
      <c r="DI87" s="212">
        <v>0.25655413999999999</v>
      </c>
      <c r="DJ87" s="212">
        <v>2.0810164000000002</v>
      </c>
      <c r="DK87" s="212">
        <v>1.8940272</v>
      </c>
      <c r="DL87" s="212">
        <v>154300.33300000001</v>
      </c>
      <c r="DM87" s="212">
        <v>321.90748509999997</v>
      </c>
      <c r="DN87" s="212">
        <v>15.8864249</v>
      </c>
      <c r="DO87" s="212" t="s">
        <v>830</v>
      </c>
      <c r="DP87" s="212">
        <v>18045029.364999998</v>
      </c>
      <c r="DQ87" s="212">
        <v>1.4043909000000001</v>
      </c>
      <c r="DR87" s="212">
        <v>14.7893309</v>
      </c>
      <c r="DS87" s="212">
        <v>21.741467400000001</v>
      </c>
      <c r="DT87" s="212">
        <v>1.8892545000000001</v>
      </c>
      <c r="DU87" s="212">
        <v>1.1403429</v>
      </c>
      <c r="DV87" s="212" t="s">
        <v>830</v>
      </c>
      <c r="DW87" s="212" t="s">
        <v>830</v>
      </c>
      <c r="DX87" s="212">
        <v>0.86941877700000003</v>
      </c>
      <c r="DY87" s="212">
        <v>11.126659</v>
      </c>
      <c r="DZ87" s="212">
        <v>227.75259399999999</v>
      </c>
      <c r="EA87" s="212">
        <v>18.572839999999999</v>
      </c>
      <c r="EB87" s="212">
        <v>21.40136</v>
      </c>
      <c r="EC87" s="212">
        <v>20.333390999999999</v>
      </c>
      <c r="ED87" s="212">
        <v>2261.6229149999999</v>
      </c>
      <c r="EE87" s="212">
        <v>23.314178999999999</v>
      </c>
      <c r="EF87" s="212">
        <v>34.676476999999998</v>
      </c>
      <c r="EG87" s="212">
        <v>1.4365036</v>
      </c>
      <c r="EH87" s="212">
        <v>0.66229970000000005</v>
      </c>
      <c r="EI87" s="212">
        <v>1.1113447000000001</v>
      </c>
      <c r="EJ87" s="212" t="s">
        <v>830</v>
      </c>
      <c r="EK87" s="212">
        <v>1.6367976</v>
      </c>
      <c r="EL87" s="212">
        <v>2.7485371000000001</v>
      </c>
      <c r="EM87">
        <v>1.28260033</v>
      </c>
      <c r="EN87">
        <v>2.3516121000000001</v>
      </c>
      <c r="EO87" s="221">
        <v>1.4021258999999999</v>
      </c>
      <c r="EP87">
        <v>264.089314</v>
      </c>
      <c r="EQ87">
        <v>193.91896600000001</v>
      </c>
      <c r="ER87">
        <v>16.599730999999998</v>
      </c>
      <c r="ES87">
        <v>14.975864899999999</v>
      </c>
      <c r="ET87">
        <v>8.9288454000000002</v>
      </c>
      <c r="EU87">
        <v>199.87171950000001</v>
      </c>
      <c r="EV87">
        <v>118.4823487</v>
      </c>
      <c r="EW87">
        <v>17.9837761</v>
      </c>
      <c r="EX87">
        <v>103.31836439999999</v>
      </c>
      <c r="EY87">
        <v>2.7125042000000001</v>
      </c>
      <c r="EZ87" s="223">
        <v>2330.0871766999999</v>
      </c>
      <c r="FA87">
        <v>8.4674270000000007</v>
      </c>
      <c r="FB87">
        <v>1.0997368000000001</v>
      </c>
      <c r="FC87">
        <v>2.0541071999999998</v>
      </c>
      <c r="FD87">
        <v>2.8635411</v>
      </c>
      <c r="FE87">
        <v>1.2615559000000001</v>
      </c>
      <c r="FF87">
        <v>1.6927333</v>
      </c>
      <c r="FG87">
        <v>0.84018537999999998</v>
      </c>
      <c r="FH87">
        <v>1.15274703</v>
      </c>
      <c r="FI87">
        <v>0.98166821999999998</v>
      </c>
      <c r="FJ87">
        <v>116.9744048</v>
      </c>
    </row>
    <row r="88" spans="1:166" x14ac:dyDescent="0.3">
      <c r="A88" s="223">
        <v>87</v>
      </c>
      <c r="B88" s="315">
        <v>42438</v>
      </c>
      <c r="C88" s="212">
        <v>1012685.2579</v>
      </c>
      <c r="D88" s="212">
        <v>104.59630082</v>
      </c>
      <c r="E88" s="212">
        <v>1.3143798</v>
      </c>
      <c r="F88" s="212">
        <v>6.8618131</v>
      </c>
      <c r="G88" s="212">
        <v>4.7607456302999998</v>
      </c>
      <c r="H88" s="212">
        <v>3.9573054929999998</v>
      </c>
      <c r="I88" s="212">
        <v>1.121049851</v>
      </c>
      <c r="J88" s="212">
        <v>4.411905</v>
      </c>
      <c r="K88" s="212">
        <v>3.1128650000000002</v>
      </c>
      <c r="L88" s="212">
        <v>10.691419</v>
      </c>
      <c r="M88" s="212">
        <v>0.97303435699999996</v>
      </c>
      <c r="N88" s="212">
        <v>1.341860397</v>
      </c>
      <c r="O88" s="212">
        <v>1.9491117179999999</v>
      </c>
      <c r="P88" s="212">
        <v>1.3590830460000001</v>
      </c>
      <c r="Q88" s="212">
        <v>1.56498</v>
      </c>
      <c r="R88" s="212">
        <v>1.7908129639999999</v>
      </c>
      <c r="S88" s="212">
        <v>12.532996000000001</v>
      </c>
      <c r="T88" s="212">
        <v>3.045586438</v>
      </c>
      <c r="U88" s="212">
        <v>3.436593362</v>
      </c>
      <c r="V88" s="212">
        <v>1.703685084</v>
      </c>
      <c r="W88" s="212">
        <v>1.3947757489999999</v>
      </c>
      <c r="X88" s="212">
        <v>3.5144173329999999</v>
      </c>
      <c r="Y88" s="212">
        <v>1.883777</v>
      </c>
      <c r="Z88" s="212">
        <v>1.6328579999999999</v>
      </c>
      <c r="AA88" s="212">
        <v>1.3717111310000001</v>
      </c>
      <c r="AB88" s="212">
        <v>1.1424001020000001</v>
      </c>
      <c r="AC88" s="212">
        <v>1.163168387</v>
      </c>
      <c r="AD88" s="212">
        <v>1.345832267</v>
      </c>
      <c r="AE88" s="212">
        <v>1.3437310360000001</v>
      </c>
      <c r="AF88" s="212">
        <v>1.333358042</v>
      </c>
      <c r="AG88" s="212">
        <v>9.3741929030000009</v>
      </c>
      <c r="AH88" s="212">
        <v>1.7861053170000001</v>
      </c>
      <c r="AI88" s="212">
        <v>3.8094420000000002</v>
      </c>
      <c r="AJ88" s="212">
        <v>2.4705430000000002</v>
      </c>
      <c r="AK88" s="212">
        <v>198.37084884999999</v>
      </c>
      <c r="AL88" s="212">
        <v>1.1007994000000001</v>
      </c>
      <c r="AM88" s="212">
        <v>1.9811882999999999</v>
      </c>
      <c r="AN88" s="212">
        <v>8.6838335999999998</v>
      </c>
      <c r="AO88" s="212">
        <v>1.7845731</v>
      </c>
      <c r="AP88" s="212">
        <v>1.7786401000000001</v>
      </c>
      <c r="AQ88" s="212">
        <v>2.4614208999999998</v>
      </c>
      <c r="AR88" s="212">
        <v>8.6473593999999991</v>
      </c>
      <c r="AS88" s="212">
        <v>390.9468354</v>
      </c>
      <c r="AT88" s="212">
        <v>1.1989936000000001</v>
      </c>
      <c r="AU88" s="212">
        <v>3.0388288000000001</v>
      </c>
      <c r="AV88" s="212">
        <v>2.6696281000000002</v>
      </c>
      <c r="AW88" s="212">
        <v>1.6632457</v>
      </c>
      <c r="AX88" s="212">
        <v>1.2411681999999999</v>
      </c>
      <c r="AY88" s="212">
        <v>2.6145714</v>
      </c>
      <c r="AZ88" s="212" t="s">
        <v>830</v>
      </c>
      <c r="BA88" s="212">
        <v>1.896343815</v>
      </c>
      <c r="BB88" s="212">
        <v>2.5360673999999999</v>
      </c>
      <c r="BC88" s="212">
        <v>3.024915</v>
      </c>
      <c r="BD88" s="212">
        <v>1.069647</v>
      </c>
      <c r="BE88" s="212">
        <v>1.0534049999999999</v>
      </c>
      <c r="BF88" s="212">
        <v>1.0427729999999999</v>
      </c>
      <c r="BG88" s="212">
        <v>1.063885</v>
      </c>
      <c r="BH88" s="212">
        <v>1.0474129999999999</v>
      </c>
      <c r="BI88" s="212">
        <v>1.206725</v>
      </c>
      <c r="BJ88" s="212">
        <v>1.091604</v>
      </c>
      <c r="BK88" s="212">
        <v>1.2045779999999999</v>
      </c>
      <c r="BL88" s="212">
        <v>1.200142</v>
      </c>
      <c r="BM88" s="212">
        <v>1.199605</v>
      </c>
      <c r="BN88" s="212">
        <v>1.085791</v>
      </c>
      <c r="BO88" s="212">
        <v>1.1970179999999999</v>
      </c>
      <c r="BP88" s="212">
        <v>2.657451</v>
      </c>
      <c r="BQ88" s="212">
        <v>1.3813759999999999</v>
      </c>
      <c r="BR88" s="212">
        <v>1.4811909999999999</v>
      </c>
      <c r="BS88" s="212">
        <v>1.3424910000000001</v>
      </c>
      <c r="BT88" s="212">
        <v>1.7932330000000001</v>
      </c>
      <c r="BU88" s="212">
        <v>1.7477929999999999</v>
      </c>
      <c r="BV88" s="212">
        <v>1.927816</v>
      </c>
      <c r="BW88" s="212">
        <v>1.771558</v>
      </c>
      <c r="BX88" s="212">
        <v>1.743026</v>
      </c>
      <c r="BY88" s="212">
        <v>1.7342770000000001</v>
      </c>
      <c r="BZ88" s="212">
        <v>1.9918469999999999</v>
      </c>
      <c r="CA88" s="212">
        <v>1.922544</v>
      </c>
      <c r="CB88" s="212">
        <v>1.9382520000000001</v>
      </c>
      <c r="CC88" s="212">
        <v>1.8784529999999999</v>
      </c>
      <c r="CD88" s="212">
        <v>1.87927</v>
      </c>
      <c r="CE88" s="212">
        <v>1.828274</v>
      </c>
      <c r="CF88" s="212">
        <v>1.1492519999999999</v>
      </c>
      <c r="CG88" s="212">
        <v>1.355361</v>
      </c>
      <c r="CH88" s="212">
        <v>1.3446610000000001</v>
      </c>
      <c r="CI88" s="212">
        <v>2.8764050000000001</v>
      </c>
      <c r="CJ88" s="212">
        <v>1.052025</v>
      </c>
      <c r="CK88" s="212">
        <v>1.1407529999999999</v>
      </c>
      <c r="CL88" s="212">
        <v>0.68909299999999996</v>
      </c>
      <c r="CM88" s="212">
        <v>3.1914829999999998</v>
      </c>
      <c r="CN88" s="212">
        <v>1.860859</v>
      </c>
      <c r="CO88" s="212">
        <v>1.0446470000000001</v>
      </c>
      <c r="CP88" s="212">
        <v>1.0515639999999999</v>
      </c>
      <c r="CQ88" s="212">
        <v>1.2840560000000001</v>
      </c>
      <c r="CR88" s="212">
        <v>13.946396999999999</v>
      </c>
      <c r="CS88" s="212">
        <v>4.352087</v>
      </c>
      <c r="CT88" s="212">
        <v>2.0673140000000001</v>
      </c>
      <c r="CU88" s="212">
        <v>5.2253080000000001</v>
      </c>
      <c r="CV88" s="212">
        <v>9.3538910000000008</v>
      </c>
      <c r="CW88" s="212" t="s">
        <v>830</v>
      </c>
      <c r="CX88" s="212">
        <v>1.2266323384</v>
      </c>
      <c r="CY88" s="212">
        <v>2.1240677157999999</v>
      </c>
      <c r="CZ88" s="212">
        <v>1.1803193938000001</v>
      </c>
      <c r="DA88" s="212">
        <v>14.535623038000001</v>
      </c>
      <c r="DB88" s="212">
        <v>1.0786910000000001</v>
      </c>
      <c r="DC88" s="212">
        <v>1.084913</v>
      </c>
      <c r="DD88" s="212">
        <v>1.96234</v>
      </c>
      <c r="DE88" s="212">
        <v>1.9402429999999999</v>
      </c>
      <c r="DF88" s="212">
        <v>1.7990010000000001</v>
      </c>
      <c r="DG88" s="212">
        <v>1.0712816199999999</v>
      </c>
      <c r="DH88" s="212">
        <v>126.55616408</v>
      </c>
      <c r="DI88" s="212">
        <v>0.25702829999999999</v>
      </c>
      <c r="DJ88" s="212">
        <v>2.0819740000000002</v>
      </c>
      <c r="DK88" s="212">
        <v>1.8872386699999999</v>
      </c>
      <c r="DL88" s="212">
        <v>154401.51803000001</v>
      </c>
      <c r="DM88" s="212">
        <v>322.07302770000001</v>
      </c>
      <c r="DN88" s="212">
        <v>16.955027000000001</v>
      </c>
      <c r="DO88" s="212" t="s">
        <v>830</v>
      </c>
      <c r="DP88" s="212">
        <v>18043849.094999999</v>
      </c>
      <c r="DQ88" s="212">
        <v>1.3916968000000001</v>
      </c>
      <c r="DR88" s="212">
        <v>14.7961103</v>
      </c>
      <c r="DS88" s="212">
        <v>21.753104100000002</v>
      </c>
      <c r="DT88" s="212">
        <v>1.8951887999999999</v>
      </c>
      <c r="DU88" s="212">
        <v>1.1335976999999999</v>
      </c>
      <c r="DV88" s="212" t="s">
        <v>830</v>
      </c>
      <c r="DW88" s="212" t="s">
        <v>830</v>
      </c>
      <c r="DX88" s="212">
        <v>0.88237708800000003</v>
      </c>
      <c r="DY88" s="212">
        <v>11.019333</v>
      </c>
      <c r="DZ88" s="212">
        <v>228.03425100000001</v>
      </c>
      <c r="EA88" s="212">
        <v>18.656008</v>
      </c>
      <c r="EB88" s="212">
        <v>21.430005999999999</v>
      </c>
      <c r="EC88" s="212">
        <v>20.457609999999999</v>
      </c>
      <c r="ED88" s="212">
        <v>2262.7969039999998</v>
      </c>
      <c r="EE88" s="212">
        <v>23.330924</v>
      </c>
      <c r="EF88" s="212">
        <v>34.694454</v>
      </c>
      <c r="EG88" s="212">
        <v>1.4375631</v>
      </c>
      <c r="EH88" s="212">
        <v>0.66250220000000004</v>
      </c>
      <c r="EI88" s="212">
        <v>1.1134302</v>
      </c>
      <c r="EJ88" s="212" t="s">
        <v>830</v>
      </c>
      <c r="EK88" s="212">
        <v>1.6367754000000001</v>
      </c>
      <c r="EL88" s="212">
        <v>2.7484997</v>
      </c>
      <c r="EM88">
        <v>1.28273861</v>
      </c>
      <c r="EN88">
        <v>2.3518258200000002</v>
      </c>
      <c r="EO88" s="221">
        <v>1.4027615</v>
      </c>
      <c r="EP88">
        <v>264.22402799999998</v>
      </c>
      <c r="EQ88">
        <v>194.852114</v>
      </c>
      <c r="ER88">
        <v>16.622060399999999</v>
      </c>
      <c r="ES88">
        <v>15.067708100000001</v>
      </c>
      <c r="ET88">
        <v>8.9334872999999995</v>
      </c>
      <c r="EU88">
        <v>201.09566989999999</v>
      </c>
      <c r="EV88">
        <v>119.04186489999999</v>
      </c>
      <c r="EW88">
        <v>18.001085400000001</v>
      </c>
      <c r="EX88">
        <v>103.36866929999999</v>
      </c>
      <c r="EY88">
        <v>2.6872856999999999</v>
      </c>
      <c r="EZ88" s="223">
        <v>2331.2548167</v>
      </c>
      <c r="FA88">
        <v>8.4710560000000008</v>
      </c>
      <c r="FB88">
        <v>1.0823217000000001</v>
      </c>
      <c r="FC88">
        <v>2.0658669000000001</v>
      </c>
      <c r="FD88">
        <v>2.8649886000000002</v>
      </c>
      <c r="FE88">
        <v>1.2631184</v>
      </c>
      <c r="FF88">
        <v>1.6996399</v>
      </c>
      <c r="FG88">
        <v>0.83912355999999999</v>
      </c>
      <c r="FH88">
        <v>1.1529926500000001</v>
      </c>
      <c r="FI88">
        <v>0.98160444999999996</v>
      </c>
      <c r="FJ88">
        <v>117.078946</v>
      </c>
    </row>
    <row r="89" spans="1:166" x14ac:dyDescent="0.3">
      <c r="A89" s="223">
        <v>88</v>
      </c>
      <c r="B89" s="315">
        <v>42439</v>
      </c>
      <c r="C89" s="212">
        <v>1012613.3525</v>
      </c>
      <c r="D89" s="212">
        <v>104.59199397</v>
      </c>
      <c r="E89" s="212">
        <v>1.3174577000000001</v>
      </c>
      <c r="F89" s="212">
        <v>6.9661244</v>
      </c>
      <c r="G89" s="212">
        <v>4.7899391360000001</v>
      </c>
      <c r="H89" s="212">
        <v>4.042999494</v>
      </c>
      <c r="I89" s="212">
        <v>1.136468305</v>
      </c>
      <c r="J89" s="212">
        <v>4.414104</v>
      </c>
      <c r="K89" s="212">
        <v>3.1139890000000001</v>
      </c>
      <c r="L89" s="212">
        <v>10.696118999999999</v>
      </c>
      <c r="M89" s="212">
        <v>0.98907044399999999</v>
      </c>
      <c r="N89" s="212">
        <v>1.3651044489999999</v>
      </c>
      <c r="O89" s="212">
        <v>1.948446675</v>
      </c>
      <c r="P89" s="212">
        <v>1.362974576</v>
      </c>
      <c r="Q89" s="212">
        <v>1.5657589999999999</v>
      </c>
      <c r="R89" s="212">
        <v>1.7942294489999999</v>
      </c>
      <c r="S89" s="212">
        <v>12.558446</v>
      </c>
      <c r="T89" s="212">
        <v>3.0587851719999999</v>
      </c>
      <c r="U89" s="212">
        <v>3.4520492840000001</v>
      </c>
      <c r="V89" s="212">
        <v>1.7139801290000001</v>
      </c>
      <c r="W89" s="212">
        <v>1.3983043530000001</v>
      </c>
      <c r="X89" s="212">
        <v>3.5230850010000001</v>
      </c>
      <c r="Y89" s="212">
        <v>1.885065</v>
      </c>
      <c r="Z89" s="212">
        <v>1.6337250000000001</v>
      </c>
      <c r="AA89" s="212">
        <v>1.3770320170000001</v>
      </c>
      <c r="AB89" s="212">
        <v>1.1438712550000001</v>
      </c>
      <c r="AC89" s="212">
        <v>1.165530833</v>
      </c>
      <c r="AD89" s="212">
        <v>1.346721448</v>
      </c>
      <c r="AE89" s="212">
        <v>1.344619338</v>
      </c>
      <c r="AF89" s="212">
        <v>1.33908859</v>
      </c>
      <c r="AG89" s="212">
        <v>9.3789527689999996</v>
      </c>
      <c r="AH89" s="212">
        <v>1.788297166</v>
      </c>
      <c r="AI89" s="212">
        <v>3.8116099999999999</v>
      </c>
      <c r="AJ89" s="212">
        <v>2.4801989999999998</v>
      </c>
      <c r="AK89" s="212">
        <v>198.58495746</v>
      </c>
      <c r="AL89" s="212">
        <v>1.1033189999999999</v>
      </c>
      <c r="AM89" s="212">
        <v>1.9900591000000001</v>
      </c>
      <c r="AN89" s="212">
        <v>8.6883827</v>
      </c>
      <c r="AO89" s="212">
        <v>1.7863176999999999</v>
      </c>
      <c r="AP89" s="212">
        <v>1.7803774999999999</v>
      </c>
      <c r="AQ89" s="212">
        <v>2.4626953</v>
      </c>
      <c r="AR89" s="212">
        <v>8.6518142000000005</v>
      </c>
      <c r="AS89" s="212">
        <v>398.24061560000001</v>
      </c>
      <c r="AT89" s="212">
        <v>1.2167325</v>
      </c>
      <c r="AU89" s="212">
        <v>3.0403020999999999</v>
      </c>
      <c r="AV89" s="212">
        <v>2.6812016999999999</v>
      </c>
      <c r="AW89" s="212">
        <v>1.6731784999999999</v>
      </c>
      <c r="AX89" s="212">
        <v>1.2435331000000001</v>
      </c>
      <c r="AY89" s="212">
        <v>2.6215155999999999</v>
      </c>
      <c r="AZ89" s="212" t="s">
        <v>830</v>
      </c>
      <c r="BA89" s="212">
        <v>1.8973034209999999</v>
      </c>
      <c r="BB89" s="212">
        <v>2.547129</v>
      </c>
      <c r="BC89" s="212">
        <v>3.0266519999999999</v>
      </c>
      <c r="BD89" s="212">
        <v>1.070924</v>
      </c>
      <c r="BE89" s="212">
        <v>1.0546629999999999</v>
      </c>
      <c r="BF89" s="212">
        <v>1.0440179999999999</v>
      </c>
      <c r="BG89" s="212">
        <v>1.0651550000000001</v>
      </c>
      <c r="BH89" s="212">
        <v>1.048664</v>
      </c>
      <c r="BI89" s="212">
        <v>1.207524</v>
      </c>
      <c r="BJ89" s="212">
        <v>1.0936269999999999</v>
      </c>
      <c r="BK89" s="212">
        <v>1.208618</v>
      </c>
      <c r="BL89" s="212">
        <v>1.2009339999999999</v>
      </c>
      <c r="BM89" s="212">
        <v>1.2003999999999999</v>
      </c>
      <c r="BN89" s="212">
        <v>1.09114</v>
      </c>
      <c r="BO89" s="212">
        <v>1.204035</v>
      </c>
      <c r="BP89" s="212">
        <v>2.6588229999999999</v>
      </c>
      <c r="BQ89" s="212">
        <v>1.3820539999999999</v>
      </c>
      <c r="BR89" s="212">
        <v>1.4840629999999999</v>
      </c>
      <c r="BS89" s="212">
        <v>1.350516</v>
      </c>
      <c r="BT89" s="212">
        <v>1.7978339999999999</v>
      </c>
      <c r="BU89" s="212">
        <v>1.748945</v>
      </c>
      <c r="BV89" s="212">
        <v>1.9290309999999999</v>
      </c>
      <c r="BW89" s="212">
        <v>1.7726980000000001</v>
      </c>
      <c r="BX89" s="212">
        <v>1.74421</v>
      </c>
      <c r="BY89" s="212">
        <v>1.735495</v>
      </c>
      <c r="BZ89" s="212">
        <v>1.993144</v>
      </c>
      <c r="CA89" s="212">
        <v>1.9237569999999999</v>
      </c>
      <c r="CB89" s="212">
        <v>1.939171</v>
      </c>
      <c r="CC89" s="212">
        <v>1.8796360000000001</v>
      </c>
      <c r="CD89" s="212">
        <v>1.8804529999999999</v>
      </c>
      <c r="CE89" s="212">
        <v>1.829426</v>
      </c>
      <c r="CF89" s="212">
        <v>1.15005</v>
      </c>
      <c r="CG89" s="212">
        <v>1.360746</v>
      </c>
      <c r="CH89" s="212">
        <v>1.3480369999999999</v>
      </c>
      <c r="CI89" s="212">
        <v>2.8780489999999999</v>
      </c>
      <c r="CJ89" s="212">
        <v>1.05799</v>
      </c>
      <c r="CK89" s="212">
        <v>1.1475610000000001</v>
      </c>
      <c r="CL89" s="212">
        <v>0.701735</v>
      </c>
      <c r="CM89" s="212">
        <v>3.2387239999999999</v>
      </c>
      <c r="CN89" s="212">
        <v>1.826238</v>
      </c>
      <c r="CO89" s="212">
        <v>1.0446470000000001</v>
      </c>
      <c r="CP89" s="212">
        <v>1.054996</v>
      </c>
      <c r="CQ89" s="212">
        <v>1.2847230000000001</v>
      </c>
      <c r="CR89" s="212">
        <v>13.952795</v>
      </c>
      <c r="CS89" s="212">
        <v>4.3541480000000004</v>
      </c>
      <c r="CT89" s="212">
        <v>2.0747840000000002</v>
      </c>
      <c r="CU89" s="212">
        <v>5.2270120000000002</v>
      </c>
      <c r="CV89" s="212">
        <v>9.3581920000000007</v>
      </c>
      <c r="CW89" s="212" t="s">
        <v>830</v>
      </c>
      <c r="CX89" s="212">
        <v>1.2272678687</v>
      </c>
      <c r="CY89" s="212">
        <v>2.1385757483000001</v>
      </c>
      <c r="CZ89" s="212">
        <v>1.1816892669000001</v>
      </c>
      <c r="DA89" s="212">
        <v>14.542975535</v>
      </c>
      <c r="DB89" s="212">
        <v>1.079979</v>
      </c>
      <c r="DC89" s="212">
        <v>1.086924</v>
      </c>
      <c r="DD89" s="212">
        <v>1.966356</v>
      </c>
      <c r="DE89" s="212">
        <v>1.94892</v>
      </c>
      <c r="DF89" s="212">
        <v>1.800235</v>
      </c>
      <c r="DG89" s="212">
        <v>1.07341964</v>
      </c>
      <c r="DH89" s="212">
        <v>126.62936807</v>
      </c>
      <c r="DI89" s="212">
        <v>0.25712284000000002</v>
      </c>
      <c r="DJ89" s="212">
        <v>2.0829270000000002</v>
      </c>
      <c r="DK89" s="212">
        <v>1.8821034400000001</v>
      </c>
      <c r="DL89" s="212">
        <v>154502.76968</v>
      </c>
      <c r="DM89" s="212">
        <v>322.37531510000002</v>
      </c>
      <c r="DN89" s="212">
        <v>16.964613700000001</v>
      </c>
      <c r="DO89" s="212" t="s">
        <v>830</v>
      </c>
      <c r="DP89" s="212">
        <v>18042668.903999999</v>
      </c>
      <c r="DQ89" s="212">
        <v>1.397972</v>
      </c>
      <c r="DR89" s="212">
        <v>14.802536</v>
      </c>
      <c r="DS89" s="212">
        <v>21.764620300000001</v>
      </c>
      <c r="DT89" s="212">
        <v>1.8985529000000001</v>
      </c>
      <c r="DU89" s="212">
        <v>1.1517404</v>
      </c>
      <c r="DV89" s="212" t="s">
        <v>830</v>
      </c>
      <c r="DW89" s="212" t="s">
        <v>830</v>
      </c>
      <c r="DX89" s="212">
        <v>0.883807432</v>
      </c>
      <c r="DY89" s="212">
        <v>11.219619</v>
      </c>
      <c r="DZ89" s="212">
        <v>228.20451399999999</v>
      </c>
      <c r="EA89" s="212">
        <v>18.701844000000001</v>
      </c>
      <c r="EB89" s="212">
        <v>21.473595</v>
      </c>
      <c r="EC89" s="212">
        <v>20.548995000000001</v>
      </c>
      <c r="ED89" s="212">
        <v>2263.9314599999998</v>
      </c>
      <c r="EE89" s="212">
        <v>23.353605999999999</v>
      </c>
      <c r="EF89" s="212">
        <v>34.712429999999998</v>
      </c>
      <c r="EG89" s="212">
        <v>1.4580645000000001</v>
      </c>
      <c r="EH89" s="212">
        <v>0.66270300000000004</v>
      </c>
      <c r="EI89" s="212">
        <v>1.1156969999999999</v>
      </c>
      <c r="EJ89" s="212" t="s">
        <v>830</v>
      </c>
      <c r="EK89" s="212">
        <v>1.6412021999999999</v>
      </c>
      <c r="EL89" s="212">
        <v>2.7559331999999999</v>
      </c>
      <c r="EM89">
        <v>1.2828761099999999</v>
      </c>
      <c r="EN89">
        <v>2.3534602699999998</v>
      </c>
      <c r="EO89" s="221">
        <v>1.4033971000000001</v>
      </c>
      <c r="EP89">
        <v>264.40105799999998</v>
      </c>
      <c r="EQ89">
        <v>195.691125</v>
      </c>
      <c r="ER89">
        <v>16.6562707</v>
      </c>
      <c r="ES89">
        <v>15.135277200000001</v>
      </c>
      <c r="ET89">
        <v>8.9381064000000006</v>
      </c>
      <c r="EU89">
        <v>201.9956478</v>
      </c>
      <c r="EV89">
        <v>120.8584602</v>
      </c>
      <c r="EW89">
        <v>18.0130351</v>
      </c>
      <c r="EX89">
        <v>103.41870849999999</v>
      </c>
      <c r="EY89">
        <v>2.7576358999999999</v>
      </c>
      <c r="EZ89" s="223">
        <v>2332.4077225000001</v>
      </c>
      <c r="FA89">
        <v>8.4747059999999994</v>
      </c>
      <c r="FB89">
        <v>1.1014029000000001</v>
      </c>
      <c r="FC89">
        <v>2.0747946000000002</v>
      </c>
      <c r="FD89">
        <v>2.8664388000000001</v>
      </c>
      <c r="FE89">
        <v>1.2642466000000001</v>
      </c>
      <c r="FF89">
        <v>1.7034377999999999</v>
      </c>
      <c r="FG89">
        <v>0.85002398999999995</v>
      </c>
      <c r="FH89">
        <v>1.1531797100000001</v>
      </c>
      <c r="FI89">
        <v>0.98154048999999999</v>
      </c>
      <c r="FJ89">
        <v>117.13377920000001</v>
      </c>
    </row>
    <row r="90" spans="1:166" x14ac:dyDescent="0.3">
      <c r="A90" s="223">
        <v>89</v>
      </c>
      <c r="B90" s="315">
        <v>42440</v>
      </c>
      <c r="C90" s="212">
        <v>1012531.0584</v>
      </c>
      <c r="D90" s="212">
        <v>104.58780919</v>
      </c>
      <c r="E90" s="212">
        <v>1.3226361</v>
      </c>
      <c r="F90" s="212">
        <v>6.8718833000000004</v>
      </c>
      <c r="G90" s="212">
        <v>4.8109493266000003</v>
      </c>
      <c r="H90" s="212">
        <v>3.827863904</v>
      </c>
      <c r="I90" s="212">
        <v>1.1310014820000001</v>
      </c>
      <c r="J90" s="212">
        <v>4.4163119999999996</v>
      </c>
      <c r="K90" s="212">
        <v>3.1151249999999999</v>
      </c>
      <c r="L90" s="212">
        <v>10.700818</v>
      </c>
      <c r="M90" s="212">
        <v>0.98876188200000004</v>
      </c>
      <c r="N90" s="212">
        <v>1.36289554</v>
      </c>
      <c r="O90" s="212">
        <v>1.9511967800000001</v>
      </c>
      <c r="P90" s="212">
        <v>1.370855004</v>
      </c>
      <c r="Q90" s="212">
        <v>1.5665340000000001</v>
      </c>
      <c r="R90" s="212">
        <v>1.8011397579999999</v>
      </c>
      <c r="S90" s="212">
        <v>12.604535</v>
      </c>
      <c r="T90" s="212">
        <v>3.0817575239999999</v>
      </c>
      <c r="U90" s="212">
        <v>3.477896973</v>
      </c>
      <c r="V90" s="212">
        <v>1.731082427</v>
      </c>
      <c r="W90" s="212">
        <v>1.403483925</v>
      </c>
      <c r="X90" s="212">
        <v>3.5333621389999998</v>
      </c>
      <c r="Y90" s="212">
        <v>1.886504</v>
      </c>
      <c r="Z90" s="212">
        <v>1.6345909999999999</v>
      </c>
      <c r="AA90" s="212">
        <v>1.3866379550000001</v>
      </c>
      <c r="AB90" s="212">
        <v>1.146023529</v>
      </c>
      <c r="AC90" s="212">
        <v>1.169725052</v>
      </c>
      <c r="AD90" s="212">
        <v>1.3476112200000001</v>
      </c>
      <c r="AE90" s="212">
        <v>1.345508248</v>
      </c>
      <c r="AF90" s="212">
        <v>1.3490411980000001</v>
      </c>
      <c r="AG90" s="212">
        <v>9.3837464070000003</v>
      </c>
      <c r="AH90" s="212">
        <v>1.7908828450000001</v>
      </c>
      <c r="AI90" s="212">
        <v>3.8140719999999999</v>
      </c>
      <c r="AJ90" s="212">
        <v>2.4968140000000001</v>
      </c>
      <c r="AK90" s="212">
        <v>199.00224592999999</v>
      </c>
      <c r="AL90" s="212">
        <v>1.1085137</v>
      </c>
      <c r="AM90" s="212">
        <v>2.0050485</v>
      </c>
      <c r="AN90" s="212">
        <v>8.6928801999999994</v>
      </c>
      <c r="AO90" s="212">
        <v>1.7875432</v>
      </c>
      <c r="AP90" s="212">
        <v>1.7815962000000001</v>
      </c>
      <c r="AQ90" s="212">
        <v>2.4639411999999998</v>
      </c>
      <c r="AR90" s="212">
        <v>8.6561503999999996</v>
      </c>
      <c r="AS90" s="212">
        <v>398.81786490000002</v>
      </c>
      <c r="AT90" s="212">
        <v>1.2212841000000001</v>
      </c>
      <c r="AU90" s="212">
        <v>3.0417337</v>
      </c>
      <c r="AV90" s="212">
        <v>2.7008154000000002</v>
      </c>
      <c r="AW90" s="212">
        <v>1.6895971000000001</v>
      </c>
      <c r="AX90" s="212">
        <v>1.2479528</v>
      </c>
      <c r="AY90" s="212">
        <v>2.6315464</v>
      </c>
      <c r="AZ90" s="212" t="s">
        <v>830</v>
      </c>
      <c r="BA90" s="212">
        <v>1.898275417</v>
      </c>
      <c r="BB90" s="212">
        <v>2.5657554999999999</v>
      </c>
      <c r="BC90" s="212">
        <v>3.028543</v>
      </c>
      <c r="BD90" s="212">
        <v>1.072468</v>
      </c>
      <c r="BE90" s="212">
        <v>1.0561830000000001</v>
      </c>
      <c r="BF90" s="212">
        <v>1.045523</v>
      </c>
      <c r="BG90" s="212">
        <v>1.0666910000000001</v>
      </c>
      <c r="BH90" s="212">
        <v>1.0501750000000001</v>
      </c>
      <c r="BI90" s="212">
        <v>1.208323</v>
      </c>
      <c r="BJ90" s="212">
        <v>1.0985720000000001</v>
      </c>
      <c r="BK90" s="212">
        <v>1.2156849999999999</v>
      </c>
      <c r="BL90" s="212">
        <v>1.2017260000000001</v>
      </c>
      <c r="BM90" s="212">
        <v>1.2011970000000001</v>
      </c>
      <c r="BN90" s="212">
        <v>1.097691</v>
      </c>
      <c r="BO90" s="212">
        <v>1.214046</v>
      </c>
      <c r="BP90" s="212">
        <v>2.6601219999999999</v>
      </c>
      <c r="BQ90" s="212">
        <v>1.382733</v>
      </c>
      <c r="BR90" s="212">
        <v>1.4896929999999999</v>
      </c>
      <c r="BS90" s="212">
        <v>1.3638779999999999</v>
      </c>
      <c r="BT90" s="212">
        <v>1.8044899999999999</v>
      </c>
      <c r="BU90" s="212">
        <v>1.7503329999999999</v>
      </c>
      <c r="BV90" s="212">
        <v>1.9299630000000001</v>
      </c>
      <c r="BW90" s="212">
        <v>1.773863</v>
      </c>
      <c r="BX90" s="212">
        <v>1.7454240000000001</v>
      </c>
      <c r="BY90" s="212">
        <v>1.7367509999999999</v>
      </c>
      <c r="BZ90" s="212">
        <v>1.9944770000000001</v>
      </c>
      <c r="CA90" s="212">
        <v>1.9249719999999999</v>
      </c>
      <c r="CB90" s="212">
        <v>1.9400999999999999</v>
      </c>
      <c r="CC90" s="212">
        <v>1.8808199999999999</v>
      </c>
      <c r="CD90" s="212">
        <v>1.8816360000000001</v>
      </c>
      <c r="CE90" s="212">
        <v>1.8306150000000001</v>
      </c>
      <c r="CF90" s="212">
        <v>1.1517219999999999</v>
      </c>
      <c r="CG90" s="212">
        <v>1.3670150000000001</v>
      </c>
      <c r="CH90" s="212">
        <v>1.351931</v>
      </c>
      <c r="CI90" s="212">
        <v>2.8798859999999999</v>
      </c>
      <c r="CJ90" s="212">
        <v>1.0590459999999999</v>
      </c>
      <c r="CK90" s="212">
        <v>1.1487229999999999</v>
      </c>
      <c r="CL90" s="212">
        <v>0.70385900000000001</v>
      </c>
      <c r="CM90" s="212">
        <v>3.2425350000000002</v>
      </c>
      <c r="CN90" s="212">
        <v>1.8347089999999999</v>
      </c>
      <c r="CO90" s="212">
        <v>1.0446470000000001</v>
      </c>
      <c r="CP90" s="212">
        <v>1.0526789999999999</v>
      </c>
      <c r="CQ90" s="212">
        <v>1.28539</v>
      </c>
      <c r="CR90" s="212">
        <v>13.959249</v>
      </c>
      <c r="CS90" s="212">
        <v>4.3560080000000001</v>
      </c>
      <c r="CT90" s="212">
        <v>2.0884200000000002</v>
      </c>
      <c r="CU90" s="212">
        <v>5.2287179999999998</v>
      </c>
      <c r="CV90" s="212">
        <v>9.3625229999999995</v>
      </c>
      <c r="CW90" s="212" t="s">
        <v>830</v>
      </c>
      <c r="CX90" s="212">
        <v>1.2278869128000001</v>
      </c>
      <c r="CY90" s="212">
        <v>2.1489652948</v>
      </c>
      <c r="CZ90" s="212">
        <v>1.1836675035999999</v>
      </c>
      <c r="DA90" s="212">
        <v>14.550348015999999</v>
      </c>
      <c r="DB90" s="212">
        <v>1.0815360000000001</v>
      </c>
      <c r="DC90" s="212">
        <v>1.091839</v>
      </c>
      <c r="DD90" s="212">
        <v>1.9735769999999999</v>
      </c>
      <c r="DE90" s="212">
        <v>1.9635419999999999</v>
      </c>
      <c r="DF90" s="212">
        <v>1.801609</v>
      </c>
      <c r="DG90" s="212">
        <v>1.07601985</v>
      </c>
      <c r="DH90" s="212">
        <v>126.7048095</v>
      </c>
      <c r="DI90" s="212">
        <v>0.25729576999999998</v>
      </c>
      <c r="DJ90" s="212">
        <v>2.0838860000000001</v>
      </c>
      <c r="DK90" s="212">
        <v>1.8815397300000001</v>
      </c>
      <c r="DL90" s="212">
        <v>154604.08728000001</v>
      </c>
      <c r="DM90" s="212">
        <v>322.53670010000002</v>
      </c>
      <c r="DN90" s="212">
        <v>16.974188600000002</v>
      </c>
      <c r="DO90" s="212" t="s">
        <v>830</v>
      </c>
      <c r="DP90" s="212">
        <v>18041488.791000001</v>
      </c>
      <c r="DQ90" s="212">
        <v>1.4107775</v>
      </c>
      <c r="DR90" s="212">
        <v>14.809273299999999</v>
      </c>
      <c r="DS90" s="212">
        <v>21.776008300000001</v>
      </c>
      <c r="DT90" s="212">
        <v>1.9038284000000001</v>
      </c>
      <c r="DU90" s="212">
        <v>1.1504254</v>
      </c>
      <c r="DV90" s="212" t="s">
        <v>830</v>
      </c>
      <c r="DW90" s="212" t="s">
        <v>830</v>
      </c>
      <c r="DX90" s="212">
        <v>0.893429747</v>
      </c>
      <c r="DY90" s="212">
        <v>11.242194</v>
      </c>
      <c r="DZ90" s="212">
        <v>228.41654199999999</v>
      </c>
      <c r="EA90" s="212">
        <v>18.756502999999999</v>
      </c>
      <c r="EB90" s="212">
        <v>21.552523999999998</v>
      </c>
      <c r="EC90" s="212">
        <v>20.703050000000001</v>
      </c>
      <c r="ED90" s="212">
        <v>2265.108334</v>
      </c>
      <c r="EE90" s="212">
        <v>23.369565000000001</v>
      </c>
      <c r="EF90" s="212">
        <v>34.730286999999997</v>
      </c>
      <c r="EG90" s="212">
        <v>1.4688208</v>
      </c>
      <c r="EH90" s="212">
        <v>0.66290629999999995</v>
      </c>
      <c r="EI90" s="212">
        <v>1.1192907000000001</v>
      </c>
      <c r="EJ90" s="212" t="s">
        <v>830</v>
      </c>
      <c r="EK90" s="212">
        <v>1.6454519999999999</v>
      </c>
      <c r="EL90" s="212">
        <v>2.7630688000000001</v>
      </c>
      <c r="EM90">
        <v>1.2830141100000001</v>
      </c>
      <c r="EN90">
        <v>2.35509586</v>
      </c>
      <c r="EO90" s="221">
        <v>1.4040334000000001</v>
      </c>
      <c r="EP90">
        <v>264.91093899999998</v>
      </c>
      <c r="EQ90">
        <v>197.05310399999999</v>
      </c>
      <c r="ER90">
        <v>16.7176808</v>
      </c>
      <c r="ES90">
        <v>15.248937700000001</v>
      </c>
      <c r="ET90">
        <v>8.9427413999999992</v>
      </c>
      <c r="EU90">
        <v>203.5108007</v>
      </c>
      <c r="EV90">
        <v>119.8639608</v>
      </c>
      <c r="EW90">
        <v>18.026575999999999</v>
      </c>
      <c r="EX90">
        <v>103.4689295</v>
      </c>
      <c r="EY90">
        <v>2.8363583000000001</v>
      </c>
      <c r="EZ90" s="223">
        <v>2333.5730437000002</v>
      </c>
      <c r="FA90">
        <v>8.4782689999999992</v>
      </c>
      <c r="FB90">
        <v>1.0966372</v>
      </c>
      <c r="FC90">
        <v>2.0894013999999999</v>
      </c>
      <c r="FD90">
        <v>2.8679074999999998</v>
      </c>
      <c r="FE90">
        <v>1.2656430000000001</v>
      </c>
      <c r="FF90">
        <v>1.7080605</v>
      </c>
      <c r="FG90">
        <v>0.85238915000000004</v>
      </c>
      <c r="FH90">
        <v>1.1517609900000001</v>
      </c>
      <c r="FI90">
        <v>0.98146168</v>
      </c>
      <c r="FJ90">
        <v>117.18606835</v>
      </c>
    </row>
    <row r="91" spans="1:166" x14ac:dyDescent="0.3">
      <c r="A91" s="223">
        <v>90</v>
      </c>
      <c r="B91" s="315">
        <v>42443</v>
      </c>
      <c r="C91" s="212">
        <v>1012459.1193</v>
      </c>
      <c r="D91" s="212">
        <v>104.58349133999999</v>
      </c>
      <c r="E91" s="212">
        <v>1.3210656999999999</v>
      </c>
      <c r="F91" s="212">
        <v>6.7921705000000001</v>
      </c>
      <c r="G91" s="212">
        <v>4.8470173631</v>
      </c>
      <c r="H91" s="212">
        <v>3.8013131900000001</v>
      </c>
      <c r="I91" s="212">
        <v>1.120516007</v>
      </c>
      <c r="J91" s="212">
        <v>4.4185879999999997</v>
      </c>
      <c r="K91" s="212">
        <v>3.1162450000000002</v>
      </c>
      <c r="L91" s="212">
        <v>10.705358431000001</v>
      </c>
      <c r="M91" s="212">
        <v>0.97931878100000003</v>
      </c>
      <c r="N91" s="212">
        <v>1.3497260040000001</v>
      </c>
      <c r="O91" s="212">
        <v>1.952691213</v>
      </c>
      <c r="P91" s="212">
        <v>1.367236125</v>
      </c>
      <c r="Q91" s="212">
        <v>1.5673029999999999</v>
      </c>
      <c r="R91" s="212">
        <v>1.801189462</v>
      </c>
      <c r="S91" s="212">
        <v>12.600737000000001</v>
      </c>
      <c r="T91" s="212">
        <v>3.0622877179999999</v>
      </c>
      <c r="U91" s="212">
        <v>3.4553159619999998</v>
      </c>
      <c r="V91" s="212">
        <v>1.713198287</v>
      </c>
      <c r="W91" s="212">
        <v>1.4007292950000001</v>
      </c>
      <c r="X91" s="212">
        <v>3.5328764700000002</v>
      </c>
      <c r="Y91" s="212">
        <v>1.887173</v>
      </c>
      <c r="Z91" s="212">
        <v>1.6354340000000001</v>
      </c>
      <c r="AA91" s="212">
        <v>1.3796347950000001</v>
      </c>
      <c r="AB91" s="212">
        <v>1.146542526</v>
      </c>
      <c r="AC91" s="212">
        <v>1.1690624890000001</v>
      </c>
      <c r="AD91" s="212">
        <v>1.3485015899999999</v>
      </c>
      <c r="AE91" s="212">
        <v>1.3463978000000001</v>
      </c>
      <c r="AF91" s="212">
        <v>1.3425594569999999</v>
      </c>
      <c r="AG91" s="212">
        <v>9.3884798620000005</v>
      </c>
      <c r="AH91" s="212">
        <v>1.791831626</v>
      </c>
      <c r="AI91" s="212">
        <v>3.8157899999999998</v>
      </c>
      <c r="AJ91" s="212">
        <v>2.4843999999999999</v>
      </c>
      <c r="AK91" s="212">
        <v>198.92394175000001</v>
      </c>
      <c r="AL91" s="212">
        <v>1.1075987</v>
      </c>
      <c r="AM91" s="212">
        <v>1.9923423</v>
      </c>
      <c r="AN91" s="212">
        <v>8.6973853999999999</v>
      </c>
      <c r="AO91" s="212">
        <v>1.7889081</v>
      </c>
      <c r="AP91" s="212">
        <v>1.7829546000000001</v>
      </c>
      <c r="AQ91" s="212">
        <v>2.4651947999999999</v>
      </c>
      <c r="AR91" s="212">
        <v>8.6606053000000003</v>
      </c>
      <c r="AS91" s="212">
        <v>392.65289439999998</v>
      </c>
      <c r="AT91" s="212">
        <v>1.1987365000000001</v>
      </c>
      <c r="AU91" s="212">
        <v>3.0432068999999999</v>
      </c>
      <c r="AV91" s="212">
        <v>2.6836677</v>
      </c>
      <c r="AW91" s="212">
        <v>1.6721538</v>
      </c>
      <c r="AX91" s="212">
        <v>1.2475672</v>
      </c>
      <c r="AY91" s="212">
        <v>2.6258020000000002</v>
      </c>
      <c r="AZ91" s="212" t="s">
        <v>830</v>
      </c>
      <c r="BA91" s="212">
        <v>1.899246875</v>
      </c>
      <c r="BB91" s="212">
        <v>2.5488255999999998</v>
      </c>
      <c r="BC91" s="212">
        <v>3.0300340000000001</v>
      </c>
      <c r="BD91" s="212">
        <v>1.0730040000000001</v>
      </c>
      <c r="BE91" s="212">
        <v>1.056711</v>
      </c>
      <c r="BF91" s="212">
        <v>1.0460449999999999</v>
      </c>
      <c r="BG91" s="212">
        <v>1.067223</v>
      </c>
      <c r="BH91" s="212">
        <v>1.050699</v>
      </c>
      <c r="BI91" s="212">
        <v>1.2091229999999999</v>
      </c>
      <c r="BJ91" s="212">
        <v>1.0987640000000001</v>
      </c>
      <c r="BK91" s="212">
        <v>1.2134720000000001</v>
      </c>
      <c r="BL91" s="212">
        <v>1.2025189999999999</v>
      </c>
      <c r="BM91" s="212">
        <v>1.2019930000000001</v>
      </c>
      <c r="BN91" s="212">
        <v>1.0931249999999999</v>
      </c>
      <c r="BO91" s="212">
        <v>1.2039310000000001</v>
      </c>
      <c r="BP91" s="212">
        <v>2.6615120000000001</v>
      </c>
      <c r="BQ91" s="212">
        <v>1.3834120000000001</v>
      </c>
      <c r="BR91" s="212">
        <v>1.489552</v>
      </c>
      <c r="BS91" s="212">
        <v>1.350077</v>
      </c>
      <c r="BT91" s="212">
        <v>1.8009729999999999</v>
      </c>
      <c r="BU91" s="212">
        <v>1.751485</v>
      </c>
      <c r="BV91" s="212">
        <v>1.930895</v>
      </c>
      <c r="BW91" s="212">
        <v>1.775004</v>
      </c>
      <c r="BX91" s="212">
        <v>1.7466090000000001</v>
      </c>
      <c r="BY91" s="212">
        <v>1.7379709999999999</v>
      </c>
      <c r="BZ91" s="212">
        <v>1.9957739999999999</v>
      </c>
      <c r="CA91" s="212">
        <v>1.9261870000000001</v>
      </c>
      <c r="CB91" s="212">
        <v>1.9410210000000001</v>
      </c>
      <c r="CC91" s="212">
        <v>1.8820049999999999</v>
      </c>
      <c r="CD91" s="212">
        <v>1.882819</v>
      </c>
      <c r="CE91" s="212">
        <v>1.8317680000000001</v>
      </c>
      <c r="CF91" s="212">
        <v>1.15252</v>
      </c>
      <c r="CG91" s="212">
        <v>1.3662350000000001</v>
      </c>
      <c r="CH91" s="212">
        <v>1.3517060000000001</v>
      </c>
      <c r="CI91" s="212">
        <v>2.8813070000000001</v>
      </c>
      <c r="CJ91" s="212">
        <v>1.0590550000000001</v>
      </c>
      <c r="CK91" s="212">
        <v>1.1482969999999999</v>
      </c>
      <c r="CL91" s="212">
        <v>0.69677800000000001</v>
      </c>
      <c r="CM91" s="212">
        <v>3.2058070000000001</v>
      </c>
      <c r="CN91" s="212">
        <v>1.8638220000000001</v>
      </c>
      <c r="CO91" s="212">
        <v>1.0446470000000001</v>
      </c>
      <c r="CP91" s="212">
        <v>1.0448329999999999</v>
      </c>
      <c r="CQ91" s="212">
        <v>1.2860560000000001</v>
      </c>
      <c r="CR91" s="212">
        <v>13.965693</v>
      </c>
      <c r="CS91" s="212">
        <v>4.358066</v>
      </c>
      <c r="CT91" s="212">
        <v>2.0760429999999999</v>
      </c>
      <c r="CU91" s="212">
        <v>5.2304250000000003</v>
      </c>
      <c r="CV91" s="212">
        <v>9.366854</v>
      </c>
      <c r="CW91" s="212" t="s">
        <v>830</v>
      </c>
      <c r="CX91" s="212">
        <v>1.2285290015000001</v>
      </c>
      <c r="CY91" s="212">
        <v>2.1660560542999998</v>
      </c>
      <c r="CZ91" s="212">
        <v>1.1840916872</v>
      </c>
      <c r="DA91" s="212">
        <v>14.557790228</v>
      </c>
      <c r="DB91" s="212">
        <v>1.082077</v>
      </c>
      <c r="DC91" s="212">
        <v>1.0920300000000001</v>
      </c>
      <c r="DD91" s="212">
        <v>1.972998</v>
      </c>
      <c r="DE91" s="212">
        <v>1.9510149999999999</v>
      </c>
      <c r="DF91" s="212">
        <v>1.802273</v>
      </c>
      <c r="DG91" s="212">
        <v>1.0753565300000001</v>
      </c>
      <c r="DH91" s="212">
        <v>126.78040670999999</v>
      </c>
      <c r="DI91" s="212">
        <v>0.25728962</v>
      </c>
      <c r="DJ91" s="212">
        <v>2.0849403</v>
      </c>
      <c r="DK91" s="212">
        <v>1.8828500399999999</v>
      </c>
      <c r="DL91" s="212">
        <v>154705.47172999999</v>
      </c>
      <c r="DM91" s="212">
        <v>322.69991090000002</v>
      </c>
      <c r="DN91" s="212">
        <v>16.983795499999999</v>
      </c>
      <c r="DO91" s="212" t="s">
        <v>830</v>
      </c>
      <c r="DP91" s="212">
        <v>18040308.528000001</v>
      </c>
      <c r="DQ91" s="212">
        <v>1.3973074999999999</v>
      </c>
      <c r="DR91" s="212">
        <v>14.845954499999999</v>
      </c>
      <c r="DS91" s="212">
        <v>21.7876783</v>
      </c>
      <c r="DT91" s="212">
        <v>1.899645</v>
      </c>
      <c r="DU91" s="212">
        <v>1.1383121</v>
      </c>
      <c r="DV91" s="212" t="s">
        <v>830</v>
      </c>
      <c r="DW91" s="212" t="s">
        <v>830</v>
      </c>
      <c r="DX91" s="212">
        <v>0.88565749500000002</v>
      </c>
      <c r="DY91" s="212">
        <v>11.081696000000001</v>
      </c>
      <c r="DZ91" s="212">
        <v>228.47831500000001</v>
      </c>
      <c r="EA91" s="212">
        <v>18.754078</v>
      </c>
      <c r="EB91" s="212">
        <v>21.546084</v>
      </c>
      <c r="EC91" s="212">
        <v>20.570584</v>
      </c>
      <c r="ED91" s="212">
        <v>2266.2835439999999</v>
      </c>
      <c r="EE91" s="212">
        <v>23.387412000000001</v>
      </c>
      <c r="EF91" s="212">
        <v>34.748285000000003</v>
      </c>
      <c r="EG91" s="212">
        <v>1.4729661000000001</v>
      </c>
      <c r="EH91" s="212">
        <v>0.66310880000000005</v>
      </c>
      <c r="EI91" s="212">
        <v>1.1168022</v>
      </c>
      <c r="EJ91" s="212" t="s">
        <v>830</v>
      </c>
      <c r="EK91" s="212">
        <v>1.6482281999999999</v>
      </c>
      <c r="EL91" s="212">
        <v>2.7677304999999999</v>
      </c>
      <c r="EM91">
        <v>1.2831523899999999</v>
      </c>
      <c r="EN91">
        <v>2.3567325600000002</v>
      </c>
      <c r="EO91" s="221">
        <v>1.4046706</v>
      </c>
      <c r="EP91">
        <v>264.81010900000001</v>
      </c>
      <c r="EQ91">
        <v>195.88954799999999</v>
      </c>
      <c r="ER91">
        <v>16.712728800000001</v>
      </c>
      <c r="ES91">
        <v>15.1511125</v>
      </c>
      <c r="ET91">
        <v>8.9473824999999998</v>
      </c>
      <c r="EU91">
        <v>202.20324210000001</v>
      </c>
      <c r="EV91">
        <v>118.5024179</v>
      </c>
      <c r="EW91">
        <v>18.032689399999999</v>
      </c>
      <c r="EX91">
        <v>103.51922020000001</v>
      </c>
      <c r="EY91">
        <v>2.6817006999999999</v>
      </c>
      <c r="EZ91" s="223">
        <v>2334.7331156999999</v>
      </c>
      <c r="FA91">
        <v>8.4819119999999995</v>
      </c>
      <c r="FB91">
        <v>1.0837285000000001</v>
      </c>
      <c r="FC91">
        <v>2.0755745000000001</v>
      </c>
      <c r="FD91">
        <v>2.8693366</v>
      </c>
      <c r="FE91">
        <v>1.2664228</v>
      </c>
      <c r="FF91">
        <v>1.7078248</v>
      </c>
      <c r="FG91">
        <v>0.84458133999999996</v>
      </c>
      <c r="FH91">
        <v>1.1515363700000001</v>
      </c>
      <c r="FI91">
        <v>0.98137761000000001</v>
      </c>
      <c r="FJ91">
        <v>117.24154537</v>
      </c>
    </row>
    <row r="92" spans="1:166" x14ac:dyDescent="0.3">
      <c r="A92" s="223">
        <v>91</v>
      </c>
      <c r="B92" s="315">
        <v>42444</v>
      </c>
      <c r="C92" s="212">
        <v>1012387.1753</v>
      </c>
      <c r="D92" s="212">
        <v>104.71478633</v>
      </c>
      <c r="E92" s="212">
        <v>1.3148234999999999</v>
      </c>
      <c r="F92" s="212">
        <v>6.7312465000000001</v>
      </c>
      <c r="G92" s="212">
        <v>4.8157134599000004</v>
      </c>
      <c r="H92" s="212">
        <v>3.7954364119999999</v>
      </c>
      <c r="I92" s="212">
        <v>1.1050472600000001</v>
      </c>
      <c r="J92" s="212">
        <v>4.4208780000000001</v>
      </c>
      <c r="K92" s="212">
        <v>3.1173739999999999</v>
      </c>
      <c r="L92" s="212">
        <v>10.709647</v>
      </c>
      <c r="M92" s="212">
        <v>0.95254013299999996</v>
      </c>
      <c r="N92" s="212">
        <v>1.306469104</v>
      </c>
      <c r="O92" s="212">
        <v>1.957422845</v>
      </c>
      <c r="P92" s="212">
        <v>1.3580808209999999</v>
      </c>
      <c r="Q92" s="212">
        <v>1.568063</v>
      </c>
      <c r="R92" s="212">
        <v>1.797284842</v>
      </c>
      <c r="S92" s="212">
        <v>12.571679</v>
      </c>
      <c r="T92" s="212">
        <v>3.019575637</v>
      </c>
      <c r="U92" s="212">
        <v>3.4061257820000002</v>
      </c>
      <c r="V92" s="212">
        <v>1.676170814</v>
      </c>
      <c r="W92" s="212">
        <v>1.3920655049999999</v>
      </c>
      <c r="X92" s="212">
        <v>3.5173829030000001</v>
      </c>
      <c r="Y92" s="212">
        <v>1.8877349999999999</v>
      </c>
      <c r="Z92" s="212">
        <v>1.6362399999999999</v>
      </c>
      <c r="AA92" s="212">
        <v>1.364261749</v>
      </c>
      <c r="AB92" s="212">
        <v>1.146524487</v>
      </c>
      <c r="AC92" s="212">
        <v>1.166213218</v>
      </c>
      <c r="AD92" s="212">
        <v>1.349392546</v>
      </c>
      <c r="AE92" s="212">
        <v>1.3472878960000001</v>
      </c>
      <c r="AF92" s="212">
        <v>1.328356895</v>
      </c>
      <c r="AG92" s="212">
        <v>9.3931379879999994</v>
      </c>
      <c r="AH92" s="212">
        <v>1.7926531880000001</v>
      </c>
      <c r="AI92" s="212">
        <v>3.8171460000000002</v>
      </c>
      <c r="AJ92" s="212">
        <v>2.4547509999999999</v>
      </c>
      <c r="AK92" s="212">
        <v>198.56309658000001</v>
      </c>
      <c r="AL92" s="212">
        <v>1.1037808</v>
      </c>
      <c r="AM92" s="212">
        <v>1.9643554999999999</v>
      </c>
      <c r="AN92" s="212">
        <v>8.7018781000000001</v>
      </c>
      <c r="AO92" s="212">
        <v>1.7895544999999999</v>
      </c>
      <c r="AP92" s="212">
        <v>1.7835983</v>
      </c>
      <c r="AQ92" s="212">
        <v>2.4664815999999998</v>
      </c>
      <c r="AR92" s="212">
        <v>8.6649496999999993</v>
      </c>
      <c r="AS92" s="212">
        <v>378.71101570000002</v>
      </c>
      <c r="AT92" s="212">
        <v>1.1591537000000001</v>
      </c>
      <c r="AU92" s="212">
        <v>3.0446415</v>
      </c>
      <c r="AV92" s="212">
        <v>2.6449392</v>
      </c>
      <c r="AW92" s="212">
        <v>1.6356276000000001</v>
      </c>
      <c r="AX92" s="212">
        <v>1.2447067000000001</v>
      </c>
      <c r="AY92" s="212">
        <v>2.608781</v>
      </c>
      <c r="AZ92" s="212" t="s">
        <v>830</v>
      </c>
      <c r="BA92" s="212">
        <v>1.9002174949999999</v>
      </c>
      <c r="BB92" s="212">
        <v>2.5121080999999998</v>
      </c>
      <c r="BC92" s="212">
        <v>3.0311370000000002</v>
      </c>
      <c r="BD92" s="212">
        <v>1.0734729999999999</v>
      </c>
      <c r="BE92" s="212">
        <v>1.0571729999999999</v>
      </c>
      <c r="BF92" s="212">
        <v>1.046502</v>
      </c>
      <c r="BG92" s="212">
        <v>1.06769</v>
      </c>
      <c r="BH92" s="212">
        <v>1.051158</v>
      </c>
      <c r="BI92" s="212">
        <v>1.209924</v>
      </c>
      <c r="BJ92" s="212">
        <v>1.0957710000000001</v>
      </c>
      <c r="BK92" s="212">
        <v>1.2061999999999999</v>
      </c>
      <c r="BL92" s="212">
        <v>1.2033130000000001</v>
      </c>
      <c r="BM92" s="212">
        <v>1.2027909999999999</v>
      </c>
      <c r="BN92" s="212">
        <v>1.077197</v>
      </c>
      <c r="BO92" s="212">
        <v>1.1779409999999999</v>
      </c>
      <c r="BP92" s="212">
        <v>2.6629149999999999</v>
      </c>
      <c r="BQ92" s="212">
        <v>1.384091</v>
      </c>
      <c r="BR92" s="212">
        <v>1.4861899999999999</v>
      </c>
      <c r="BS92" s="212">
        <v>1.321977</v>
      </c>
      <c r="BT92" s="212">
        <v>1.7899769999999999</v>
      </c>
      <c r="BU92" s="212">
        <v>1.7526379999999999</v>
      </c>
      <c r="BV92" s="212">
        <v>1.931827</v>
      </c>
      <c r="BW92" s="212">
        <v>1.776146</v>
      </c>
      <c r="BX92" s="212">
        <v>1.747492</v>
      </c>
      <c r="BY92" s="212">
        <v>1.7391909999999999</v>
      </c>
      <c r="BZ92" s="212">
        <v>1.997072</v>
      </c>
      <c r="CA92" s="212">
        <v>1.927403</v>
      </c>
      <c r="CB92" s="212">
        <v>1.9419420000000001</v>
      </c>
      <c r="CC92" s="212">
        <v>1.8831899999999999</v>
      </c>
      <c r="CD92" s="212">
        <v>1.884004</v>
      </c>
      <c r="CE92" s="212">
        <v>1.8329219999999999</v>
      </c>
      <c r="CF92" s="212">
        <v>1.1533180000000001</v>
      </c>
      <c r="CG92" s="212">
        <v>1.355011</v>
      </c>
      <c r="CH92" s="212">
        <v>1.34568</v>
      </c>
      <c r="CI92" s="212">
        <v>2.882349</v>
      </c>
      <c r="CJ92" s="212">
        <v>1.006184</v>
      </c>
      <c r="CK92" s="212">
        <v>1.0914219999999999</v>
      </c>
      <c r="CL92" s="212">
        <v>0.67621299999999995</v>
      </c>
      <c r="CM92" s="212">
        <v>3.078967</v>
      </c>
      <c r="CN92" s="212">
        <v>1.919557</v>
      </c>
      <c r="CO92" s="212">
        <v>1.0446470000000001</v>
      </c>
      <c r="CP92" s="212">
        <v>1.0368630000000001</v>
      </c>
      <c r="CQ92" s="212">
        <v>1.286724</v>
      </c>
      <c r="CR92" s="212">
        <v>13.972194999999999</v>
      </c>
      <c r="CS92" s="212">
        <v>4.3600310000000002</v>
      </c>
      <c r="CT92" s="212">
        <v>2.0484200000000001</v>
      </c>
      <c r="CU92" s="212">
        <v>5.232132</v>
      </c>
      <c r="CV92" s="212">
        <v>9.3712099999999996</v>
      </c>
      <c r="CW92" s="212" t="s">
        <v>830</v>
      </c>
      <c r="CX92" s="212">
        <v>1.2291666309</v>
      </c>
      <c r="CY92" s="212">
        <v>2.1507997058999999</v>
      </c>
      <c r="CZ92" s="212">
        <v>1.1833262049</v>
      </c>
      <c r="DA92" s="212">
        <v>14.565113754</v>
      </c>
      <c r="DB92" s="212">
        <v>1.0825499999999999</v>
      </c>
      <c r="DC92" s="212">
        <v>1.089056</v>
      </c>
      <c r="DD92" s="212">
        <v>1.9685079999999999</v>
      </c>
      <c r="DE92" s="212">
        <v>1.9234290000000001</v>
      </c>
      <c r="DF92" s="212">
        <v>1.802826</v>
      </c>
      <c r="DG92" s="212">
        <v>1.0702596200000001</v>
      </c>
      <c r="DH92" s="212">
        <v>126.85634756</v>
      </c>
      <c r="DI92" s="212">
        <v>0.25726988000000001</v>
      </c>
      <c r="DJ92" s="212">
        <v>2.0858976999999999</v>
      </c>
      <c r="DK92" s="212">
        <v>1.8809298999999999</v>
      </c>
      <c r="DL92" s="212">
        <v>154806.92236</v>
      </c>
      <c r="DM92" s="212">
        <v>322.86061319999999</v>
      </c>
      <c r="DN92" s="212">
        <v>16.9933987</v>
      </c>
      <c r="DO92" s="212" t="s">
        <v>830</v>
      </c>
      <c r="DP92" s="212">
        <v>18039108.552999999</v>
      </c>
      <c r="DQ92" s="212">
        <v>1.3552677</v>
      </c>
      <c r="DR92" s="212">
        <v>14.844272399999999</v>
      </c>
      <c r="DS92" s="212">
        <v>21.799093299999999</v>
      </c>
      <c r="DT92" s="212">
        <v>1.8899169</v>
      </c>
      <c r="DU92" s="212">
        <v>1.1173261000000001</v>
      </c>
      <c r="DV92" s="212" t="s">
        <v>830</v>
      </c>
      <c r="DW92" s="212" t="s">
        <v>830</v>
      </c>
      <c r="DX92" s="212">
        <v>0.87465540600000002</v>
      </c>
      <c r="DY92" s="212">
        <v>10.717689</v>
      </c>
      <c r="DZ92" s="212">
        <v>228.57986</v>
      </c>
      <c r="EA92" s="212">
        <v>18.671676000000001</v>
      </c>
      <c r="EB92" s="212">
        <v>21.497025000000001</v>
      </c>
      <c r="EC92" s="212">
        <v>20.278827</v>
      </c>
      <c r="ED92" s="212">
        <v>2267.478157</v>
      </c>
      <c r="EE92" s="212">
        <v>23.396467999999999</v>
      </c>
      <c r="EF92" s="212">
        <v>34.766176000000002</v>
      </c>
      <c r="EG92" s="212">
        <v>1.4310909000000001</v>
      </c>
      <c r="EH92" s="212">
        <v>0.6633114</v>
      </c>
      <c r="EI92" s="212">
        <v>1.111381</v>
      </c>
      <c r="EJ92" s="212" t="s">
        <v>830</v>
      </c>
      <c r="EK92" s="212">
        <v>1.6505103000000001</v>
      </c>
      <c r="EL92" s="212">
        <v>2.7715624999999999</v>
      </c>
      <c r="EM92">
        <v>1.28359482</v>
      </c>
      <c r="EN92">
        <v>2.35837041</v>
      </c>
      <c r="EO92" s="221">
        <v>1.4053085000000001</v>
      </c>
      <c r="EP92">
        <v>264.95579199999997</v>
      </c>
      <c r="EQ92">
        <v>193.51566399999999</v>
      </c>
      <c r="ER92">
        <v>16.674737700000001</v>
      </c>
      <c r="ES92">
        <v>14.935953700000001</v>
      </c>
      <c r="ET92">
        <v>8.9520403000000002</v>
      </c>
      <c r="EU92">
        <v>199.32964369999999</v>
      </c>
      <c r="EV92">
        <v>114.916612</v>
      </c>
      <c r="EW92">
        <v>18.0378644</v>
      </c>
      <c r="EX92">
        <v>103.5698379</v>
      </c>
      <c r="EY92">
        <v>2.5048656999999999</v>
      </c>
      <c r="EZ92" s="223">
        <v>2335.9129272</v>
      </c>
      <c r="FA92">
        <v>8.4854909999999997</v>
      </c>
      <c r="FB92">
        <v>1.0598502000000001</v>
      </c>
      <c r="FC92">
        <v>2.0471653000000001</v>
      </c>
      <c r="FD92">
        <v>2.8707845999999999</v>
      </c>
      <c r="FE92">
        <v>1.2661770000000001</v>
      </c>
      <c r="FF92">
        <v>1.7013716999999999</v>
      </c>
      <c r="FG92">
        <v>0.82019032000000003</v>
      </c>
      <c r="FH92">
        <v>1.15153719</v>
      </c>
      <c r="FI92">
        <v>0.98129880999999997</v>
      </c>
      <c r="FJ92">
        <v>117.29301513999999</v>
      </c>
    </row>
    <row r="93" spans="1:166" x14ac:dyDescent="0.3">
      <c r="A93" s="223">
        <v>92</v>
      </c>
      <c r="B93" s="315">
        <v>42445</v>
      </c>
      <c r="C93">
        <v>1012297.9611</v>
      </c>
      <c r="D93">
        <v>104.71059741000001</v>
      </c>
      <c r="E93">
        <v>1.3147635</v>
      </c>
      <c r="F93">
        <v>6.8264146999999999</v>
      </c>
      <c r="G93">
        <v>4.7490228657999998</v>
      </c>
      <c r="H93" s="212">
        <v>3.8313529040000001</v>
      </c>
      <c r="I93">
        <v>1.1119290369999999</v>
      </c>
      <c r="J93">
        <v>4.4230679999999998</v>
      </c>
      <c r="K93">
        <v>3.1184980000000002</v>
      </c>
      <c r="L93">
        <v>10.713804</v>
      </c>
      <c r="M93">
        <v>0.96560485799999995</v>
      </c>
      <c r="N93">
        <v>1.3175942329999999</v>
      </c>
      <c r="O93">
        <v>1.9641551719999999</v>
      </c>
      <c r="P93">
        <v>1.3595205509999999</v>
      </c>
      <c r="Q93">
        <v>1.5688040000000001</v>
      </c>
      <c r="R93">
        <v>1.8011755759999999</v>
      </c>
      <c r="S93">
        <v>12.593629999999999</v>
      </c>
      <c r="T93">
        <v>3.0212630460000001</v>
      </c>
      <c r="U93">
        <v>3.4079631890000002</v>
      </c>
      <c r="V93">
        <v>1.6759375700000001</v>
      </c>
      <c r="W93">
        <v>1.39315031</v>
      </c>
      <c r="X93">
        <v>3.521353043</v>
      </c>
      <c r="Y93">
        <v>1.8893180000000001</v>
      </c>
      <c r="Z93">
        <v>1.6370279999999999</v>
      </c>
      <c r="AA93">
        <v>1.362728755</v>
      </c>
      <c r="AB93">
        <v>1.147749079</v>
      </c>
      <c r="AC93">
        <v>1.1677224939999999</v>
      </c>
      <c r="AD93">
        <v>1.3500268520000001</v>
      </c>
      <c r="AE93">
        <v>1.3479217130000001</v>
      </c>
      <c r="AF93">
        <v>1.3276517779999999</v>
      </c>
      <c r="AG93">
        <v>9.3976332389999993</v>
      </c>
      <c r="AH93">
        <v>1.7942881500000001</v>
      </c>
      <c r="AI93">
        <v>3.8192750000000002</v>
      </c>
      <c r="AJ93">
        <v>2.4565139999999999</v>
      </c>
      <c r="AK93">
        <v>198.67239208000001</v>
      </c>
      <c r="AL93">
        <v>1.1060288</v>
      </c>
      <c r="AM93">
        <v>1.9651356</v>
      </c>
      <c r="AN93">
        <v>8.7065661999999993</v>
      </c>
      <c r="AO93">
        <v>1.7901518000000001</v>
      </c>
      <c r="AP93">
        <v>1.7841419000000001</v>
      </c>
      <c r="AQ93">
        <v>2.4677538000000001</v>
      </c>
      <c r="AR93">
        <v>8.6693326000000006</v>
      </c>
      <c r="AS93">
        <v>383.82146640000002</v>
      </c>
      <c r="AT93">
        <v>1.1769467</v>
      </c>
      <c r="AU93">
        <v>3.0460894999999999</v>
      </c>
      <c r="AV93">
        <v>2.6456781999999999</v>
      </c>
      <c r="AW93">
        <v>1.635356</v>
      </c>
      <c r="AX93">
        <v>1.2467528999999999</v>
      </c>
      <c r="AY93">
        <v>2.6109524</v>
      </c>
      <c r="AZ93" t="s">
        <v>830</v>
      </c>
      <c r="BA93">
        <v>1.901193047</v>
      </c>
      <c r="BB93">
        <v>2.5132390999999998</v>
      </c>
      <c r="BC93">
        <v>3.032756</v>
      </c>
      <c r="BD93">
        <v>1.0743450000000001</v>
      </c>
      <c r="BE93">
        <v>1.0580320000000001</v>
      </c>
      <c r="BF93">
        <v>1.047353</v>
      </c>
      <c r="BG93">
        <v>1.0685579999999999</v>
      </c>
      <c r="BH93">
        <v>1.0520119999999999</v>
      </c>
      <c r="BI93">
        <v>1.2104809999999999</v>
      </c>
      <c r="BJ93">
        <v>1.0986210000000001</v>
      </c>
      <c r="BK93">
        <v>1.208439</v>
      </c>
      <c r="BL93">
        <v>1.203864</v>
      </c>
      <c r="BM93">
        <v>1.203346</v>
      </c>
      <c r="BN93">
        <v>1.0757289999999999</v>
      </c>
      <c r="BO93">
        <v>1.1777599999999999</v>
      </c>
      <c r="BP93">
        <v>2.664301</v>
      </c>
      <c r="BQ93">
        <v>1.3847700000000001</v>
      </c>
      <c r="BR93">
        <v>1.4891479999999999</v>
      </c>
      <c r="BS93">
        <v>1.3216639999999999</v>
      </c>
      <c r="BT93">
        <v>1.79135</v>
      </c>
      <c r="BU93">
        <v>1.7537419999999999</v>
      </c>
      <c r="BV93">
        <v>1.93276</v>
      </c>
      <c r="BW93">
        <v>1.777288</v>
      </c>
      <c r="BX93">
        <v>1.7483249999999999</v>
      </c>
      <c r="BY93">
        <v>1.7403550000000001</v>
      </c>
      <c r="BZ93">
        <v>1.9983709999999999</v>
      </c>
      <c r="CA93">
        <v>1.9286190000000001</v>
      </c>
      <c r="CB93">
        <v>1.942863</v>
      </c>
      <c r="CC93">
        <v>1.884377</v>
      </c>
      <c r="CD93">
        <v>1.885189</v>
      </c>
      <c r="CE93">
        <v>1.834077</v>
      </c>
      <c r="CF93">
        <v>1.1541170000000001</v>
      </c>
      <c r="CG93">
        <v>1.3566309999999999</v>
      </c>
      <c r="CH93">
        <v>1.347056</v>
      </c>
      <c r="CI93">
        <v>2.8839090000000001</v>
      </c>
      <c r="CJ93">
        <v>1.0189870000000001</v>
      </c>
      <c r="CK93">
        <v>1.105308</v>
      </c>
      <c r="CL93">
        <v>0.68216399999999999</v>
      </c>
      <c r="CM93">
        <v>3.1190370000000001</v>
      </c>
      <c r="CN93">
        <v>1.9226920000000001</v>
      </c>
      <c r="CO93">
        <v>1.0446470000000001</v>
      </c>
      <c r="CP93">
        <v>1.03775</v>
      </c>
      <c r="CQ93" s="205">
        <v>1.287391</v>
      </c>
      <c r="CR93">
        <v>13.978676</v>
      </c>
      <c r="CS93">
        <v>4.3620979999999996</v>
      </c>
      <c r="CT93">
        <v>2.049525</v>
      </c>
      <c r="CU93">
        <v>5.2338380000000004</v>
      </c>
      <c r="CV93">
        <v>9.3755629999999996</v>
      </c>
      <c r="CW93" t="s">
        <v>830</v>
      </c>
      <c r="CX93">
        <v>1.2298053668</v>
      </c>
      <c r="CY93">
        <v>2.1170863770000001</v>
      </c>
      <c r="CZ93">
        <v>1.1843327555000001</v>
      </c>
      <c r="DA93">
        <v>14.572516059</v>
      </c>
      <c r="DB93">
        <v>1.0834299999999999</v>
      </c>
      <c r="DC93">
        <v>1.0918890000000001</v>
      </c>
      <c r="DD93">
        <v>1.971951</v>
      </c>
      <c r="DE93">
        <v>1.9244250000000001</v>
      </c>
      <c r="DF93">
        <v>1.804333</v>
      </c>
      <c r="DG93">
        <v>1.0711796600000001</v>
      </c>
      <c r="DH93">
        <v>126.93229965</v>
      </c>
      <c r="DI93">
        <v>0.25741259999999999</v>
      </c>
      <c r="DJ93">
        <v>2.0868541999999999</v>
      </c>
      <c r="DK93">
        <v>1.87616896</v>
      </c>
      <c r="DL93">
        <v>154908.43961</v>
      </c>
      <c r="DM93">
        <v>323.02177870000003</v>
      </c>
      <c r="DN93">
        <v>17.002582100000001</v>
      </c>
      <c r="DO93" t="s">
        <v>830</v>
      </c>
      <c r="DP93">
        <v>18037908.533</v>
      </c>
      <c r="DQ93">
        <v>1.3893188999999999</v>
      </c>
      <c r="DR93">
        <v>14.851043900000001</v>
      </c>
      <c r="DS93" s="206">
        <v>21.8103558</v>
      </c>
      <c r="DT93">
        <v>1.8904331999999999</v>
      </c>
      <c r="DU93">
        <v>1.1262778</v>
      </c>
      <c r="DV93" t="s">
        <v>830</v>
      </c>
      <c r="DW93" t="s">
        <v>830</v>
      </c>
      <c r="DX93">
        <v>0.87285258200000004</v>
      </c>
      <c r="DY93">
        <v>10.812086000000001</v>
      </c>
      <c r="DZ93">
        <v>228.75841500000001</v>
      </c>
      <c r="EA93">
        <v>18.692782000000001</v>
      </c>
      <c r="EB93">
        <v>21.53454</v>
      </c>
      <c r="EC93">
        <v>20.290140999999998</v>
      </c>
      <c r="ED93">
        <v>2268.6891759999999</v>
      </c>
      <c r="EE93">
        <v>23.403613</v>
      </c>
      <c r="EF93">
        <v>34.784126999999998</v>
      </c>
      <c r="EG93">
        <v>1.4513004</v>
      </c>
      <c r="EH93">
        <v>0.66349709999999995</v>
      </c>
      <c r="EI93">
        <v>1.1114482000000001</v>
      </c>
      <c r="EJ93" t="s">
        <v>830</v>
      </c>
      <c r="EK93">
        <v>1.6490085000000001</v>
      </c>
      <c r="EL93">
        <v>2.7690402000000001</v>
      </c>
      <c r="EM93">
        <v>1.28374956</v>
      </c>
      <c r="EN93">
        <v>2.35955921</v>
      </c>
      <c r="EO93">
        <v>1.4059465</v>
      </c>
      <c r="EP93">
        <v>264.97596499999997</v>
      </c>
      <c r="EQ93">
        <v>193.579149</v>
      </c>
      <c r="ER93">
        <v>16.704053500000001</v>
      </c>
      <c r="ES93">
        <v>14.944456000000001</v>
      </c>
      <c r="ET93">
        <v>8.9567487000000003</v>
      </c>
      <c r="EU93">
        <v>199.44127230000001</v>
      </c>
      <c r="EV93">
        <v>116.8083099</v>
      </c>
      <c r="EW93">
        <v>18.052420099999999</v>
      </c>
      <c r="EX93">
        <v>103.6210421</v>
      </c>
      <c r="EY93">
        <v>2.698995</v>
      </c>
      <c r="EZ93">
        <v>2337.1177031000002</v>
      </c>
      <c r="FA93" s="223">
        <v>8.4891229999999993</v>
      </c>
      <c r="FB93" s="223">
        <v>1.0649116999999999</v>
      </c>
      <c r="FC93" s="223">
        <v>2.0488721999999999</v>
      </c>
      <c r="FD93">
        <v>2.8722359000000002</v>
      </c>
      <c r="FE93">
        <v>1.2674596</v>
      </c>
      <c r="FF93">
        <v>1.7035572999999999</v>
      </c>
      <c r="FG93">
        <v>0.82278291000000003</v>
      </c>
      <c r="FH93">
        <v>1.1523019699999999</v>
      </c>
      <c r="FI93">
        <v>0.98122001000000003</v>
      </c>
      <c r="FJ93">
        <v>117.3459771</v>
      </c>
    </row>
    <row r="94" spans="1:166" x14ac:dyDescent="0.3">
      <c r="A94" s="223">
        <v>93</v>
      </c>
      <c r="B94" s="315">
        <v>42446</v>
      </c>
      <c r="C94">
        <v>1012226.034</v>
      </c>
      <c r="D94">
        <v>104.70646180999999</v>
      </c>
      <c r="E94">
        <v>1.3249899999999999</v>
      </c>
      <c r="F94">
        <v>7.0954978999999998</v>
      </c>
      <c r="G94">
        <v>4.7520184309999998</v>
      </c>
      <c r="H94" s="212">
        <v>4.0096502369999998</v>
      </c>
      <c r="I94">
        <v>1.144377803</v>
      </c>
      <c r="J94">
        <v>4.4253</v>
      </c>
      <c r="K94">
        <v>3.1196220000000001</v>
      </c>
      <c r="L94">
        <v>10.718204999999999</v>
      </c>
      <c r="M94">
        <v>1.0099123830000001</v>
      </c>
      <c r="N94">
        <v>1.3897249810000001</v>
      </c>
      <c r="O94">
        <v>1.9677484350000001</v>
      </c>
      <c r="P94">
        <v>1.3752492730000001</v>
      </c>
      <c r="Q94">
        <v>1.569504</v>
      </c>
      <c r="R94">
        <v>1.8087409000000001</v>
      </c>
      <c r="S94">
        <v>12.655367999999999</v>
      </c>
      <c r="T94">
        <v>3.0895550040000002</v>
      </c>
      <c r="U94">
        <v>3.487014292</v>
      </c>
      <c r="V94">
        <v>1.734362542</v>
      </c>
      <c r="W94">
        <v>1.407618931</v>
      </c>
      <c r="X94">
        <v>3.5468621890000001</v>
      </c>
      <c r="Y94">
        <v>1.890366</v>
      </c>
      <c r="Z94">
        <v>1.637861</v>
      </c>
      <c r="AA94">
        <v>1.386782564</v>
      </c>
      <c r="AB94">
        <v>1.149159636</v>
      </c>
      <c r="AC94">
        <v>1.1735338799999999</v>
      </c>
      <c r="AD94">
        <v>1.3506614640000001</v>
      </c>
      <c r="AE94">
        <v>1.3485558740000001</v>
      </c>
      <c r="AF94">
        <v>1.349623322</v>
      </c>
      <c r="AG94">
        <v>9.4021884940000007</v>
      </c>
      <c r="AH94">
        <v>1.7956949310000001</v>
      </c>
      <c r="AI94">
        <v>3.8221479999999999</v>
      </c>
      <c r="AJ94">
        <v>2.505617</v>
      </c>
      <c r="AK94">
        <v>199.3973087</v>
      </c>
      <c r="AL94">
        <v>1.1139688000000001</v>
      </c>
      <c r="AM94">
        <v>2.0104019000000002</v>
      </c>
      <c r="AN94">
        <v>8.7110263000000003</v>
      </c>
      <c r="AO94">
        <v>1.7916543</v>
      </c>
      <c r="AP94">
        <v>1.7856403000000001</v>
      </c>
      <c r="AQ94">
        <v>2.4690276</v>
      </c>
      <c r="AR94">
        <v>8.6736318000000008</v>
      </c>
      <c r="AS94">
        <v>409.15340780000002</v>
      </c>
      <c r="AT94">
        <v>1.2258416000000001</v>
      </c>
      <c r="AU94">
        <v>3.0475080999999999</v>
      </c>
      <c r="AV94">
        <v>2.7070139000000002</v>
      </c>
      <c r="AW94">
        <v>1.6921664999999999</v>
      </c>
      <c r="AX94">
        <v>1.2529718999999999</v>
      </c>
      <c r="AY94">
        <v>2.6387177999999998</v>
      </c>
      <c r="AZ94" t="s">
        <v>830</v>
      </c>
      <c r="BA94">
        <v>1.9021633659999999</v>
      </c>
      <c r="BB94">
        <v>2.5724326</v>
      </c>
      <c r="BC94">
        <v>3.0347279999999999</v>
      </c>
      <c r="BD94">
        <v>1.0750729999999999</v>
      </c>
      <c r="BE94">
        <v>1.058748</v>
      </c>
      <c r="BF94">
        <v>1.048062</v>
      </c>
      <c r="BG94">
        <v>1.0692820000000001</v>
      </c>
      <c r="BH94">
        <v>1.0527249999999999</v>
      </c>
      <c r="BI94">
        <v>1.211039</v>
      </c>
      <c r="BJ94">
        <v>1.103599</v>
      </c>
      <c r="BK94">
        <v>1.2221</v>
      </c>
      <c r="BL94">
        <v>1.2044159999999999</v>
      </c>
      <c r="BM94">
        <v>1.203902</v>
      </c>
      <c r="BN94">
        <v>1.0971359999999999</v>
      </c>
      <c r="BO94">
        <v>1.2143699999999999</v>
      </c>
      <c r="BP94">
        <v>2.6656819999999999</v>
      </c>
      <c r="BQ94">
        <v>1.3854500000000001</v>
      </c>
      <c r="BR94">
        <v>1.495797</v>
      </c>
      <c r="BS94">
        <v>1.3670199999999999</v>
      </c>
      <c r="BT94">
        <v>1.8099700000000001</v>
      </c>
      <c r="BU94">
        <v>1.754793</v>
      </c>
      <c r="BV94">
        <v>1.9336930000000001</v>
      </c>
      <c r="BW94">
        <v>1.7784249999999999</v>
      </c>
      <c r="BX94">
        <v>1.749158</v>
      </c>
      <c r="BY94">
        <v>1.74152</v>
      </c>
      <c r="BZ94">
        <v>1.9996130000000001</v>
      </c>
      <c r="CA94">
        <v>1.929837</v>
      </c>
      <c r="CB94">
        <v>1.943783</v>
      </c>
      <c r="CC94">
        <v>1.885564</v>
      </c>
      <c r="CD94">
        <v>1.8863749999999999</v>
      </c>
      <c r="CE94">
        <v>1.8352189999999999</v>
      </c>
      <c r="CF94">
        <v>1.1549160000000001</v>
      </c>
      <c r="CG94">
        <v>1.374118</v>
      </c>
      <c r="CH94">
        <v>1.3569560000000001</v>
      </c>
      <c r="CI94">
        <v>2.8857879999999998</v>
      </c>
      <c r="CJ94">
        <v>1.092333</v>
      </c>
      <c r="CK94">
        <v>1.1846179999999999</v>
      </c>
      <c r="CL94">
        <v>0.721028</v>
      </c>
      <c r="CM94">
        <v>3.32877</v>
      </c>
      <c r="CN94">
        <v>1.8858440000000001</v>
      </c>
      <c r="CO94">
        <v>1.0446470000000001</v>
      </c>
      <c r="CP94">
        <v>1.0597970000000001</v>
      </c>
      <c r="CQ94" s="205">
        <v>1.2880419999999999</v>
      </c>
      <c r="CR94">
        <v>13.984667999999999</v>
      </c>
      <c r="CS94">
        <v>4.3641930000000002</v>
      </c>
      <c r="CT94">
        <v>2.0943510000000001</v>
      </c>
      <c r="CU94">
        <v>5.2355450000000001</v>
      </c>
      <c r="CV94">
        <v>9.3796339999999994</v>
      </c>
      <c r="CW94" t="s">
        <v>830</v>
      </c>
      <c r="CX94">
        <v>1.2304423562</v>
      </c>
      <c r="CY94">
        <v>2.1187552304000001</v>
      </c>
      <c r="CZ94">
        <v>1.1862714380999999</v>
      </c>
      <c r="DA94">
        <v>14.579850814</v>
      </c>
      <c r="DB94">
        <v>1.0841639999999999</v>
      </c>
      <c r="DC94">
        <v>1.0968370000000001</v>
      </c>
      <c r="DD94">
        <v>1.9815149999999999</v>
      </c>
      <c r="DE94">
        <v>1.9688410000000001</v>
      </c>
      <c r="DF94">
        <v>1.8053399999999999</v>
      </c>
      <c r="DG94">
        <v>1.0792377799999999</v>
      </c>
      <c r="DH94">
        <v>127.00728339</v>
      </c>
      <c r="DI94">
        <v>0.25777644</v>
      </c>
      <c r="DJ94">
        <v>2.0877965999999999</v>
      </c>
      <c r="DK94">
        <v>1.8765157299999999</v>
      </c>
      <c r="DL94">
        <v>155010.02346999999</v>
      </c>
      <c r="DM94">
        <v>323.1796387</v>
      </c>
      <c r="DN94">
        <v>17.007307399999998</v>
      </c>
      <c r="DO94" t="s">
        <v>830</v>
      </c>
      <c r="DP94">
        <v>18036708.590999998</v>
      </c>
      <c r="DQ94">
        <v>1.438509</v>
      </c>
      <c r="DR94">
        <v>14.8577748</v>
      </c>
      <c r="DS94" s="206">
        <v>21.8216395</v>
      </c>
      <c r="DT94">
        <v>1.9075738</v>
      </c>
      <c r="DU94">
        <v>1.1742205999999999</v>
      </c>
      <c r="DV94" t="s">
        <v>830</v>
      </c>
      <c r="DW94" t="s">
        <v>830</v>
      </c>
      <c r="DX94">
        <v>0.88851824400000001</v>
      </c>
      <c r="DY94">
        <v>11.439939000000001</v>
      </c>
      <c r="DZ94">
        <v>228.97310899999999</v>
      </c>
      <c r="EA94">
        <v>18.828009000000002</v>
      </c>
      <c r="EB94">
        <v>21.638815999999998</v>
      </c>
      <c r="EC94">
        <v>20.756398000000001</v>
      </c>
      <c r="ED94">
        <v>2269.8736060000001</v>
      </c>
      <c r="EE94">
        <v>23.422962999999999</v>
      </c>
      <c r="EF94">
        <v>34.801991999999998</v>
      </c>
      <c r="EG94">
        <v>1.4801377</v>
      </c>
      <c r="EH94">
        <v>0.66369889999999998</v>
      </c>
      <c r="EI94">
        <v>1.1212549000000001</v>
      </c>
      <c r="EJ94" t="s">
        <v>830</v>
      </c>
      <c r="EK94">
        <v>1.6517869000000001</v>
      </c>
      <c r="EL94">
        <v>2.7737056999999998</v>
      </c>
      <c r="EM94">
        <v>1.28390231</v>
      </c>
      <c r="EN94">
        <v>2.3607486199999999</v>
      </c>
      <c r="EO94">
        <v>1.4065852999999999</v>
      </c>
      <c r="EP94">
        <v>265.45746600000001</v>
      </c>
      <c r="EQ94">
        <v>197.44443699999999</v>
      </c>
      <c r="ER94">
        <v>16.785214100000001</v>
      </c>
      <c r="ES94">
        <v>15.2910615</v>
      </c>
      <c r="ET94">
        <v>8.9613818999999992</v>
      </c>
      <c r="EU94">
        <v>204.06596089999999</v>
      </c>
      <c r="EV94">
        <v>119.06276509999999</v>
      </c>
      <c r="EW94">
        <v>18.061771400000001</v>
      </c>
      <c r="EX94">
        <v>103.6713744</v>
      </c>
      <c r="EY94">
        <v>2.9353050000000001</v>
      </c>
      <c r="EZ94">
        <v>2338.2874160000001</v>
      </c>
      <c r="FA94" s="223">
        <v>8.4927100000000006</v>
      </c>
      <c r="FB94" s="223">
        <v>1.1293420999999999</v>
      </c>
      <c r="FC94" s="223">
        <v>2.0917618</v>
      </c>
      <c r="FD94">
        <v>2.8736799999999998</v>
      </c>
      <c r="FE94">
        <v>1.2684572000000001</v>
      </c>
      <c r="FF94">
        <v>1.7142592999999999</v>
      </c>
      <c r="FG94">
        <v>0.85548016999999998</v>
      </c>
      <c r="FH94">
        <v>1.1530979400000001</v>
      </c>
      <c r="FI94">
        <v>0.98114122000000004</v>
      </c>
      <c r="FJ94">
        <v>117.39650481</v>
      </c>
    </row>
    <row r="95" spans="1:166" x14ac:dyDescent="0.3">
      <c r="A95" s="223">
        <v>94</v>
      </c>
      <c r="B95" s="315">
        <v>42447</v>
      </c>
      <c r="C95">
        <v>1012154.08</v>
      </c>
      <c r="D95">
        <v>104.70067788999999</v>
      </c>
      <c r="E95">
        <v>1.3275319000000001</v>
      </c>
      <c r="F95">
        <v>7.1199690000000002</v>
      </c>
      <c r="G95">
        <v>4.8570782485999997</v>
      </c>
      <c r="H95" s="212">
        <v>4.0285327569999998</v>
      </c>
      <c r="I95">
        <v>1.1428187320000001</v>
      </c>
      <c r="J95">
        <v>4.4275419999999999</v>
      </c>
      <c r="K95">
        <v>3.120752</v>
      </c>
      <c r="L95">
        <v>10.722602999999999</v>
      </c>
      <c r="M95">
        <v>1.0091811500000001</v>
      </c>
      <c r="N95">
        <v>1.387708159</v>
      </c>
      <c r="O95">
        <v>1.972884047</v>
      </c>
      <c r="P95">
        <v>1.3799602440000001</v>
      </c>
      <c r="Q95">
        <v>1.5702240000000001</v>
      </c>
      <c r="R95">
        <v>1.8100896070000001</v>
      </c>
      <c r="S95">
        <v>12.668265</v>
      </c>
      <c r="T95">
        <v>3.104114515</v>
      </c>
      <c r="U95">
        <v>3.5040845310000002</v>
      </c>
      <c r="V95">
        <v>1.7461001570000001</v>
      </c>
      <c r="W95">
        <v>1.410650145</v>
      </c>
      <c r="X95">
        <v>3.5506063459999999</v>
      </c>
      <c r="Y95">
        <v>1.8911309999999999</v>
      </c>
      <c r="Z95">
        <v>1.6386909999999999</v>
      </c>
      <c r="AA95">
        <v>1.395864303</v>
      </c>
      <c r="AB95">
        <v>1.1498445020000001</v>
      </c>
      <c r="AC95">
        <v>1.175363513</v>
      </c>
      <c r="AD95">
        <v>1.3512963689999999</v>
      </c>
      <c r="AE95">
        <v>1.349190307</v>
      </c>
      <c r="AF95">
        <v>1.3576020660000001</v>
      </c>
      <c r="AG95">
        <v>9.4067129999999999</v>
      </c>
      <c r="AH95">
        <v>1.7969081650000001</v>
      </c>
      <c r="AI95">
        <v>3.8242590000000001</v>
      </c>
      <c r="AJ95">
        <v>2.5166659999999998</v>
      </c>
      <c r="AK95">
        <v>199.68234699999999</v>
      </c>
      <c r="AL95">
        <v>1.1147833</v>
      </c>
      <c r="AM95">
        <v>2.0205226000000001</v>
      </c>
      <c r="AN95">
        <v>8.7154483999999997</v>
      </c>
      <c r="AO95">
        <v>1.7926517</v>
      </c>
      <c r="AP95">
        <v>1.7866310000000001</v>
      </c>
      <c r="AQ95">
        <v>2.4702942999999999</v>
      </c>
      <c r="AR95">
        <v>8.6778791999999996</v>
      </c>
      <c r="AS95">
        <v>408.35275510000002</v>
      </c>
      <c r="AT95">
        <v>1.2339876000000001</v>
      </c>
      <c r="AU95">
        <v>3.0489082999999999</v>
      </c>
      <c r="AV95">
        <v>2.7197941000000001</v>
      </c>
      <c r="AW95">
        <v>1.7043421000000001</v>
      </c>
      <c r="AX95">
        <v>1.2540821</v>
      </c>
      <c r="AY95">
        <v>2.6443024999999998</v>
      </c>
      <c r="AZ95" t="s">
        <v>830</v>
      </c>
      <c r="BA95">
        <v>1.903131865</v>
      </c>
      <c r="BB95">
        <v>2.5851315000000001</v>
      </c>
      <c r="BC95">
        <v>3.0364110000000002</v>
      </c>
      <c r="BD95">
        <v>1.0756779999999999</v>
      </c>
      <c r="BE95">
        <v>1.0593440000000001</v>
      </c>
      <c r="BF95">
        <v>1.0486519999999999</v>
      </c>
      <c r="BG95">
        <v>1.0698840000000001</v>
      </c>
      <c r="BH95">
        <v>1.0533170000000001</v>
      </c>
      <c r="BI95">
        <v>1.2115959999999999</v>
      </c>
      <c r="BJ95">
        <v>1.1044719999999999</v>
      </c>
      <c r="BK95">
        <v>1.2255910000000001</v>
      </c>
      <c r="BL95">
        <v>1.204969</v>
      </c>
      <c r="BM95">
        <v>1.204458</v>
      </c>
      <c r="BN95">
        <v>1.10436</v>
      </c>
      <c r="BO95">
        <v>1.2227779999999999</v>
      </c>
      <c r="BP95">
        <v>2.6670660000000002</v>
      </c>
      <c r="BQ95">
        <v>1.3861300000000001</v>
      </c>
      <c r="BR95">
        <v>1.4971680000000001</v>
      </c>
      <c r="BS95">
        <v>1.376995</v>
      </c>
      <c r="BT95">
        <v>1.813895</v>
      </c>
      <c r="BU95">
        <v>1.75573</v>
      </c>
      <c r="BV95">
        <v>1.9346270000000001</v>
      </c>
      <c r="BW95">
        <v>1.7795989999999999</v>
      </c>
      <c r="BX95">
        <v>1.749779</v>
      </c>
      <c r="BY95">
        <v>1.74241</v>
      </c>
      <c r="BZ95">
        <v>2.0008979999999998</v>
      </c>
      <c r="CA95">
        <v>1.930768</v>
      </c>
      <c r="CB95">
        <v>1.9447049999999999</v>
      </c>
      <c r="CC95">
        <v>1.886752</v>
      </c>
      <c r="CD95">
        <v>1.887562</v>
      </c>
      <c r="CE95">
        <v>1.836416</v>
      </c>
      <c r="CF95">
        <v>1.1542319999999999</v>
      </c>
      <c r="CG95">
        <v>1.376477</v>
      </c>
      <c r="CH95">
        <v>1.358495</v>
      </c>
      <c r="CI95">
        <v>2.8874040000000001</v>
      </c>
      <c r="CJ95">
        <v>1.085291</v>
      </c>
      <c r="CK95">
        <v>1.1771240000000001</v>
      </c>
      <c r="CL95">
        <v>0.717248</v>
      </c>
      <c r="CM95">
        <v>3.3176640000000002</v>
      </c>
      <c r="CN95">
        <v>1.8628910000000001</v>
      </c>
      <c r="CO95">
        <v>1.0446470000000001</v>
      </c>
      <c r="CP95">
        <v>1.0531219999999999</v>
      </c>
      <c r="CQ95" s="205">
        <v>1.2887029999999999</v>
      </c>
      <c r="CR95">
        <v>13.990883999999999</v>
      </c>
      <c r="CS95">
        <v>4.3662809999999999</v>
      </c>
      <c r="CT95">
        <v>2.1038950000000001</v>
      </c>
      <c r="CU95">
        <v>5.2372529999999999</v>
      </c>
      <c r="CV95">
        <v>9.3838399999999993</v>
      </c>
      <c r="CW95" t="s">
        <v>830</v>
      </c>
      <c r="CX95">
        <v>1.2310709100999999</v>
      </c>
      <c r="CY95">
        <v>2.1723198145999998</v>
      </c>
      <c r="CZ95">
        <v>1.1872040374999999</v>
      </c>
      <c r="DA95">
        <v>14.586583383000001</v>
      </c>
      <c r="DB95">
        <v>1.084775</v>
      </c>
      <c r="DC95">
        <v>1.0977049999999999</v>
      </c>
      <c r="DD95">
        <v>1.9835119999999999</v>
      </c>
      <c r="DE95">
        <v>1.978629</v>
      </c>
      <c r="DF95">
        <v>1.806079</v>
      </c>
      <c r="DG95">
        <v>1.08058279</v>
      </c>
      <c r="DH95">
        <v>127.08193592000001</v>
      </c>
      <c r="DI95">
        <v>0.25782133000000002</v>
      </c>
      <c r="DJ95">
        <v>2.0887438999999999</v>
      </c>
      <c r="DK95">
        <v>1.8777492200000001</v>
      </c>
      <c r="DL95">
        <v>155111.67395999999</v>
      </c>
      <c r="DM95">
        <v>323.25899620000001</v>
      </c>
      <c r="DN95">
        <v>17.016353299999999</v>
      </c>
      <c r="DO95" t="s">
        <v>830</v>
      </c>
      <c r="DP95">
        <v>18035508.728999998</v>
      </c>
      <c r="DQ95">
        <v>1.4350915</v>
      </c>
      <c r="DR95">
        <v>14.864464</v>
      </c>
      <c r="DS95" s="206">
        <v>21.833108299999999</v>
      </c>
      <c r="DT95">
        <v>1.9114034</v>
      </c>
      <c r="DU95">
        <v>1.1770514999999999</v>
      </c>
      <c r="DV95" t="s">
        <v>830</v>
      </c>
      <c r="DW95" t="s">
        <v>830</v>
      </c>
      <c r="DX95">
        <v>0.90329464599999998</v>
      </c>
      <c r="DY95">
        <v>11.426515</v>
      </c>
      <c r="DZ95">
        <v>229.12844100000001</v>
      </c>
      <c r="EA95">
        <v>18.847424</v>
      </c>
      <c r="EB95">
        <v>21.660504</v>
      </c>
      <c r="EC95">
        <v>20.858509000000002</v>
      </c>
      <c r="ED95">
        <v>2271.0483920000001</v>
      </c>
      <c r="EE95">
        <v>23.435959</v>
      </c>
      <c r="EF95">
        <v>34.819625000000002</v>
      </c>
      <c r="EG95">
        <v>1.4817402</v>
      </c>
      <c r="EH95">
        <v>0.66390079999999996</v>
      </c>
      <c r="EI95">
        <v>1.123521</v>
      </c>
      <c r="EJ95" t="s">
        <v>830</v>
      </c>
      <c r="EK95">
        <v>1.6518473</v>
      </c>
      <c r="EL95">
        <v>2.7738065999999999</v>
      </c>
      <c r="EM95">
        <v>1.2840543799999999</v>
      </c>
      <c r="EN95">
        <v>2.3619386200000001</v>
      </c>
      <c r="EO95">
        <v>1.4072226999999999</v>
      </c>
      <c r="EP95">
        <v>265.67271</v>
      </c>
      <c r="EQ95">
        <v>198.336016</v>
      </c>
      <c r="ER95">
        <v>16.8021086</v>
      </c>
      <c r="ES95">
        <v>15.3667129</v>
      </c>
      <c r="ET95">
        <v>8.9659887999999999</v>
      </c>
      <c r="EU95">
        <v>205.07379299999999</v>
      </c>
      <c r="EV95">
        <v>118.91591649999999</v>
      </c>
      <c r="EW95">
        <v>18.068672299999999</v>
      </c>
      <c r="EX95">
        <v>103.7214003</v>
      </c>
      <c r="EY95">
        <v>2.8958841</v>
      </c>
      <c r="EZ95">
        <v>2339.4379933999999</v>
      </c>
      <c r="FA95">
        <v>8.4962590000000002</v>
      </c>
      <c r="FB95">
        <v>1.1272377</v>
      </c>
      <c r="FC95">
        <v>2.1018655000000002</v>
      </c>
      <c r="FD95">
        <v>2.8751215000000001</v>
      </c>
      <c r="FE95">
        <v>1.2689621</v>
      </c>
      <c r="FF95">
        <v>1.7157370000000001</v>
      </c>
      <c r="FG95">
        <v>0.85388456999999995</v>
      </c>
      <c r="FH95">
        <v>1.15356579</v>
      </c>
      <c r="FI95">
        <v>0.98106243999999998</v>
      </c>
      <c r="FJ95">
        <v>117.4450634</v>
      </c>
    </row>
    <row r="96" spans="1:166" x14ac:dyDescent="0.3">
      <c r="A96" s="223">
        <v>95</v>
      </c>
      <c r="B96" s="315">
        <v>42450</v>
      </c>
      <c r="C96">
        <v>1012082.1236</v>
      </c>
      <c r="D96">
        <v>104.80320273</v>
      </c>
      <c r="E96">
        <v>1.3297832000000001</v>
      </c>
      <c r="F96">
        <v>7.1480357000000003</v>
      </c>
      <c r="G96">
        <v>4.8796733211000003</v>
      </c>
      <c r="H96" s="212">
        <v>4.0094227839999999</v>
      </c>
      <c r="I96">
        <v>1.1500546460000001</v>
      </c>
      <c r="J96">
        <v>4.4298109999999999</v>
      </c>
      <c r="K96">
        <v>3.1218910000000002</v>
      </c>
      <c r="L96">
        <v>10.727085000000001</v>
      </c>
      <c r="M96">
        <v>1.0168071190000001</v>
      </c>
      <c r="N96">
        <v>1.3980732730000001</v>
      </c>
      <c r="O96">
        <v>1.9728324850000001</v>
      </c>
      <c r="P96">
        <v>1.383850665</v>
      </c>
      <c r="Q96">
        <v>1.5709580000000001</v>
      </c>
      <c r="R96">
        <v>1.810607761</v>
      </c>
      <c r="S96">
        <v>12.675219999999999</v>
      </c>
      <c r="T96">
        <v>3.1164953620000002</v>
      </c>
      <c r="U96">
        <v>3.5178804459999999</v>
      </c>
      <c r="V96">
        <v>1.756368741</v>
      </c>
      <c r="W96">
        <v>1.413739171</v>
      </c>
      <c r="X96">
        <v>3.5573557330000001</v>
      </c>
      <c r="Y96">
        <v>1.8919790000000001</v>
      </c>
      <c r="Z96">
        <v>1.639534</v>
      </c>
      <c r="AA96">
        <v>1.404844008</v>
      </c>
      <c r="AB96">
        <v>1.1503342599999999</v>
      </c>
      <c r="AC96">
        <v>1.1764789179999999</v>
      </c>
      <c r="AD96">
        <v>1.3519315780000001</v>
      </c>
      <c r="AE96">
        <v>1.3498250759999999</v>
      </c>
      <c r="AF96">
        <v>1.364350153</v>
      </c>
      <c r="AG96">
        <v>9.4113889999999998</v>
      </c>
      <c r="AH96">
        <v>1.798049883</v>
      </c>
      <c r="AI96">
        <v>3.8262399999999999</v>
      </c>
      <c r="AJ96">
        <v>2.5254750000000001</v>
      </c>
      <c r="AK96">
        <v>199.98243954</v>
      </c>
      <c r="AL96">
        <v>1.115478</v>
      </c>
      <c r="AM96">
        <v>2.0281560000000001</v>
      </c>
      <c r="AN96">
        <v>8.7199360000000006</v>
      </c>
      <c r="AO96">
        <v>1.7933855999999999</v>
      </c>
      <c r="AP96">
        <v>1.7873604999999999</v>
      </c>
      <c r="AQ96">
        <v>2.4715598000000001</v>
      </c>
      <c r="AR96">
        <v>8.6821181999999997</v>
      </c>
      <c r="AS96">
        <v>411.25951270000002</v>
      </c>
      <c r="AT96">
        <v>1.2414531</v>
      </c>
      <c r="AU96">
        <v>3.0503054999999999</v>
      </c>
      <c r="AV96">
        <v>2.7293143</v>
      </c>
      <c r="AW96">
        <v>1.7137823999999999</v>
      </c>
      <c r="AX96">
        <v>1.2548467999999999</v>
      </c>
      <c r="AY96">
        <v>2.6487924999999999</v>
      </c>
      <c r="AZ96" t="s">
        <v>830</v>
      </c>
      <c r="BA96">
        <v>1.904103653</v>
      </c>
      <c r="BB96">
        <v>2.5953113999999999</v>
      </c>
      <c r="BC96">
        <v>3.0379390000000002</v>
      </c>
      <c r="BD96">
        <v>1.076184</v>
      </c>
      <c r="BE96">
        <v>1.059842</v>
      </c>
      <c r="BF96">
        <v>1.049145</v>
      </c>
      <c r="BG96">
        <v>1.070387</v>
      </c>
      <c r="BH96">
        <v>1.053812</v>
      </c>
      <c r="BI96">
        <v>1.2121550000000001</v>
      </c>
      <c r="BJ96">
        <v>1.1046499999999999</v>
      </c>
      <c r="BK96">
        <v>1.227209</v>
      </c>
      <c r="BL96">
        <v>1.2055210000000001</v>
      </c>
      <c r="BM96">
        <v>1.205014</v>
      </c>
      <c r="BN96">
        <v>1.1121080000000001</v>
      </c>
      <c r="BO96">
        <v>1.231439</v>
      </c>
      <c r="BP96">
        <v>2.6684570000000001</v>
      </c>
      <c r="BQ96">
        <v>1.386811</v>
      </c>
      <c r="BR96">
        <v>1.49777</v>
      </c>
      <c r="BS96">
        <v>1.385251</v>
      </c>
      <c r="BT96">
        <v>1.8178700000000001</v>
      </c>
      <c r="BU96">
        <v>1.7565740000000001</v>
      </c>
      <c r="BV96">
        <v>1.9355610000000001</v>
      </c>
      <c r="BW96">
        <v>1.7807379999999999</v>
      </c>
      <c r="BX96">
        <v>1.750615</v>
      </c>
      <c r="BY96">
        <v>1.7435780000000001</v>
      </c>
      <c r="BZ96">
        <v>2.0018639999999999</v>
      </c>
      <c r="CA96">
        <v>1.9317</v>
      </c>
      <c r="CB96">
        <v>1.9456279999999999</v>
      </c>
      <c r="CC96">
        <v>1.88794</v>
      </c>
      <c r="CD96">
        <v>1.8887499999999999</v>
      </c>
      <c r="CE96">
        <v>1.8375589999999999</v>
      </c>
      <c r="CF96">
        <v>1.1550339999999999</v>
      </c>
      <c r="CG96">
        <v>1.380744</v>
      </c>
      <c r="CH96">
        <v>1.3611340000000001</v>
      </c>
      <c r="CI96">
        <v>2.8888199999999999</v>
      </c>
      <c r="CJ96">
        <v>1.092109</v>
      </c>
      <c r="CK96">
        <v>1.1845559999999999</v>
      </c>
      <c r="CL96">
        <v>0.72227799999999998</v>
      </c>
      <c r="CM96">
        <v>3.3396710000000001</v>
      </c>
      <c r="CN96">
        <v>1.879791</v>
      </c>
      <c r="CO96">
        <v>1.0446470000000001</v>
      </c>
      <c r="CP96">
        <v>1.060494</v>
      </c>
      <c r="CQ96" s="205">
        <v>1.2893699999999999</v>
      </c>
      <c r="CR96">
        <v>13.997306999999999</v>
      </c>
      <c r="CS96">
        <v>4.3683100000000001</v>
      </c>
      <c r="CT96">
        <v>2.1125859999999999</v>
      </c>
      <c r="CU96">
        <v>5.238963</v>
      </c>
      <c r="CV96">
        <v>9.3881560000000004</v>
      </c>
      <c r="CW96" t="s">
        <v>830</v>
      </c>
      <c r="CX96">
        <v>1.2317065624000001</v>
      </c>
      <c r="CY96">
        <v>2.1835682367999998</v>
      </c>
      <c r="CZ96">
        <v>1.1877836863</v>
      </c>
      <c r="DA96">
        <v>14.593657421</v>
      </c>
      <c r="DB96">
        <v>1.0852850000000001</v>
      </c>
      <c r="DC96">
        <v>1.097882</v>
      </c>
      <c r="DD96">
        <v>1.984585</v>
      </c>
      <c r="DE96">
        <v>1.986472</v>
      </c>
      <c r="DF96">
        <v>1.806908</v>
      </c>
      <c r="DG96">
        <v>1.08283369</v>
      </c>
      <c r="DH96">
        <v>127.15733424</v>
      </c>
      <c r="DI96">
        <v>0.25791513999999999</v>
      </c>
      <c r="DJ96">
        <v>2.0897022999999999</v>
      </c>
      <c r="DK96">
        <v>1.8785290400000001</v>
      </c>
      <c r="DL96">
        <v>155213.39107000001</v>
      </c>
      <c r="DM96">
        <v>323.41878960000003</v>
      </c>
      <c r="DN96">
        <v>17.025473099999999</v>
      </c>
      <c r="DO96" t="s">
        <v>830</v>
      </c>
      <c r="DP96">
        <v>18034245.019000001</v>
      </c>
      <c r="DQ96">
        <v>1.4432681000000001</v>
      </c>
      <c r="DR96">
        <v>14.8712309</v>
      </c>
      <c r="DS96" s="206">
        <v>21.844562499999999</v>
      </c>
      <c r="DT96">
        <v>1.9141128999999999</v>
      </c>
      <c r="DU96">
        <v>1.1854556999999999</v>
      </c>
      <c r="DV96" t="s">
        <v>830</v>
      </c>
      <c r="DW96" t="s">
        <v>830</v>
      </c>
      <c r="DX96">
        <v>0.89478747300000006</v>
      </c>
      <c r="DY96">
        <v>11.515355</v>
      </c>
      <c r="DZ96">
        <v>229.19831400000001</v>
      </c>
      <c r="EA96">
        <v>18.882936000000001</v>
      </c>
      <c r="EB96">
        <v>21.672059999999998</v>
      </c>
      <c r="EC96">
        <v>20.940543000000002</v>
      </c>
      <c r="ED96">
        <v>2272.2566139999999</v>
      </c>
      <c r="EE96">
        <v>23.445029000000002</v>
      </c>
      <c r="EF96">
        <v>34.837333000000001</v>
      </c>
      <c r="EG96">
        <v>1.5263641999999999</v>
      </c>
      <c r="EH96">
        <v>0.67339130000000003</v>
      </c>
      <c r="EI96">
        <v>1.1282599</v>
      </c>
      <c r="EJ96" t="s">
        <v>830</v>
      </c>
      <c r="EK96">
        <v>1.652139</v>
      </c>
      <c r="EL96">
        <v>2.7742963999999999</v>
      </c>
      <c r="EM96">
        <v>1.28420851</v>
      </c>
      <c r="EN96">
        <v>2.3631292199999998</v>
      </c>
      <c r="EO96">
        <v>1.4076086000000001</v>
      </c>
      <c r="EP96">
        <v>266.00949600000001</v>
      </c>
      <c r="EQ96">
        <v>199.041887</v>
      </c>
      <c r="ER96">
        <v>16.811211499999999</v>
      </c>
      <c r="ES96">
        <v>15.427324799999999</v>
      </c>
      <c r="ET96">
        <v>8.9706645999999992</v>
      </c>
      <c r="EU96">
        <v>205.8809286</v>
      </c>
      <c r="EV96">
        <v>120.0055158</v>
      </c>
      <c r="EW96">
        <v>18.0764937</v>
      </c>
      <c r="EX96">
        <v>103.7722205</v>
      </c>
      <c r="EY96">
        <v>2.8818280000000001</v>
      </c>
      <c r="EZ96">
        <v>2340.6172164999998</v>
      </c>
      <c r="FA96">
        <v>8.499822</v>
      </c>
      <c r="FB96">
        <v>1.136139</v>
      </c>
      <c r="FC96">
        <v>2.1101546</v>
      </c>
      <c r="FD96">
        <v>2.8765645000000002</v>
      </c>
      <c r="FE96">
        <v>1.2695638</v>
      </c>
      <c r="FF96">
        <v>1.7189939999999999</v>
      </c>
      <c r="FG96">
        <v>0.85517352999999996</v>
      </c>
      <c r="FH96">
        <v>1.1546545500000001</v>
      </c>
      <c r="FI96">
        <v>0.98098366999999997</v>
      </c>
      <c r="FJ96">
        <v>117.4962278</v>
      </c>
    </row>
    <row r="97" spans="1:166" x14ac:dyDescent="0.3">
      <c r="A97" s="223">
        <v>96</v>
      </c>
      <c r="B97" s="315">
        <v>42451</v>
      </c>
      <c r="C97">
        <v>1012010.1385</v>
      </c>
      <c r="D97">
        <v>104.79910919</v>
      </c>
      <c r="E97">
        <v>1.3350542999999999</v>
      </c>
      <c r="F97">
        <v>7.1400465000000004</v>
      </c>
      <c r="G97">
        <v>4.8988108394000003</v>
      </c>
      <c r="H97" s="212">
        <v>4.0197417580000003</v>
      </c>
      <c r="I97">
        <v>1.1524429220000001</v>
      </c>
      <c r="J97">
        <v>4.4320000000000004</v>
      </c>
      <c r="K97">
        <v>3.1230310000000001</v>
      </c>
      <c r="L97">
        <v>10.73091</v>
      </c>
      <c r="M97">
        <v>1.012517219</v>
      </c>
      <c r="N97">
        <v>1.393013984</v>
      </c>
      <c r="O97">
        <v>1.975890726</v>
      </c>
      <c r="P97">
        <v>1.392506147</v>
      </c>
      <c r="Q97">
        <v>1.5717209999999999</v>
      </c>
      <c r="R97">
        <v>1.8132341089999999</v>
      </c>
      <c r="S97">
        <v>12.69964</v>
      </c>
      <c r="T97">
        <v>3.148470901</v>
      </c>
      <c r="U97">
        <v>3.5538920489999999</v>
      </c>
      <c r="V97">
        <v>1.782873774</v>
      </c>
      <c r="W97">
        <v>1.4208949200000001</v>
      </c>
      <c r="X97">
        <v>3.5715788590000002</v>
      </c>
      <c r="Y97">
        <v>1.8932310000000001</v>
      </c>
      <c r="Z97">
        <v>1.640263</v>
      </c>
      <c r="AA97">
        <v>1.417924432</v>
      </c>
      <c r="AB97">
        <v>1.1511339540000001</v>
      </c>
      <c r="AC97">
        <v>1.179065467</v>
      </c>
      <c r="AD97">
        <v>1.352567082</v>
      </c>
      <c r="AE97">
        <v>1.3504601089999999</v>
      </c>
      <c r="AF97">
        <v>1.3765860110000001</v>
      </c>
      <c r="AG97">
        <v>9.4159959999999998</v>
      </c>
      <c r="AH97">
        <v>1.800167708</v>
      </c>
      <c r="AI97">
        <v>3.8284889999999998</v>
      </c>
      <c r="AJ97">
        <v>2.5474649999999999</v>
      </c>
      <c r="AK97">
        <v>200.38225417999999</v>
      </c>
      <c r="AL97">
        <v>1.1188973</v>
      </c>
      <c r="AM97">
        <v>2.0491033999999999</v>
      </c>
      <c r="AN97">
        <v>8.7244375000000005</v>
      </c>
      <c r="AO97">
        <v>1.7941932</v>
      </c>
      <c r="AP97">
        <v>1.7881642</v>
      </c>
      <c r="AQ97">
        <v>2.4728300000000001</v>
      </c>
      <c r="AR97">
        <v>8.6865062999999996</v>
      </c>
      <c r="AS97">
        <v>409.97740420000002</v>
      </c>
      <c r="AT97">
        <v>1.2396320000000001</v>
      </c>
      <c r="AU97">
        <v>3.0517552999999999</v>
      </c>
      <c r="AV97">
        <v>2.7573378000000002</v>
      </c>
      <c r="AW97">
        <v>1.7398654</v>
      </c>
      <c r="AX97">
        <v>1.2575103000000001</v>
      </c>
      <c r="AY97">
        <v>2.6626013999999998</v>
      </c>
      <c r="AZ97" t="s">
        <v>830</v>
      </c>
      <c r="BA97">
        <v>1.9050800859999999</v>
      </c>
      <c r="BB97">
        <v>2.6218802999999999</v>
      </c>
      <c r="BC97">
        <v>3.0397729999999998</v>
      </c>
      <c r="BD97">
        <v>1.0768329999999999</v>
      </c>
      <c r="BE97">
        <v>1.060481</v>
      </c>
      <c r="BF97">
        <v>1.0497780000000001</v>
      </c>
      <c r="BG97">
        <v>1.071032</v>
      </c>
      <c r="BH97">
        <v>1.0544469999999999</v>
      </c>
      <c r="BI97">
        <v>1.2127129999999999</v>
      </c>
      <c r="BJ97">
        <v>1.106026</v>
      </c>
      <c r="BK97">
        <v>1.2322470000000001</v>
      </c>
      <c r="BL97">
        <v>1.2060740000000001</v>
      </c>
      <c r="BM97">
        <v>1.2055709999999999</v>
      </c>
      <c r="BN97">
        <v>1.1237649999999999</v>
      </c>
      <c r="BO97">
        <v>1.2487839999999999</v>
      </c>
      <c r="BP97">
        <v>2.6698270000000002</v>
      </c>
      <c r="BQ97">
        <v>1.3874919999999999</v>
      </c>
      <c r="BR97">
        <v>1.500121</v>
      </c>
      <c r="BS97">
        <v>1.4062760000000001</v>
      </c>
      <c r="BT97">
        <v>1.8270900000000001</v>
      </c>
      <c r="BU97">
        <v>1.757417</v>
      </c>
      <c r="BV97">
        <v>1.936496</v>
      </c>
      <c r="BW97">
        <v>1.781876</v>
      </c>
      <c r="BX97">
        <v>1.7514510000000001</v>
      </c>
      <c r="BY97">
        <v>1.744747</v>
      </c>
      <c r="BZ97">
        <v>2.002831</v>
      </c>
      <c r="CA97">
        <v>1.9326319999999999</v>
      </c>
      <c r="CB97">
        <v>1.9465509999999999</v>
      </c>
      <c r="CC97">
        <v>1.88913</v>
      </c>
      <c r="CD97">
        <v>1.8899379999999999</v>
      </c>
      <c r="CE97">
        <v>1.838703</v>
      </c>
      <c r="CF97">
        <v>1.1556090000000001</v>
      </c>
      <c r="CG97">
        <v>1.390031</v>
      </c>
      <c r="CH97">
        <v>1.3665909999999999</v>
      </c>
      <c r="CI97">
        <v>2.8905690000000002</v>
      </c>
      <c r="CJ97">
        <v>1.086986</v>
      </c>
      <c r="CK97">
        <v>1.1789240000000001</v>
      </c>
      <c r="CL97">
        <v>0.71789199999999997</v>
      </c>
      <c r="CM97">
        <v>3.3272710000000001</v>
      </c>
      <c r="CN97">
        <v>1.8715409999999999</v>
      </c>
      <c r="CO97">
        <v>1.0446470000000001</v>
      </c>
      <c r="CP97">
        <v>1.0723659999999999</v>
      </c>
      <c r="CQ97" s="205">
        <v>1.290025</v>
      </c>
      <c r="CR97">
        <v>14.003354</v>
      </c>
      <c r="CS97">
        <v>4.3697889999999999</v>
      </c>
      <c r="CT97">
        <v>2.1336810000000002</v>
      </c>
      <c r="CU97">
        <v>5.2406740000000003</v>
      </c>
      <c r="CV97">
        <v>9.3922570000000007</v>
      </c>
      <c r="CW97" t="s">
        <v>830</v>
      </c>
      <c r="CX97">
        <v>1.2323823437999999</v>
      </c>
      <c r="CY97">
        <v>2.1934814076000002</v>
      </c>
      <c r="CZ97">
        <v>1.1893243994</v>
      </c>
      <c r="DA97">
        <v>14.601408547</v>
      </c>
      <c r="DB97">
        <v>1.085939</v>
      </c>
      <c r="DC97">
        <v>1.0992489999999999</v>
      </c>
      <c r="DD97">
        <v>1.9883690000000001</v>
      </c>
      <c r="DE97">
        <v>2.0067650000000001</v>
      </c>
      <c r="DF97">
        <v>1.8081130000000001</v>
      </c>
      <c r="DG97">
        <v>1.08975307</v>
      </c>
      <c r="DH97">
        <v>127.23078451000001</v>
      </c>
      <c r="DI97">
        <v>0.25803228</v>
      </c>
      <c r="DJ97">
        <v>2.0906476999999999</v>
      </c>
      <c r="DK97">
        <v>1.87848017</v>
      </c>
      <c r="DL97">
        <v>155315.17481</v>
      </c>
      <c r="DM97">
        <v>323.64383229999999</v>
      </c>
      <c r="DN97">
        <v>17.0346601</v>
      </c>
      <c r="DO97" t="s">
        <v>830</v>
      </c>
      <c r="DP97">
        <v>18033040.721999999</v>
      </c>
      <c r="DQ97">
        <v>1.4445745999999999</v>
      </c>
      <c r="DR97">
        <v>14.877912999999999</v>
      </c>
      <c r="DS97" s="206">
        <v>21.8560458</v>
      </c>
      <c r="DT97">
        <v>1.9221204000000001</v>
      </c>
      <c r="DU97">
        <v>1.1832792999999999</v>
      </c>
      <c r="DV97" t="s">
        <v>830</v>
      </c>
      <c r="DW97" t="s">
        <v>830</v>
      </c>
      <c r="DX97">
        <v>0.909379092</v>
      </c>
      <c r="DY97">
        <v>11.484748</v>
      </c>
      <c r="DZ97">
        <v>229.361301</v>
      </c>
      <c r="EA97">
        <v>18.958197999999999</v>
      </c>
      <c r="EB97">
        <v>21.713373000000001</v>
      </c>
      <c r="EC97">
        <v>21.154499999999999</v>
      </c>
      <c r="ED97">
        <v>2273.4521209999998</v>
      </c>
      <c r="EE97">
        <v>23.455483000000001</v>
      </c>
      <c r="EF97">
        <v>34.855314</v>
      </c>
      <c r="EG97">
        <v>1.5325181999999999</v>
      </c>
      <c r="EH97">
        <v>0.66876950000000002</v>
      </c>
      <c r="EI97">
        <v>1.1301604999999999</v>
      </c>
      <c r="EJ97" t="s">
        <v>830</v>
      </c>
      <c r="EK97">
        <v>1.6534466999999999</v>
      </c>
      <c r="EL97">
        <v>2.7764921999999999</v>
      </c>
      <c r="EM97">
        <v>1.28437618</v>
      </c>
      <c r="EN97">
        <v>2.3643204199999999</v>
      </c>
      <c r="EO97">
        <v>1.4082475999999999</v>
      </c>
      <c r="EP97">
        <v>266.477733</v>
      </c>
      <c r="EQ97">
        <v>200.847094</v>
      </c>
      <c r="ER97">
        <v>16.843432499999999</v>
      </c>
      <c r="ES97">
        <v>15.585588</v>
      </c>
      <c r="ET97">
        <v>8.9753706999999991</v>
      </c>
      <c r="EU97">
        <v>207.99136799999999</v>
      </c>
      <c r="EV97">
        <v>119.62601890000001</v>
      </c>
      <c r="EW97">
        <v>18.087655300000002</v>
      </c>
      <c r="EX97">
        <v>103.82338900000001</v>
      </c>
      <c r="EY97">
        <v>2.9465629999999998</v>
      </c>
      <c r="EZ97">
        <v>2341.8063496999998</v>
      </c>
      <c r="FA97">
        <v>8.5034109999999998</v>
      </c>
      <c r="FB97">
        <v>1.1286337</v>
      </c>
      <c r="FC97">
        <v>2.1318442000000002</v>
      </c>
      <c r="FD97">
        <v>2.8780242</v>
      </c>
      <c r="FE97">
        <v>1.2706468</v>
      </c>
      <c r="FF97">
        <v>1.7256233999999999</v>
      </c>
      <c r="FG97">
        <v>0.85265133000000004</v>
      </c>
      <c r="FH97">
        <v>1.1556139599999999</v>
      </c>
      <c r="FI97">
        <v>0.98090489000000003</v>
      </c>
      <c r="FJ97">
        <v>117.54871</v>
      </c>
    </row>
    <row r="98" spans="1:166" x14ac:dyDescent="0.3">
      <c r="A98" s="223">
        <v>97</v>
      </c>
      <c r="B98" s="315">
        <v>42452</v>
      </c>
      <c r="C98">
        <v>1011938.155</v>
      </c>
      <c r="D98">
        <v>104.79092614</v>
      </c>
      <c r="E98">
        <v>1.3284802</v>
      </c>
      <c r="F98">
        <v>7.0380425000000004</v>
      </c>
      <c r="G98">
        <v>4.9504530615000002</v>
      </c>
      <c r="H98" s="212">
        <v>3.913043015</v>
      </c>
      <c r="I98">
        <v>1.142180449</v>
      </c>
      <c r="J98">
        <v>4.4342949999999997</v>
      </c>
      <c r="K98">
        <v>3.1241840000000001</v>
      </c>
      <c r="L98">
        <v>10.735058721</v>
      </c>
      <c r="M98">
        <v>0.99458604900000003</v>
      </c>
      <c r="N98">
        <v>1.3620218660000001</v>
      </c>
      <c r="O98">
        <v>1.9773317130000001</v>
      </c>
      <c r="P98">
        <v>1.3803075709999999</v>
      </c>
      <c r="Q98">
        <v>1.572449</v>
      </c>
      <c r="R98">
        <v>1.8054330199999999</v>
      </c>
      <c r="S98">
        <v>12.645396</v>
      </c>
      <c r="T98">
        <v>3.1097406489999999</v>
      </c>
      <c r="U98">
        <v>3.509794775</v>
      </c>
      <c r="V98">
        <v>1.752158471</v>
      </c>
      <c r="W98">
        <v>1.41364785</v>
      </c>
      <c r="X98">
        <v>3.5610029669999999</v>
      </c>
      <c r="Y98">
        <v>1.8941140000000001</v>
      </c>
      <c r="Z98">
        <v>1.641051</v>
      </c>
      <c r="AA98">
        <v>1.4011197470000001</v>
      </c>
      <c r="AB98">
        <v>1.1502274450000001</v>
      </c>
      <c r="AC98">
        <v>1.174156744</v>
      </c>
      <c r="AD98">
        <v>1.3532027980000001</v>
      </c>
      <c r="AE98">
        <v>1.351095393</v>
      </c>
      <c r="AF98">
        <v>1.360275629</v>
      </c>
      <c r="AG98">
        <v>9.4206008679999993</v>
      </c>
      <c r="AH98">
        <v>1.800489241</v>
      </c>
      <c r="AI98">
        <v>3.8295059999999999</v>
      </c>
      <c r="AJ98">
        <v>2.5184350000000002</v>
      </c>
      <c r="AK98">
        <v>199.92416023000001</v>
      </c>
      <c r="AL98">
        <v>1.1124457999999999</v>
      </c>
      <c r="AM98">
        <v>2.0233593999999999</v>
      </c>
      <c r="AN98">
        <v>8.7288335000000004</v>
      </c>
      <c r="AO98">
        <v>1.7953854</v>
      </c>
      <c r="AP98">
        <v>1.7893551000000001</v>
      </c>
      <c r="AQ98">
        <v>2.4740913999999998</v>
      </c>
      <c r="AR98">
        <v>8.6905675000000002</v>
      </c>
      <c r="AS98">
        <v>399.37501730000002</v>
      </c>
      <c r="AT98">
        <v>1.213147</v>
      </c>
      <c r="AU98">
        <v>3.0530900999999999</v>
      </c>
      <c r="AV98">
        <v>2.7228271999999998</v>
      </c>
      <c r="AW98">
        <v>1.7097468</v>
      </c>
      <c r="AX98">
        <v>1.2521217</v>
      </c>
      <c r="AY98">
        <v>2.6483753000000001</v>
      </c>
      <c r="AZ98" t="s">
        <v>830</v>
      </c>
      <c r="BA98">
        <v>1.906052664</v>
      </c>
      <c r="BB98">
        <v>2.5896857</v>
      </c>
      <c r="BC98">
        <v>3.0410249999999999</v>
      </c>
      <c r="BD98">
        <v>1.076792</v>
      </c>
      <c r="BE98">
        <v>1.060441</v>
      </c>
      <c r="BF98">
        <v>1.0497369999999999</v>
      </c>
      <c r="BG98">
        <v>1.070991</v>
      </c>
      <c r="BH98">
        <v>1.0544070000000001</v>
      </c>
      <c r="BI98">
        <v>1.213271</v>
      </c>
      <c r="BJ98">
        <v>1.1002130000000001</v>
      </c>
      <c r="BK98">
        <v>1.220175</v>
      </c>
      <c r="BL98">
        <v>1.206626</v>
      </c>
      <c r="BM98">
        <v>1.2061269999999999</v>
      </c>
      <c r="BN98">
        <v>1.1086549999999999</v>
      </c>
      <c r="BO98">
        <v>1.2274350000000001</v>
      </c>
      <c r="BP98">
        <v>2.6712349999999998</v>
      </c>
      <c r="BQ98">
        <v>1.3881730000000001</v>
      </c>
      <c r="BR98">
        <v>1.493619</v>
      </c>
      <c r="BS98">
        <v>1.3820920000000001</v>
      </c>
      <c r="BT98">
        <v>1.81775</v>
      </c>
      <c r="BU98">
        <v>1.758262</v>
      </c>
      <c r="BV98">
        <v>1.9374309999999999</v>
      </c>
      <c r="BW98">
        <v>1.7830159999999999</v>
      </c>
      <c r="BX98">
        <v>1.7522869999999999</v>
      </c>
      <c r="BY98">
        <v>1.745916</v>
      </c>
      <c r="BZ98">
        <v>2.0037980000000002</v>
      </c>
      <c r="CA98">
        <v>1.933565</v>
      </c>
      <c r="CB98">
        <v>1.9474750000000001</v>
      </c>
      <c r="CC98">
        <v>1.89032</v>
      </c>
      <c r="CD98">
        <v>1.891127</v>
      </c>
      <c r="CE98">
        <v>1.839591</v>
      </c>
      <c r="CF98">
        <v>1.1561840000000001</v>
      </c>
      <c r="CG98">
        <v>1.38228</v>
      </c>
      <c r="CH98">
        <v>1.3626389999999999</v>
      </c>
      <c r="CI98">
        <v>2.891721</v>
      </c>
      <c r="CJ98">
        <v>1.062033</v>
      </c>
      <c r="CK98">
        <v>1.152431</v>
      </c>
      <c r="CL98">
        <v>0.70221</v>
      </c>
      <c r="CM98">
        <v>3.2436769999999999</v>
      </c>
      <c r="CN98">
        <v>1.9018809999999999</v>
      </c>
      <c r="CO98">
        <v>1.0446470000000001</v>
      </c>
      <c r="CP98">
        <v>1.0644800000000001</v>
      </c>
      <c r="CQ98" s="205">
        <v>1.2907040000000001</v>
      </c>
      <c r="CR98">
        <v>14.010121</v>
      </c>
      <c r="CS98">
        <v>4.3721310000000004</v>
      </c>
      <c r="CT98">
        <v>2.1090930000000001</v>
      </c>
      <c r="CU98">
        <v>5.2423830000000002</v>
      </c>
      <c r="CV98">
        <v>9.3967670000000005</v>
      </c>
      <c r="CW98" t="s">
        <v>830</v>
      </c>
      <c r="CX98">
        <v>1.2330255851</v>
      </c>
      <c r="CY98">
        <v>2.2184750338999999</v>
      </c>
      <c r="CZ98">
        <v>1.1893162067</v>
      </c>
      <c r="DA98">
        <v>14.608123470000001</v>
      </c>
      <c r="DB98">
        <v>1.085898</v>
      </c>
      <c r="DC98">
        <v>1.093472</v>
      </c>
      <c r="DD98">
        <v>1.9799469999999999</v>
      </c>
      <c r="DE98">
        <v>1.9817830000000001</v>
      </c>
      <c r="DF98">
        <v>1.808962</v>
      </c>
      <c r="DG98">
        <v>1.0860782899999999</v>
      </c>
      <c r="DH98">
        <v>127.30726733</v>
      </c>
      <c r="DI98">
        <v>0.25794371999999999</v>
      </c>
      <c r="DJ98">
        <v>2.0916263000000002</v>
      </c>
      <c r="DK98">
        <v>1.87851843</v>
      </c>
      <c r="DL98">
        <v>155417.02538000001</v>
      </c>
      <c r="DM98">
        <v>323.79754220000001</v>
      </c>
      <c r="DN98">
        <v>17.043747400000001</v>
      </c>
      <c r="DO98" t="s">
        <v>830</v>
      </c>
      <c r="DP98">
        <v>18031836.504000001</v>
      </c>
      <c r="DQ98">
        <v>1.4317177000000001</v>
      </c>
      <c r="DR98">
        <v>14.8847436</v>
      </c>
      <c r="DS98" s="206">
        <v>21.8672091</v>
      </c>
      <c r="DT98">
        <v>1.912704</v>
      </c>
      <c r="DU98">
        <v>1.1632032000000001</v>
      </c>
      <c r="DV98" t="s">
        <v>830</v>
      </c>
      <c r="DW98" t="s">
        <v>830</v>
      </c>
      <c r="DX98">
        <v>0.91154506800000001</v>
      </c>
      <c r="DY98">
        <v>11.230929</v>
      </c>
      <c r="DZ98">
        <v>229.449094</v>
      </c>
      <c r="EA98">
        <v>18.901308</v>
      </c>
      <c r="EB98">
        <v>21.621184</v>
      </c>
      <c r="EC98">
        <v>20.890464999999999</v>
      </c>
      <c r="ED98">
        <v>2274.6355960000001</v>
      </c>
      <c r="EE98">
        <v>23.470789</v>
      </c>
      <c r="EF98">
        <v>34.872861</v>
      </c>
      <c r="EG98">
        <v>1.541426</v>
      </c>
      <c r="EH98">
        <v>0.66896949999999999</v>
      </c>
      <c r="EI98">
        <v>1.1267156</v>
      </c>
      <c r="EJ98" t="s">
        <v>830</v>
      </c>
      <c r="EK98">
        <v>1.6537466000000001</v>
      </c>
      <c r="EL98">
        <v>2.7769955999999998</v>
      </c>
      <c r="EM98">
        <v>1.28454322</v>
      </c>
      <c r="EN98">
        <v>2.3655122199999998</v>
      </c>
      <c r="EO98">
        <v>1.4088854</v>
      </c>
      <c r="EP98">
        <v>266.33681799999999</v>
      </c>
      <c r="EQ98">
        <v>198.69640100000001</v>
      </c>
      <c r="ER98">
        <v>16.771859599999999</v>
      </c>
      <c r="ES98">
        <v>15.390707900000001</v>
      </c>
      <c r="ET98">
        <v>8.9800328</v>
      </c>
      <c r="EU98">
        <v>205.3887421</v>
      </c>
      <c r="EV98">
        <v>117.3976675</v>
      </c>
      <c r="EW98">
        <v>18.096191999999999</v>
      </c>
      <c r="EX98">
        <v>103.87404739999999</v>
      </c>
      <c r="EY98">
        <v>2.7890535999999999</v>
      </c>
      <c r="EZ98">
        <v>2342.9758857000002</v>
      </c>
      <c r="FA98">
        <v>8.5068999999999999</v>
      </c>
      <c r="FB98">
        <v>1.1072947</v>
      </c>
      <c r="FC98">
        <v>2.1049104000000001</v>
      </c>
      <c r="FD98">
        <v>2.8794854999999999</v>
      </c>
      <c r="FE98">
        <v>1.2710979</v>
      </c>
      <c r="FF98">
        <v>1.7208336</v>
      </c>
      <c r="FG98">
        <v>0.84040667000000002</v>
      </c>
      <c r="FH98">
        <v>1.1555626299999999</v>
      </c>
      <c r="FI98">
        <v>0.98082612999999996</v>
      </c>
      <c r="FJ98">
        <v>116.74489924</v>
      </c>
    </row>
    <row r="99" spans="1:166" x14ac:dyDescent="0.3">
      <c r="A99" s="223">
        <v>98</v>
      </c>
      <c r="B99" s="315">
        <v>42453</v>
      </c>
      <c r="C99">
        <v>1011866.2677</v>
      </c>
      <c r="D99">
        <v>104.71586019</v>
      </c>
      <c r="E99">
        <v>1.3242567000000001</v>
      </c>
      <c r="F99">
        <v>7.0017975999999997</v>
      </c>
      <c r="G99">
        <v>4.8871252933999996</v>
      </c>
      <c r="H99" s="212">
        <v>3.8274876</v>
      </c>
      <c r="I99">
        <v>1.1385573529999999</v>
      </c>
      <c r="J99">
        <v>4.4366149999999998</v>
      </c>
      <c r="K99">
        <v>3.1253120000000001</v>
      </c>
      <c r="L99">
        <v>10.739406000000001</v>
      </c>
      <c r="M99">
        <v>0.99271014999999996</v>
      </c>
      <c r="N99">
        <v>1.359370006</v>
      </c>
      <c r="O99">
        <v>1.9781976349999999</v>
      </c>
      <c r="P99">
        <v>1.372172956</v>
      </c>
      <c r="Q99">
        <v>1.573188</v>
      </c>
      <c r="R99">
        <v>1.799382807</v>
      </c>
      <c r="S99">
        <v>12.605568</v>
      </c>
      <c r="T99">
        <v>3.0881365980000002</v>
      </c>
      <c r="U99">
        <v>3.485512408</v>
      </c>
      <c r="V99">
        <v>1.736064542</v>
      </c>
      <c r="W99">
        <v>1.4091870870000001</v>
      </c>
      <c r="X99">
        <v>3.5515595640000002</v>
      </c>
      <c r="Y99">
        <v>1.894576</v>
      </c>
      <c r="Z99">
        <v>1.6418740000000001</v>
      </c>
      <c r="AA99">
        <v>1.3905827399999999</v>
      </c>
      <c r="AB99">
        <v>1.149442922</v>
      </c>
      <c r="AC99">
        <v>1.170850242</v>
      </c>
      <c r="AD99">
        <v>1.3536249869999999</v>
      </c>
      <c r="AE99">
        <v>1.3515174910000001</v>
      </c>
      <c r="AF99">
        <v>1.3506131800000001</v>
      </c>
      <c r="AG99">
        <v>9.4251900000000006</v>
      </c>
      <c r="AH99">
        <v>1.800814546</v>
      </c>
      <c r="AI99">
        <v>3.830816</v>
      </c>
      <c r="AJ99">
        <v>2.5018590000000001</v>
      </c>
      <c r="AK99">
        <v>199.63916427000001</v>
      </c>
      <c r="AL99">
        <v>1.1071308</v>
      </c>
      <c r="AM99">
        <v>2.0089036999999998</v>
      </c>
      <c r="AN99">
        <v>8.7334353</v>
      </c>
      <c r="AO99">
        <v>1.7962323</v>
      </c>
      <c r="AP99">
        <v>1.7901947</v>
      </c>
      <c r="AQ99">
        <v>2.4753721</v>
      </c>
      <c r="AR99">
        <v>8.6951467000000005</v>
      </c>
      <c r="AS99">
        <v>399.13929419999999</v>
      </c>
      <c r="AT99">
        <v>1.2048962999999999</v>
      </c>
      <c r="AU99">
        <v>3.0546069</v>
      </c>
      <c r="AV99">
        <v>2.7032877000000002</v>
      </c>
      <c r="AW99">
        <v>1.6938004</v>
      </c>
      <c r="AX99">
        <v>1.2479654</v>
      </c>
      <c r="AY99">
        <v>2.6395605999999998</v>
      </c>
      <c r="AZ99" t="s">
        <v>830</v>
      </c>
      <c r="BA99">
        <v>1.907026374</v>
      </c>
      <c r="BB99">
        <v>2.5715659</v>
      </c>
      <c r="BC99">
        <v>3.0422799999999999</v>
      </c>
      <c r="BD99">
        <v>1.0766739999999999</v>
      </c>
      <c r="BE99">
        <v>1.060325</v>
      </c>
      <c r="BF99">
        <v>1.0496220000000001</v>
      </c>
      <c r="BG99">
        <v>1.0708740000000001</v>
      </c>
      <c r="BH99">
        <v>1.0542910000000001</v>
      </c>
      <c r="BI99">
        <v>1.213638</v>
      </c>
      <c r="BJ99">
        <v>1.095685</v>
      </c>
      <c r="BK99">
        <v>1.2125239999999999</v>
      </c>
      <c r="BL99">
        <v>1.2069890000000001</v>
      </c>
      <c r="BM99">
        <v>1.206494</v>
      </c>
      <c r="BN99">
        <v>1.0997840000000001</v>
      </c>
      <c r="BO99">
        <v>1.2170209999999999</v>
      </c>
      <c r="BP99">
        <v>2.673079</v>
      </c>
      <c r="BQ99">
        <v>1.388855</v>
      </c>
      <c r="BR99">
        <v>1.4887589999999999</v>
      </c>
      <c r="BS99">
        <v>1.369343</v>
      </c>
      <c r="BT99">
        <v>1.811852</v>
      </c>
      <c r="BU99">
        <v>1.7608010000000001</v>
      </c>
      <c r="BV99">
        <v>1.937935</v>
      </c>
      <c r="BW99">
        <v>1.786287</v>
      </c>
      <c r="BX99">
        <v>1.755233</v>
      </c>
      <c r="BY99">
        <v>1.7496849999999999</v>
      </c>
      <c r="BZ99">
        <v>2.0045359999999999</v>
      </c>
      <c r="CA99">
        <v>1.9342440000000001</v>
      </c>
      <c r="CB99">
        <v>1.947821</v>
      </c>
      <c r="CC99">
        <v>1.8913660000000001</v>
      </c>
      <c r="CD99">
        <v>1.892172</v>
      </c>
      <c r="CE99">
        <v>1.8404100000000001</v>
      </c>
      <c r="CF99">
        <v>1.1648670000000001</v>
      </c>
      <c r="CG99">
        <v>1.375535</v>
      </c>
      <c r="CH99">
        <v>1.3590800000000001</v>
      </c>
      <c r="CI99">
        <v>2.8929109999999998</v>
      </c>
      <c r="CJ99">
        <v>1.060962</v>
      </c>
      <c r="CK99">
        <v>1.151273</v>
      </c>
      <c r="CL99">
        <v>0.70077</v>
      </c>
      <c r="CM99">
        <v>3.2407300000000001</v>
      </c>
      <c r="CN99">
        <v>1.9093329999999999</v>
      </c>
      <c r="CO99">
        <v>1.0446470000000001</v>
      </c>
      <c r="CP99">
        <v>1.0660499999999999</v>
      </c>
      <c r="CQ99" s="205">
        <v>1.291372</v>
      </c>
      <c r="CR99">
        <v>14.016545000000001</v>
      </c>
      <c r="CS99">
        <v>4.3754869999999997</v>
      </c>
      <c r="CT99">
        <v>2.0969769999999999</v>
      </c>
      <c r="CU99">
        <v>5.2440939999999996</v>
      </c>
      <c r="CV99">
        <v>9.4010870000000004</v>
      </c>
      <c r="CW99" t="s">
        <v>830</v>
      </c>
      <c r="CX99">
        <v>1.2336766137999999</v>
      </c>
      <c r="CY99">
        <v>2.1869547119999999</v>
      </c>
      <c r="CZ99">
        <v>1.1884903314999999</v>
      </c>
      <c r="DA99">
        <v>14.615951110999999</v>
      </c>
      <c r="DB99">
        <v>1.085779</v>
      </c>
      <c r="DC99">
        <v>1.0889720000000001</v>
      </c>
      <c r="DD99">
        <v>1.9737210000000001</v>
      </c>
      <c r="DE99">
        <v>1.967686</v>
      </c>
      <c r="DF99">
        <v>1.8094159999999999</v>
      </c>
      <c r="DG99">
        <v>1.0831381200000001</v>
      </c>
      <c r="DH99">
        <v>127.38300796</v>
      </c>
      <c r="DI99">
        <v>0.25784832000000002</v>
      </c>
      <c r="DJ99">
        <v>2.09259</v>
      </c>
      <c r="DK99">
        <v>1.87706697</v>
      </c>
      <c r="DL99">
        <v>155518.94279999999</v>
      </c>
      <c r="DM99">
        <v>323.95788420000002</v>
      </c>
      <c r="DN99">
        <v>17.053048199999999</v>
      </c>
      <c r="DO99" t="s">
        <v>830</v>
      </c>
      <c r="DP99">
        <v>18030632.366</v>
      </c>
      <c r="DQ99">
        <v>1.4235567</v>
      </c>
      <c r="DR99">
        <v>14.8917462</v>
      </c>
      <c r="DS99" s="206">
        <v>21.878692699999998</v>
      </c>
      <c r="DT99">
        <v>1.9072928</v>
      </c>
      <c r="DU99">
        <v>1.158847</v>
      </c>
      <c r="DV99" t="s">
        <v>830</v>
      </c>
      <c r="DW99" t="s">
        <v>830</v>
      </c>
      <c r="DX99">
        <v>0.90789578000000004</v>
      </c>
      <c r="DY99">
        <v>11.219086000000001</v>
      </c>
      <c r="DZ99">
        <v>229.47189599999999</v>
      </c>
      <c r="EA99">
        <v>18.850809000000002</v>
      </c>
      <c r="EB99">
        <v>21.552997000000001</v>
      </c>
      <c r="EC99">
        <v>20.743921</v>
      </c>
      <c r="ED99">
        <v>2275.8438980000001</v>
      </c>
      <c r="EE99">
        <v>23.481938</v>
      </c>
      <c r="EF99">
        <v>34.891246000000002</v>
      </c>
      <c r="EG99">
        <v>1.5348474999999999</v>
      </c>
      <c r="EH99">
        <v>0.66916920000000002</v>
      </c>
      <c r="EI99">
        <v>1.1238938999999999</v>
      </c>
      <c r="EJ99" t="s">
        <v>830</v>
      </c>
      <c r="EK99">
        <v>1.6538611000000001</v>
      </c>
      <c r="EL99">
        <v>2.7771870999999999</v>
      </c>
      <c r="EM99">
        <v>1.2844780600000001</v>
      </c>
      <c r="EN99">
        <v>2.3663302000000002</v>
      </c>
      <c r="EO99">
        <v>1.409527</v>
      </c>
      <c r="EP99">
        <v>266.10722199999998</v>
      </c>
      <c r="EQ99">
        <v>197.51798500000001</v>
      </c>
      <c r="ER99">
        <v>16.7190996</v>
      </c>
      <c r="ES99">
        <v>15.282837799999999</v>
      </c>
      <c r="ET99">
        <v>8.9847569000000007</v>
      </c>
      <c r="EU99">
        <v>203.94567459999999</v>
      </c>
      <c r="EV99">
        <v>116.86199240000001</v>
      </c>
      <c r="EW99">
        <v>18.100533500000001</v>
      </c>
      <c r="EX99">
        <v>103.9254241</v>
      </c>
      <c r="EY99">
        <v>2.808681</v>
      </c>
      <c r="EZ99">
        <v>2344.1780017000001</v>
      </c>
      <c r="FA99">
        <v>8.5105830000000005</v>
      </c>
      <c r="FB99">
        <v>1.1009439000000001</v>
      </c>
      <c r="FC99">
        <v>2.0902726999999999</v>
      </c>
      <c r="FD99">
        <v>2.8809518999999999</v>
      </c>
      <c r="FE99">
        <v>1.2712422000000001</v>
      </c>
      <c r="FF99">
        <v>1.716404</v>
      </c>
      <c r="FG99">
        <v>0.84232439999999997</v>
      </c>
      <c r="FH99">
        <v>1.1560985699999999</v>
      </c>
      <c r="FI99">
        <v>0.98074737000000001</v>
      </c>
      <c r="FJ99">
        <v>114.60448585</v>
      </c>
    </row>
    <row r="100" spans="1:166" x14ac:dyDescent="0.3">
      <c r="A100" s="223">
        <v>99</v>
      </c>
      <c r="B100" s="315">
        <v>42457</v>
      </c>
      <c r="C100">
        <v>1011793.865</v>
      </c>
      <c r="D100">
        <v>104.71232766</v>
      </c>
      <c r="E100">
        <v>1.3296739</v>
      </c>
      <c r="F100">
        <v>7.1150368000000004</v>
      </c>
      <c r="G100">
        <v>4.8543858681999996</v>
      </c>
      <c r="H100" s="212">
        <v>3.987499814</v>
      </c>
      <c r="I100">
        <v>1.151003972</v>
      </c>
      <c r="J100">
        <v>4.4387939999999997</v>
      </c>
      <c r="K100">
        <v>3.1264560000000001</v>
      </c>
      <c r="L100">
        <v>10.744004</v>
      </c>
      <c r="M100">
        <v>1.0114166950000001</v>
      </c>
      <c r="N100">
        <v>1.382904559</v>
      </c>
      <c r="O100">
        <v>1.974145963</v>
      </c>
      <c r="P100">
        <v>1.3825679</v>
      </c>
      <c r="Q100">
        <v>1.573933</v>
      </c>
      <c r="R100">
        <v>1.803013339</v>
      </c>
      <c r="S100">
        <v>12.639663000000001</v>
      </c>
      <c r="T100">
        <v>3.1187950930000001</v>
      </c>
      <c r="U100">
        <v>3.5200446830000001</v>
      </c>
      <c r="V100">
        <v>1.760740194</v>
      </c>
      <c r="W100">
        <v>1.416802146</v>
      </c>
      <c r="X100">
        <v>3.5701725049999999</v>
      </c>
      <c r="Y100">
        <v>1.8959600000000001</v>
      </c>
      <c r="Z100">
        <v>1.6427389999999999</v>
      </c>
      <c r="AA100">
        <v>1.405214022</v>
      </c>
      <c r="AB100">
        <v>1.150180419</v>
      </c>
      <c r="AC100">
        <v>1.1740791690000001</v>
      </c>
      <c r="AD100">
        <v>1.3542307259999999</v>
      </c>
      <c r="AE100">
        <v>1.3521228110000001</v>
      </c>
      <c r="AF100">
        <v>1.363980644</v>
      </c>
      <c r="AG100">
        <v>9.4297489999999993</v>
      </c>
      <c r="AH100">
        <v>1.8017321559999999</v>
      </c>
      <c r="AI100">
        <v>3.833323</v>
      </c>
      <c r="AJ100">
        <v>2.5241500000000001</v>
      </c>
      <c r="AK100">
        <v>200.12570647000001</v>
      </c>
      <c r="AL100">
        <v>1.111904</v>
      </c>
      <c r="AM100">
        <v>2.0289514999999998</v>
      </c>
      <c r="AN100">
        <v>8.7380776000000004</v>
      </c>
      <c r="AO100">
        <v>1.7966966</v>
      </c>
      <c r="AP100">
        <v>1.7906415</v>
      </c>
      <c r="AQ100">
        <v>2.4766485</v>
      </c>
      <c r="AR100">
        <v>8.6996301000000003</v>
      </c>
      <c r="AS100">
        <v>408.6423289</v>
      </c>
      <c r="AT100">
        <v>1.2297167</v>
      </c>
      <c r="AU100">
        <v>3.0560900000000002</v>
      </c>
      <c r="AV100">
        <v>2.7315355000000001</v>
      </c>
      <c r="AW100">
        <v>1.7179081</v>
      </c>
      <c r="AX100">
        <v>1.2520396</v>
      </c>
      <c r="AY100">
        <v>2.6553957000000001</v>
      </c>
      <c r="AZ100" t="s">
        <v>830</v>
      </c>
      <c r="BA100">
        <v>1.907997532</v>
      </c>
      <c r="BB100">
        <v>2.5968244999999999</v>
      </c>
      <c r="BC100">
        <v>3.044305</v>
      </c>
      <c r="BD100">
        <v>1.077135</v>
      </c>
      <c r="BE100">
        <v>1.0607789999999999</v>
      </c>
      <c r="BF100">
        <v>1.0500719999999999</v>
      </c>
      <c r="BG100">
        <v>1.0713330000000001</v>
      </c>
      <c r="BH100">
        <v>1.0547420000000001</v>
      </c>
      <c r="BI100">
        <v>1.21417</v>
      </c>
      <c r="BJ100">
        <v>1.097791</v>
      </c>
      <c r="BK100">
        <v>1.2203649999999999</v>
      </c>
      <c r="BL100">
        <v>1.2075149999999999</v>
      </c>
      <c r="BM100">
        <v>1.2070240000000001</v>
      </c>
      <c r="BN100">
        <v>1.113073</v>
      </c>
      <c r="BO100">
        <v>1.2341089999999999</v>
      </c>
      <c r="BP100">
        <v>2.6744479999999999</v>
      </c>
      <c r="BQ100">
        <v>1.389537</v>
      </c>
      <c r="BR100">
        <v>1.4920610000000001</v>
      </c>
      <c r="BS100">
        <v>1.388763</v>
      </c>
      <c r="BT100">
        <v>1.8218270000000001</v>
      </c>
      <c r="BU100">
        <v>1.761593</v>
      </c>
      <c r="BV100">
        <v>1.9388350000000001</v>
      </c>
      <c r="BW100">
        <v>1.787415</v>
      </c>
      <c r="BX100">
        <v>1.7560169999999999</v>
      </c>
      <c r="BY100">
        <v>1.7508349999999999</v>
      </c>
      <c r="BZ100">
        <v>2.0054569999999998</v>
      </c>
      <c r="CA100">
        <v>1.9351419999999999</v>
      </c>
      <c r="CB100">
        <v>1.9487099999999999</v>
      </c>
      <c r="CC100">
        <v>1.8925590000000001</v>
      </c>
      <c r="CD100">
        <v>1.893364</v>
      </c>
      <c r="CE100">
        <v>1.8412630000000001</v>
      </c>
      <c r="CF100">
        <v>1.1654040000000001</v>
      </c>
      <c r="CG100">
        <v>1.387785</v>
      </c>
      <c r="CH100">
        <v>1.36625</v>
      </c>
      <c r="CI100">
        <v>2.8948360000000002</v>
      </c>
      <c r="CJ100">
        <v>1.085685</v>
      </c>
      <c r="CK100">
        <v>1.178134</v>
      </c>
      <c r="CL100">
        <v>0.71531299999999998</v>
      </c>
      <c r="CM100">
        <v>3.316621</v>
      </c>
      <c r="CN100">
        <v>1.8843099999999999</v>
      </c>
      <c r="CO100">
        <v>1.0446470000000001</v>
      </c>
      <c r="CP100">
        <v>1.0766100000000001</v>
      </c>
      <c r="CQ100" s="205">
        <v>1.2920339999999999</v>
      </c>
      <c r="CR100">
        <v>14.022758</v>
      </c>
      <c r="CS100">
        <v>4.3776289999999998</v>
      </c>
      <c r="CT100">
        <v>2.1169099999999998</v>
      </c>
      <c r="CU100">
        <v>5.2458049999999998</v>
      </c>
      <c r="CV100">
        <v>9.405284</v>
      </c>
      <c r="CW100" t="s">
        <v>830</v>
      </c>
      <c r="CX100">
        <v>1.2343279869999999</v>
      </c>
      <c r="CY100">
        <v>2.1704359590000002</v>
      </c>
      <c r="CZ100">
        <v>1.1905540848</v>
      </c>
      <c r="DA100">
        <v>14.623325489000001</v>
      </c>
      <c r="DB100">
        <v>1.0862449999999999</v>
      </c>
      <c r="DC100">
        <v>1.091065</v>
      </c>
      <c r="DD100">
        <v>1.9789479999999999</v>
      </c>
      <c r="DE100">
        <v>1.9873369999999999</v>
      </c>
      <c r="DF100">
        <v>1.8107359999999999</v>
      </c>
      <c r="DG100">
        <v>1.0834593699999999</v>
      </c>
      <c r="DH100">
        <v>127.45688577</v>
      </c>
      <c r="DI100">
        <v>0.25800028000000003</v>
      </c>
      <c r="DJ100">
        <v>2.0935459000000001</v>
      </c>
      <c r="DK100">
        <v>1.87179702</v>
      </c>
      <c r="DL100">
        <v>155620.92705999999</v>
      </c>
      <c r="DM100">
        <v>324.07777729999998</v>
      </c>
      <c r="DN100">
        <v>17.062250500000001</v>
      </c>
      <c r="DO100" t="s">
        <v>830</v>
      </c>
      <c r="DP100">
        <v>18029472.302999999</v>
      </c>
      <c r="DQ100">
        <v>1.4376929000000001</v>
      </c>
      <c r="DR100">
        <v>14.8983644</v>
      </c>
      <c r="DS100" s="206">
        <v>21.890012500000001</v>
      </c>
      <c r="DT100">
        <v>1.9161630999999999</v>
      </c>
      <c r="DU100">
        <v>1.1787042999999999</v>
      </c>
      <c r="DV100" t="s">
        <v>830</v>
      </c>
      <c r="DW100" t="s">
        <v>830</v>
      </c>
      <c r="DX100">
        <v>0.91576769800000002</v>
      </c>
      <c r="DY100">
        <v>11.461867</v>
      </c>
      <c r="DZ100">
        <v>229.68198699999999</v>
      </c>
      <c r="EA100">
        <v>18.948875999999998</v>
      </c>
      <c r="EB100">
        <v>21.609901000000001</v>
      </c>
      <c r="EC100">
        <v>20.949566000000001</v>
      </c>
      <c r="ED100">
        <v>2277.0591810000001</v>
      </c>
      <c r="EE100">
        <v>23.48732</v>
      </c>
      <c r="EF100">
        <v>34.909300999999999</v>
      </c>
      <c r="EG100">
        <v>1.5356867999999999</v>
      </c>
      <c r="EH100">
        <v>0.66936929999999994</v>
      </c>
      <c r="EI100">
        <v>1.1273046</v>
      </c>
      <c r="EJ100" t="s">
        <v>830</v>
      </c>
      <c r="EK100">
        <v>1.6567453000000001</v>
      </c>
      <c r="EL100">
        <v>2.7820298999999999</v>
      </c>
      <c r="EM100">
        <v>1.28464292</v>
      </c>
      <c r="EN100">
        <v>2.3674694999999999</v>
      </c>
      <c r="EO100">
        <v>1.4092294999999999</v>
      </c>
      <c r="EP100">
        <v>266.50828799999999</v>
      </c>
      <c r="EQ100">
        <v>199.19980000000001</v>
      </c>
      <c r="ER100">
        <v>16.763396199999999</v>
      </c>
      <c r="ES100">
        <v>15.4360316</v>
      </c>
      <c r="ET100">
        <v>8.9894452999999999</v>
      </c>
      <c r="EU100">
        <v>205.98859659999999</v>
      </c>
      <c r="EV100">
        <v>118.9480047</v>
      </c>
      <c r="EW100">
        <v>18.1132694</v>
      </c>
      <c r="EX100">
        <v>103.9763839</v>
      </c>
      <c r="EY100">
        <v>2.9887286999999998</v>
      </c>
      <c r="EZ100">
        <v>2345.3748067000001</v>
      </c>
      <c r="FA100">
        <v>8.5142120000000006</v>
      </c>
      <c r="FB100">
        <v>1.1267636000000001</v>
      </c>
      <c r="FC100">
        <v>2.1117328999999998</v>
      </c>
      <c r="FD100">
        <v>2.8824067000000002</v>
      </c>
      <c r="FE100">
        <v>1.2723964999999999</v>
      </c>
      <c r="FF100">
        <v>1.7250014</v>
      </c>
      <c r="FG100">
        <v>0.85605458999999995</v>
      </c>
      <c r="FH100">
        <v>1.1571370599999999</v>
      </c>
      <c r="FI100">
        <v>0.98066861999999999</v>
      </c>
      <c r="FJ100">
        <v>113.50548993</v>
      </c>
    </row>
    <row r="101" spans="1:166" x14ac:dyDescent="0.3">
      <c r="A101" s="223">
        <v>100</v>
      </c>
      <c r="B101" s="315">
        <v>42458</v>
      </c>
      <c r="C101">
        <v>1011721.9148</v>
      </c>
      <c r="D101">
        <v>104.7081649</v>
      </c>
      <c r="E101">
        <v>1.3306514</v>
      </c>
      <c r="F101">
        <v>7.1131403000000004</v>
      </c>
      <c r="G101">
        <v>4.9033910544000001</v>
      </c>
      <c r="H101" s="212">
        <v>4.0586840549999996</v>
      </c>
      <c r="I101">
        <v>1.148356148</v>
      </c>
      <c r="J101">
        <v>4.4410170000000004</v>
      </c>
      <c r="K101">
        <v>3.1275919999999999</v>
      </c>
      <c r="L101">
        <v>10.748386</v>
      </c>
      <c r="M101">
        <v>1.0153294479999999</v>
      </c>
      <c r="N101">
        <v>1.392792636</v>
      </c>
      <c r="O101">
        <v>1.974547925</v>
      </c>
      <c r="P101">
        <v>1.3835422420000001</v>
      </c>
      <c r="Q101">
        <v>1.5746629999999999</v>
      </c>
      <c r="R101">
        <v>1.802391343</v>
      </c>
      <c r="S101">
        <v>12.639594000000001</v>
      </c>
      <c r="T101">
        <v>3.1288760799999999</v>
      </c>
      <c r="U101">
        <v>3.5319685189999999</v>
      </c>
      <c r="V101">
        <v>1.770277611</v>
      </c>
      <c r="W101">
        <v>1.4204108070000001</v>
      </c>
      <c r="X101">
        <v>3.5817712199999998</v>
      </c>
      <c r="Y101">
        <v>1.8969590000000001</v>
      </c>
      <c r="Z101">
        <v>1.643564</v>
      </c>
      <c r="AA101">
        <v>1.407381768</v>
      </c>
      <c r="AB101">
        <v>1.1502446660000001</v>
      </c>
      <c r="AC101">
        <v>1.1742700180000001</v>
      </c>
      <c r="AD101">
        <v>1.3548367299999999</v>
      </c>
      <c r="AE101">
        <v>1.352728444</v>
      </c>
      <c r="AF101">
        <v>1.3661292810000001</v>
      </c>
      <c r="AG101">
        <v>9.4343540000000008</v>
      </c>
      <c r="AH101">
        <v>1.8022051750000001</v>
      </c>
      <c r="AI101">
        <v>3.8352170000000001</v>
      </c>
      <c r="AJ101">
        <v>2.5309599999999999</v>
      </c>
      <c r="AK101">
        <v>200.20691746</v>
      </c>
      <c r="AL101">
        <v>1.1119067</v>
      </c>
      <c r="AM101">
        <v>2.0358982999999999</v>
      </c>
      <c r="AN101">
        <v>8.7425318999999995</v>
      </c>
      <c r="AO101">
        <v>1.7980062000000001</v>
      </c>
      <c r="AP101">
        <v>1.7919627</v>
      </c>
      <c r="AQ101">
        <v>2.4779209999999998</v>
      </c>
      <c r="AR101">
        <v>8.7039904000000003</v>
      </c>
      <c r="AS101">
        <v>411.19439340000002</v>
      </c>
      <c r="AT101">
        <v>1.2383767000000001</v>
      </c>
      <c r="AU101">
        <v>3.0575298000000002</v>
      </c>
      <c r="AV101">
        <v>2.7412931999999999</v>
      </c>
      <c r="AW101">
        <v>1.7272329</v>
      </c>
      <c r="AX101">
        <v>1.2522053</v>
      </c>
      <c r="AY101">
        <v>2.6625435999999998</v>
      </c>
      <c r="AZ101" t="s">
        <v>830</v>
      </c>
      <c r="BA101">
        <v>1.908973375</v>
      </c>
      <c r="BB101">
        <v>2.6058203</v>
      </c>
      <c r="BC101">
        <v>3.046173</v>
      </c>
      <c r="BD101">
        <v>1.077307</v>
      </c>
      <c r="BE101">
        <v>1.060948</v>
      </c>
      <c r="BF101">
        <v>1.0502400000000001</v>
      </c>
      <c r="BG101">
        <v>1.071504</v>
      </c>
      <c r="BH101">
        <v>1.0549109999999999</v>
      </c>
      <c r="BI101">
        <v>1.2147019999999999</v>
      </c>
      <c r="BJ101">
        <v>1.097164</v>
      </c>
      <c r="BK101">
        <v>1.220939</v>
      </c>
      <c r="BL101">
        <v>1.2080409999999999</v>
      </c>
      <c r="BM101">
        <v>1.207554</v>
      </c>
      <c r="BN101">
        <v>1.116039</v>
      </c>
      <c r="BO101">
        <v>1.239371</v>
      </c>
      <c r="BP101">
        <v>2.6758299999999999</v>
      </c>
      <c r="BQ101">
        <v>1.39022</v>
      </c>
      <c r="BR101">
        <v>1.4917400000000001</v>
      </c>
      <c r="BS101">
        <v>1.395875</v>
      </c>
      <c r="BT101">
        <v>1.8264560000000001</v>
      </c>
      <c r="BU101">
        <v>1.762386</v>
      </c>
      <c r="BV101">
        <v>1.939735</v>
      </c>
      <c r="BW101">
        <v>1.788543</v>
      </c>
      <c r="BX101">
        <v>1.756802</v>
      </c>
      <c r="BY101">
        <v>1.751619</v>
      </c>
      <c r="BZ101">
        <v>2.0063789999999999</v>
      </c>
      <c r="CA101">
        <v>1.93604</v>
      </c>
      <c r="CB101">
        <v>1.9495990000000001</v>
      </c>
      <c r="CC101">
        <v>1.8934740000000001</v>
      </c>
      <c r="CD101">
        <v>1.8942810000000001</v>
      </c>
      <c r="CE101">
        <v>1.8421160000000001</v>
      </c>
      <c r="CF101">
        <v>1.165942</v>
      </c>
      <c r="CG101">
        <v>1.395519</v>
      </c>
      <c r="CH101">
        <v>1.3708130000000001</v>
      </c>
      <c r="CI101">
        <v>2.896595</v>
      </c>
      <c r="CJ101">
        <v>1.0916490000000001</v>
      </c>
      <c r="CK101">
        <v>1.1846680000000001</v>
      </c>
      <c r="CL101">
        <v>0.71929399999999999</v>
      </c>
      <c r="CM101">
        <v>3.3360590000000001</v>
      </c>
      <c r="CN101">
        <v>1.9020440000000001</v>
      </c>
      <c r="CO101">
        <v>1.0446470000000001</v>
      </c>
      <c r="CP101">
        <v>1.0845990000000001</v>
      </c>
      <c r="CQ101" s="205">
        <v>1.2926949999999999</v>
      </c>
      <c r="CR101">
        <v>14.028956000000001</v>
      </c>
      <c r="CS101">
        <v>4.3796419999999996</v>
      </c>
      <c r="CT101">
        <v>2.124101</v>
      </c>
      <c r="CU101">
        <v>5.2475170000000002</v>
      </c>
      <c r="CV101">
        <v>9.4094739999999994</v>
      </c>
      <c r="CW101" t="s">
        <v>830</v>
      </c>
      <c r="CX101">
        <v>1.2349679543000001</v>
      </c>
      <c r="CY101">
        <v>2.1948556200999998</v>
      </c>
      <c r="CZ101">
        <v>1.1916496304999999</v>
      </c>
      <c r="DA101">
        <v>14.630435535</v>
      </c>
      <c r="DB101">
        <v>1.0864180000000001</v>
      </c>
      <c r="DC101">
        <v>1.0904419999999999</v>
      </c>
      <c r="DD101">
        <v>1.9788669999999999</v>
      </c>
      <c r="DE101">
        <v>1.993879</v>
      </c>
      <c r="DF101">
        <v>1.8116969999999999</v>
      </c>
      <c r="DG101">
        <v>1.0862059500000001</v>
      </c>
      <c r="DH101">
        <v>127.53153055</v>
      </c>
      <c r="DI101">
        <v>0.25814186</v>
      </c>
      <c r="DJ101">
        <v>2.0945030999999998</v>
      </c>
      <c r="DK101">
        <v>1.8696241499999999</v>
      </c>
      <c r="DL101">
        <v>155722.97816999999</v>
      </c>
      <c r="DM101">
        <v>324.23732990000002</v>
      </c>
      <c r="DN101">
        <v>17.051311699999999</v>
      </c>
      <c r="DO101" t="s">
        <v>830</v>
      </c>
      <c r="DP101">
        <v>18028268.342</v>
      </c>
      <c r="DQ101">
        <v>1.4435747999999999</v>
      </c>
      <c r="DR101">
        <v>14.9368654</v>
      </c>
      <c r="DS101" s="206">
        <v>21.9013901</v>
      </c>
      <c r="DT101">
        <v>1.9205973000000001</v>
      </c>
      <c r="DU101">
        <v>1.1852659999999999</v>
      </c>
      <c r="DV101" t="s">
        <v>830</v>
      </c>
      <c r="DW101" t="s">
        <v>830</v>
      </c>
      <c r="DX101">
        <v>0.92195109399999997</v>
      </c>
      <c r="DY101">
        <v>11.531063</v>
      </c>
      <c r="DZ101">
        <v>229.80438100000001</v>
      </c>
      <c r="EA101">
        <v>19.010455</v>
      </c>
      <c r="EB101">
        <v>21.608905</v>
      </c>
      <c r="EC101">
        <v>21.019217000000001</v>
      </c>
      <c r="ED101">
        <v>2278.2410500000001</v>
      </c>
      <c r="EE101">
        <v>23.504258</v>
      </c>
      <c r="EF101">
        <v>34.927070000000001</v>
      </c>
      <c r="EG101">
        <v>1.5541210999999999</v>
      </c>
      <c r="EH101">
        <v>0.66956939999999998</v>
      </c>
      <c r="EI101">
        <v>1.1286670000000001</v>
      </c>
      <c r="EJ101" t="s">
        <v>830</v>
      </c>
      <c r="EK101">
        <v>1.6584793</v>
      </c>
      <c r="EL101">
        <v>2.7849401</v>
      </c>
      <c r="EM101">
        <v>1.28480814</v>
      </c>
      <c r="EN101">
        <v>2.3686093600000002</v>
      </c>
      <c r="EO101">
        <v>1.4098681</v>
      </c>
      <c r="EP101">
        <v>266.854376</v>
      </c>
      <c r="EQ101">
        <v>199.73712699999999</v>
      </c>
      <c r="ER101">
        <v>16.7627375</v>
      </c>
      <c r="ES101">
        <v>15.487629500000001</v>
      </c>
      <c r="ET101">
        <v>8.9941467999999993</v>
      </c>
      <c r="EU101">
        <v>206.67545039999999</v>
      </c>
      <c r="EV101">
        <v>120.34487319999999</v>
      </c>
      <c r="EW101">
        <v>18.122298499999999</v>
      </c>
      <c r="EX101">
        <v>104.0274941</v>
      </c>
      <c r="EY101">
        <v>2.988515</v>
      </c>
      <c r="EZ101">
        <v>2346.5521362999998</v>
      </c>
      <c r="FA101">
        <v>8.5177910000000008</v>
      </c>
      <c r="FB101">
        <v>1.1384358999999999</v>
      </c>
      <c r="FC101">
        <v>2.1189366000000001</v>
      </c>
      <c r="FD101">
        <v>2.8838697999999998</v>
      </c>
      <c r="FE101">
        <v>1.2731882000000001</v>
      </c>
      <c r="FF101">
        <v>1.7303607000000001</v>
      </c>
      <c r="FG101">
        <v>0.86392290000000005</v>
      </c>
      <c r="FH101">
        <v>1.15750277</v>
      </c>
      <c r="FI101">
        <v>0.98058988000000002</v>
      </c>
      <c r="FJ101">
        <v>115.01995128999999</v>
      </c>
    </row>
    <row r="102" spans="1:166" x14ac:dyDescent="0.3">
      <c r="A102" s="223">
        <v>101</v>
      </c>
      <c r="B102" s="315">
        <v>42459</v>
      </c>
      <c r="C102">
        <v>1011649.9673</v>
      </c>
      <c r="D102">
        <v>104.75183072</v>
      </c>
      <c r="E102">
        <v>1.3270923999999999</v>
      </c>
      <c r="F102">
        <v>7.0493993000000001</v>
      </c>
      <c r="G102">
        <v>4.9214240481999996</v>
      </c>
      <c r="H102" s="212">
        <v>4.092885527</v>
      </c>
      <c r="I102">
        <v>1.153372552</v>
      </c>
      <c r="J102">
        <v>4.4432770000000001</v>
      </c>
      <c r="K102">
        <v>3.1287419999999999</v>
      </c>
      <c r="L102">
        <v>10.752770999999999</v>
      </c>
      <c r="M102">
        <v>1.0158221759999999</v>
      </c>
      <c r="N102">
        <v>1.3941461049999999</v>
      </c>
      <c r="O102">
        <v>1.975694241</v>
      </c>
      <c r="P102">
        <v>1.3766388430000001</v>
      </c>
      <c r="Q102">
        <v>1.575412</v>
      </c>
      <c r="R102">
        <v>1.798184483</v>
      </c>
      <c r="S102">
        <v>12.611444000000001</v>
      </c>
      <c r="T102">
        <v>3.1098588409999999</v>
      </c>
      <c r="U102">
        <v>3.5106664589999999</v>
      </c>
      <c r="V102">
        <v>1.7555006989999999</v>
      </c>
      <c r="W102">
        <v>1.417048251</v>
      </c>
      <c r="X102">
        <v>3.5766894150000001</v>
      </c>
      <c r="Y102">
        <v>1.8977360000000001</v>
      </c>
      <c r="Z102">
        <v>1.64439</v>
      </c>
      <c r="AA102">
        <v>1.3981623000000001</v>
      </c>
      <c r="AB102">
        <v>1.149642981</v>
      </c>
      <c r="AC102">
        <v>1.1715059350000001</v>
      </c>
      <c r="AD102">
        <v>1.3554430129999999</v>
      </c>
      <c r="AE102">
        <v>1.3533343010000001</v>
      </c>
      <c r="AF102">
        <v>1.3547752980000001</v>
      </c>
      <c r="AG102">
        <v>9.4391040000000004</v>
      </c>
      <c r="AH102">
        <v>1.802196479</v>
      </c>
      <c r="AI102">
        <v>3.8367089999999999</v>
      </c>
      <c r="AJ102">
        <v>2.5171250000000001</v>
      </c>
      <c r="AK102">
        <v>199.95985395</v>
      </c>
      <c r="AL102">
        <v>1.1080426999999999</v>
      </c>
      <c r="AM102">
        <v>2.0234084999999999</v>
      </c>
      <c r="AN102">
        <v>8.7470184999999994</v>
      </c>
      <c r="AO102">
        <v>1.7989622999999999</v>
      </c>
      <c r="AP102">
        <v>1.7929162000000001</v>
      </c>
      <c r="AQ102">
        <v>2.4791861000000002</v>
      </c>
      <c r="AR102">
        <v>8.7083306</v>
      </c>
      <c r="AS102">
        <v>411.93754689999997</v>
      </c>
      <c r="AT102">
        <v>1.2370729</v>
      </c>
      <c r="AU102">
        <v>3.0589624999999998</v>
      </c>
      <c r="AV102">
        <v>2.7248591000000002</v>
      </c>
      <c r="AW102">
        <v>1.7129736</v>
      </c>
      <c r="AX102">
        <v>1.2492923</v>
      </c>
      <c r="AY102">
        <v>2.6559238999999999</v>
      </c>
      <c r="AZ102" t="s">
        <v>830</v>
      </c>
      <c r="BA102">
        <v>1.909949906</v>
      </c>
      <c r="BB102">
        <v>2.5920994999999998</v>
      </c>
      <c r="BC102">
        <v>3.0474570000000001</v>
      </c>
      <c r="BD102">
        <v>1.077135</v>
      </c>
      <c r="BE102">
        <v>1.0607789999999999</v>
      </c>
      <c r="BF102">
        <v>1.0500719999999999</v>
      </c>
      <c r="BG102">
        <v>1.0713330000000001</v>
      </c>
      <c r="BH102">
        <v>1.0547420000000001</v>
      </c>
      <c r="BI102">
        <v>1.2152339999999999</v>
      </c>
      <c r="BJ102">
        <v>1.09419</v>
      </c>
      <c r="BK102">
        <v>1.2157290000000001</v>
      </c>
      <c r="BL102">
        <v>1.2085669999999999</v>
      </c>
      <c r="BM102">
        <v>1.2080839999999999</v>
      </c>
      <c r="BN102">
        <v>1.107761</v>
      </c>
      <c r="BO102">
        <v>1.2320800000000001</v>
      </c>
      <c r="BP102">
        <v>2.6772360000000002</v>
      </c>
      <c r="BQ102">
        <v>1.3909020000000001</v>
      </c>
      <c r="BR102">
        <v>1.4883299999999999</v>
      </c>
      <c r="BS102">
        <v>1.3844909999999999</v>
      </c>
      <c r="BT102">
        <v>1.8220590000000001</v>
      </c>
      <c r="BU102">
        <v>1.7631790000000001</v>
      </c>
      <c r="BV102">
        <v>1.940636</v>
      </c>
      <c r="BW102">
        <v>1.7896719999999999</v>
      </c>
      <c r="BX102">
        <v>1.7575879999999999</v>
      </c>
      <c r="BY102">
        <v>1.7524040000000001</v>
      </c>
      <c r="BZ102">
        <v>2.0073020000000001</v>
      </c>
      <c r="CA102">
        <v>1.936938</v>
      </c>
      <c r="CB102">
        <v>1.9504889999999999</v>
      </c>
      <c r="CC102">
        <v>1.89439</v>
      </c>
      <c r="CD102">
        <v>1.895197</v>
      </c>
      <c r="CE102">
        <v>1.84297</v>
      </c>
      <c r="CF102">
        <v>1.166479</v>
      </c>
      <c r="CG102">
        <v>1.3917550000000001</v>
      </c>
      <c r="CH102">
        <v>1.3690070000000001</v>
      </c>
      <c r="CI102">
        <v>2.8977889999999999</v>
      </c>
      <c r="CJ102">
        <v>1.09165</v>
      </c>
      <c r="CK102">
        <v>1.184912</v>
      </c>
      <c r="CL102">
        <v>0.71920600000000001</v>
      </c>
      <c r="CM102">
        <v>3.3399390000000002</v>
      </c>
      <c r="CN102">
        <v>1.900579</v>
      </c>
      <c r="CO102">
        <v>1.0446470000000001</v>
      </c>
      <c r="CP102">
        <v>1.0872569999999999</v>
      </c>
      <c r="CQ102" s="205">
        <v>1.2933619999999999</v>
      </c>
      <c r="CR102">
        <v>14.035341000000001</v>
      </c>
      <c r="CS102">
        <v>4.3816829999999998</v>
      </c>
      <c r="CT102">
        <v>2.1128629999999999</v>
      </c>
      <c r="CU102">
        <v>5.2492279999999996</v>
      </c>
      <c r="CV102">
        <v>9.4137740000000001</v>
      </c>
      <c r="CW102" t="s">
        <v>830</v>
      </c>
      <c r="CX102">
        <v>1.2356113657000001</v>
      </c>
      <c r="CY102">
        <v>2.2040951712000001</v>
      </c>
      <c r="CZ102">
        <v>1.191367611</v>
      </c>
      <c r="DA102">
        <v>14.637492807999999</v>
      </c>
      <c r="DB102">
        <v>1.0862449999999999</v>
      </c>
      <c r="DC102">
        <v>1.0874870000000001</v>
      </c>
      <c r="DD102">
        <v>1.9744060000000001</v>
      </c>
      <c r="DE102">
        <v>1.9818070000000001</v>
      </c>
      <c r="DF102">
        <v>1.812454</v>
      </c>
      <c r="DG102">
        <v>1.08448061</v>
      </c>
      <c r="DH102">
        <v>127.60646233</v>
      </c>
      <c r="DI102">
        <v>0.20352495000000001</v>
      </c>
      <c r="DJ102">
        <v>2.0954671</v>
      </c>
      <c r="DK102">
        <v>1.86831847</v>
      </c>
      <c r="DL102">
        <v>155825.09611000001</v>
      </c>
      <c r="DM102">
        <v>324.39747449999999</v>
      </c>
      <c r="DN102">
        <v>17.066078000000001</v>
      </c>
      <c r="DO102" t="s">
        <v>830</v>
      </c>
      <c r="DP102">
        <v>18027064.462000001</v>
      </c>
      <c r="DQ102">
        <v>1.4196399</v>
      </c>
      <c r="DR102">
        <v>14.9556135</v>
      </c>
      <c r="DS102" s="206">
        <v>21.912653299999999</v>
      </c>
      <c r="DT102">
        <v>1.9169114</v>
      </c>
      <c r="DU102">
        <v>1.1847369000000001</v>
      </c>
      <c r="DV102" t="s">
        <v>830</v>
      </c>
      <c r="DW102" t="s">
        <v>830</v>
      </c>
      <c r="DX102">
        <v>0.90217823900000005</v>
      </c>
      <c r="DY102">
        <v>11.549498</v>
      </c>
      <c r="DZ102">
        <v>229.79508999999999</v>
      </c>
      <c r="EA102">
        <v>18.983067999999999</v>
      </c>
      <c r="EB102">
        <v>21.560276000000002</v>
      </c>
      <c r="EC102">
        <v>20.891456000000002</v>
      </c>
      <c r="ED102">
        <v>2279.435747</v>
      </c>
      <c r="EE102">
        <v>23.516794999999998</v>
      </c>
      <c r="EF102">
        <v>34.944813000000003</v>
      </c>
      <c r="EG102">
        <v>1.5623372</v>
      </c>
      <c r="EH102">
        <v>0.66976959999999996</v>
      </c>
      <c r="EI102">
        <v>1.1271458000000001</v>
      </c>
      <c r="EJ102" t="s">
        <v>830</v>
      </c>
      <c r="EK102">
        <v>1.6603886000000001</v>
      </c>
      <c r="EL102">
        <v>2.7881455000000002</v>
      </c>
      <c r="EM102">
        <v>1.2849724300000001</v>
      </c>
      <c r="EN102">
        <v>2.3697497699999999</v>
      </c>
      <c r="EO102">
        <v>1.4105076999999999</v>
      </c>
      <c r="EP102">
        <v>266.49634300000002</v>
      </c>
      <c r="EQ102">
        <v>198.58863600000001</v>
      </c>
      <c r="ER102">
        <v>16.7252261</v>
      </c>
      <c r="ES102">
        <v>15.393277899999999</v>
      </c>
      <c r="ET102">
        <v>8.9988106000000005</v>
      </c>
      <c r="EU102">
        <v>205.4141482</v>
      </c>
      <c r="EV102">
        <v>120.6881071</v>
      </c>
      <c r="EW102">
        <v>18.129725700000002</v>
      </c>
      <c r="EX102">
        <v>104.07816440000001</v>
      </c>
      <c r="EY102">
        <v>3.0080129000000002</v>
      </c>
      <c r="EZ102">
        <v>2347.7263431000001</v>
      </c>
      <c r="FA102">
        <v>8.5213610000000006</v>
      </c>
      <c r="FB102">
        <v>1.1353738</v>
      </c>
      <c r="FC102">
        <v>2.1059245999999998</v>
      </c>
      <c r="FD102">
        <v>2.8853328999999999</v>
      </c>
      <c r="FE102">
        <v>1.2735387</v>
      </c>
      <c r="FF102">
        <v>1.7280736999999999</v>
      </c>
      <c r="FG102">
        <v>0.86301594000000004</v>
      </c>
      <c r="FH102">
        <v>1.15796188</v>
      </c>
      <c r="FI102">
        <v>0.98051113999999995</v>
      </c>
      <c r="FJ102">
        <v>115.81552069</v>
      </c>
    </row>
    <row r="103" spans="1:166" x14ac:dyDescent="0.3">
      <c r="A103" s="223">
        <v>102</v>
      </c>
      <c r="B103" s="315">
        <v>42460</v>
      </c>
      <c r="C103">
        <v>1011578.0472</v>
      </c>
      <c r="D103">
        <v>104.18915072</v>
      </c>
      <c r="E103">
        <v>1.3227659</v>
      </c>
      <c r="F103">
        <v>6.8294264</v>
      </c>
      <c r="G103">
        <v>4.8917157573000001</v>
      </c>
      <c r="H103" s="212">
        <v>3.9898121350000002</v>
      </c>
      <c r="I103">
        <v>1.1352982009999999</v>
      </c>
      <c r="J103">
        <v>4.445595</v>
      </c>
      <c r="K103">
        <v>3.1298879999999998</v>
      </c>
      <c r="L103">
        <v>10.757058000000001</v>
      </c>
      <c r="M103">
        <v>0.99544389899999997</v>
      </c>
      <c r="N103">
        <v>1.3630528959999999</v>
      </c>
      <c r="O103">
        <v>1.981611765</v>
      </c>
      <c r="P103">
        <v>1.3688993759999999</v>
      </c>
      <c r="Q103">
        <v>1.576179</v>
      </c>
      <c r="R103">
        <v>1.792390873</v>
      </c>
      <c r="S103">
        <v>12.572357</v>
      </c>
      <c r="T103">
        <v>3.089661284</v>
      </c>
      <c r="U103">
        <v>3.487845627</v>
      </c>
      <c r="V103">
        <v>1.7404733269999999</v>
      </c>
      <c r="W103">
        <v>1.412163847</v>
      </c>
      <c r="X103">
        <v>3.5630414340000001</v>
      </c>
      <c r="Y103">
        <v>1.8981250000000001</v>
      </c>
      <c r="Z103">
        <v>1.6452009999999999</v>
      </c>
      <c r="AA103">
        <v>1.3891054309999999</v>
      </c>
      <c r="AB103">
        <v>1.1489492080000001</v>
      </c>
      <c r="AC103">
        <v>1.16807599</v>
      </c>
      <c r="AD103">
        <v>1.356049558</v>
      </c>
      <c r="AE103">
        <v>1.3539404829999999</v>
      </c>
      <c r="AF103">
        <v>1.3445109260000001</v>
      </c>
      <c r="AG103">
        <v>9.4438359999999992</v>
      </c>
      <c r="AH103">
        <v>1.802484669</v>
      </c>
      <c r="AI103">
        <v>3.83805</v>
      </c>
      <c r="AJ103">
        <v>2.5017320000000001</v>
      </c>
      <c r="AK103">
        <v>199.70074936</v>
      </c>
      <c r="AL103">
        <v>1.1030065</v>
      </c>
      <c r="AM103">
        <v>2.0100896000000001</v>
      </c>
      <c r="AN103">
        <v>8.7516192999999998</v>
      </c>
      <c r="AO103">
        <v>1.799717</v>
      </c>
      <c r="AP103">
        <v>1.7936654999999999</v>
      </c>
      <c r="AQ103">
        <v>2.4804604000000001</v>
      </c>
      <c r="AR103">
        <v>8.7128756000000003</v>
      </c>
      <c r="AS103">
        <v>402.35711709999998</v>
      </c>
      <c r="AT103">
        <v>1.2143333999999999</v>
      </c>
      <c r="AU103">
        <v>3.0604670999999999</v>
      </c>
      <c r="AV103">
        <v>2.7071982000000001</v>
      </c>
      <c r="AW103">
        <v>1.6983629</v>
      </c>
      <c r="AX103">
        <v>1.2452905000000001</v>
      </c>
      <c r="AY103">
        <v>2.6463125999999999</v>
      </c>
      <c r="AZ103" t="s">
        <v>830</v>
      </c>
      <c r="BA103">
        <v>1.910925215</v>
      </c>
      <c r="BB103">
        <v>2.5759031000000001</v>
      </c>
      <c r="BC103">
        <v>3.0484640000000001</v>
      </c>
      <c r="BD103">
        <v>1.077064</v>
      </c>
      <c r="BE103">
        <v>1.0607089999999999</v>
      </c>
      <c r="BF103">
        <v>1.050003</v>
      </c>
      <c r="BG103">
        <v>1.0712630000000001</v>
      </c>
      <c r="BH103">
        <v>1.0546720000000001</v>
      </c>
      <c r="BI103">
        <v>1.2157659999999999</v>
      </c>
      <c r="BJ103">
        <v>1.089982</v>
      </c>
      <c r="BK103">
        <v>1.207746</v>
      </c>
      <c r="BL103">
        <v>1.2090939999999999</v>
      </c>
      <c r="BM103">
        <v>1.208615</v>
      </c>
      <c r="BN103">
        <v>1.101364</v>
      </c>
      <c r="BO103">
        <v>1.2239100000000001</v>
      </c>
      <c r="BP103">
        <v>2.6786530000000002</v>
      </c>
      <c r="BQ103">
        <v>1.3915850000000001</v>
      </c>
      <c r="BR103">
        <v>1.4835879999999999</v>
      </c>
      <c r="BS103">
        <v>1.3724259999999999</v>
      </c>
      <c r="BT103">
        <v>1.8156060000000001</v>
      </c>
      <c r="BU103">
        <v>1.763973</v>
      </c>
      <c r="BV103">
        <v>1.9415370000000001</v>
      </c>
      <c r="BW103">
        <v>1.790802</v>
      </c>
      <c r="BX103">
        <v>1.758373</v>
      </c>
      <c r="BY103">
        <v>1.7531890000000001</v>
      </c>
      <c r="BZ103">
        <v>2.0082239999999998</v>
      </c>
      <c r="CA103">
        <v>1.937837</v>
      </c>
      <c r="CB103">
        <v>1.951379</v>
      </c>
      <c r="CC103">
        <v>1.8953070000000001</v>
      </c>
      <c r="CD103">
        <v>1.896115</v>
      </c>
      <c r="CE103">
        <v>1.8438239999999999</v>
      </c>
      <c r="CF103">
        <v>1.167017</v>
      </c>
      <c r="CG103">
        <v>1.3819330000000001</v>
      </c>
      <c r="CH103">
        <v>1.363707</v>
      </c>
      <c r="CI103">
        <v>2.898768</v>
      </c>
      <c r="CJ103">
        <v>1.066065</v>
      </c>
      <c r="CK103">
        <v>1.157186</v>
      </c>
      <c r="CL103">
        <v>0.70391400000000004</v>
      </c>
      <c r="CM103">
        <v>3.2618230000000001</v>
      </c>
      <c r="CN103">
        <v>1.8922669999999999</v>
      </c>
      <c r="CO103">
        <v>1.0446470000000001</v>
      </c>
      <c r="CP103">
        <v>1.075526</v>
      </c>
      <c r="CQ103" s="205">
        <v>1.29403</v>
      </c>
      <c r="CR103">
        <v>14.041752000000001</v>
      </c>
      <c r="CS103">
        <v>4.3836170000000001</v>
      </c>
      <c r="CT103">
        <v>2.1007699999999998</v>
      </c>
      <c r="CU103">
        <v>5.2509410000000001</v>
      </c>
      <c r="CV103">
        <v>9.4180860000000006</v>
      </c>
      <c r="CW103">
        <v>952.71543535000001</v>
      </c>
      <c r="CX103">
        <v>1.2362613388000001</v>
      </c>
      <c r="CY103">
        <v>2.1898644452</v>
      </c>
      <c r="CZ103">
        <v>1.1901600210000001</v>
      </c>
      <c r="DA103">
        <v>14.644792208</v>
      </c>
      <c r="DB103">
        <v>1.0861730000000001</v>
      </c>
      <c r="DC103">
        <v>1.083305</v>
      </c>
      <c r="DD103">
        <v>1.968299</v>
      </c>
      <c r="DE103">
        <v>1.9687539999999999</v>
      </c>
      <c r="DF103">
        <v>1.8128500000000001</v>
      </c>
      <c r="DG103">
        <v>1.0858876799999999</v>
      </c>
      <c r="DH103">
        <v>127.68656885</v>
      </c>
      <c r="DI103">
        <v>0.20355506000000001</v>
      </c>
      <c r="DJ103">
        <v>2.0964320999999999</v>
      </c>
      <c r="DK103">
        <v>1.86858027</v>
      </c>
      <c r="DL103">
        <v>155927.28090000001</v>
      </c>
      <c r="DM103">
        <v>324.5493707</v>
      </c>
      <c r="DN103">
        <v>16.924182999999999</v>
      </c>
      <c r="DO103">
        <v>68.06</v>
      </c>
      <c r="DP103">
        <v>18025860.662</v>
      </c>
      <c r="DQ103">
        <v>1.3747023</v>
      </c>
      <c r="DR103">
        <v>14.970352</v>
      </c>
      <c r="DS103" s="206">
        <v>21.923890199999999</v>
      </c>
      <c r="DT103">
        <v>1.9126335000000001</v>
      </c>
      <c r="DU103">
        <v>1.1569818000000001</v>
      </c>
      <c r="DV103" t="s">
        <v>830</v>
      </c>
      <c r="DW103" t="s">
        <v>830</v>
      </c>
      <c r="DX103">
        <v>0.90982924499999995</v>
      </c>
      <c r="DY103">
        <v>11.285546</v>
      </c>
      <c r="DZ103">
        <v>229.77311599999999</v>
      </c>
      <c r="EA103">
        <v>18.910505000000001</v>
      </c>
      <c r="EB103">
        <v>21.493480000000002</v>
      </c>
      <c r="EC103">
        <v>20.753992</v>
      </c>
      <c r="ED103">
        <v>2280.6486709999999</v>
      </c>
      <c r="EE103">
        <v>23.526605</v>
      </c>
      <c r="EF103">
        <v>34.962823</v>
      </c>
      <c r="EG103">
        <v>1.5638262000000001</v>
      </c>
      <c r="EH103">
        <v>0.66996990000000001</v>
      </c>
      <c r="EI103">
        <v>1.1250271999999999</v>
      </c>
      <c r="EJ103" t="s">
        <v>830</v>
      </c>
      <c r="EK103">
        <v>1.6617766</v>
      </c>
      <c r="EL103">
        <v>2.7904770000000001</v>
      </c>
      <c r="EM103">
        <v>1.28500017</v>
      </c>
      <c r="EN103">
        <v>2.3708907099999998</v>
      </c>
      <c r="EO103">
        <v>1.4111492999999999</v>
      </c>
      <c r="EP103">
        <v>265.95903900000002</v>
      </c>
      <c r="EQ103">
        <v>197.44665699999999</v>
      </c>
      <c r="ER103">
        <v>16.673587900000001</v>
      </c>
      <c r="ES103">
        <v>15.292260799999999</v>
      </c>
      <c r="ET103">
        <v>9.0035574</v>
      </c>
      <c r="EU103">
        <v>204.0639602</v>
      </c>
      <c r="EV103">
        <v>117.8373428</v>
      </c>
      <c r="EW103">
        <v>18.1332953</v>
      </c>
      <c r="EX103">
        <v>104.12979319999999</v>
      </c>
      <c r="EY103">
        <v>2.9881183999999998</v>
      </c>
      <c r="EZ103">
        <v>2348.9360594</v>
      </c>
      <c r="FA103">
        <v>8.5250229999999991</v>
      </c>
      <c r="FB103">
        <v>1.1059885</v>
      </c>
      <c r="FC103">
        <v>2.0917962000000001</v>
      </c>
      <c r="FD103">
        <v>2.8868100999999999</v>
      </c>
      <c r="FE103">
        <v>1.2733782</v>
      </c>
      <c r="FF103">
        <v>1.7218971000000001</v>
      </c>
      <c r="FG103">
        <v>0.84641893999999995</v>
      </c>
      <c r="FH103">
        <v>1.1601256200000001</v>
      </c>
      <c r="FI103">
        <v>0.98043239999999998</v>
      </c>
      <c r="FJ103" s="223">
        <v>114.91560953</v>
      </c>
    </row>
    <row r="104" spans="1:166" x14ac:dyDescent="0.3">
      <c r="DZ104"/>
    </row>
    <row r="105" spans="1:166" x14ac:dyDescent="0.3">
      <c r="DZ105"/>
    </row>
    <row r="106" spans="1:166" x14ac:dyDescent="0.3">
      <c r="DZ106"/>
    </row>
    <row r="107" spans="1:166" x14ac:dyDescent="0.3">
      <c r="DZ107"/>
    </row>
    <row r="108" spans="1:166" x14ac:dyDescent="0.3">
      <c r="DZ108"/>
    </row>
    <row r="109" spans="1:166" x14ac:dyDescent="0.3">
      <c r="DZ109"/>
    </row>
  </sheetData>
  <sortState ref="C2:FJ2">
    <sortCondition ref="ER1"/>
  </sortState>
  <conditionalFormatting sqref="B2:EK2 C1:FG1 ET1:FJ2">
    <cfRule type="notContainsBlanks" dxfId="151" priority="8">
      <formula>LEN(TRIM(B1))&gt;0</formula>
    </cfRule>
  </conditionalFormatting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8">
    <tabColor rgb="FFFFFF00"/>
    <pageSetUpPr fitToPage="1"/>
  </sheetPr>
  <dimension ref="A1:O100"/>
  <sheetViews>
    <sheetView showGridLines="0" topLeftCell="A7" workbookViewId="0">
      <selection activeCell="N27" sqref="N27"/>
    </sheetView>
  </sheetViews>
  <sheetFormatPr defaultRowHeight="15" x14ac:dyDescent="0.3"/>
  <cols>
    <col min="1" max="1" width="10.5703125" style="81" customWidth="1"/>
    <col min="2" max="2" width="11.140625" style="81" customWidth="1"/>
    <col min="3" max="3" width="8.140625" style="81" bestFit="1" customWidth="1"/>
    <col min="4" max="4" width="6.42578125" style="81" customWidth="1"/>
    <col min="5" max="5" width="8.85546875" style="81" customWidth="1"/>
    <col min="6" max="6" width="3.5703125" style="81" customWidth="1"/>
    <col min="7" max="7" width="17.42578125" style="81" customWidth="1"/>
    <col min="8" max="8" width="10.140625" style="81" customWidth="1"/>
    <col min="9" max="9" width="11.85546875" style="81" customWidth="1"/>
    <col min="10" max="10" width="5.42578125" style="81" customWidth="1"/>
    <col min="11" max="11" width="7.140625" style="81" customWidth="1"/>
    <col min="12" max="256" width="9.140625" style="81"/>
    <col min="257" max="257" width="17.140625" style="81" customWidth="1"/>
    <col min="258" max="258" width="9.28515625" style="81" customWidth="1"/>
    <col min="259" max="259" width="8.5703125" style="81" customWidth="1"/>
    <col min="260" max="260" width="6.42578125" style="81" customWidth="1"/>
    <col min="261" max="261" width="6.5703125" style="81" customWidth="1"/>
    <col min="262" max="262" width="3.5703125" style="81" customWidth="1"/>
    <col min="263" max="263" width="17.140625" style="81" customWidth="1"/>
    <col min="264" max="264" width="9.28515625" style="81" customWidth="1"/>
    <col min="265" max="267" width="7.140625" style="81" customWidth="1"/>
    <col min="268" max="512" width="9.140625" style="81"/>
    <col min="513" max="513" width="17.140625" style="81" customWidth="1"/>
    <col min="514" max="514" width="9.28515625" style="81" customWidth="1"/>
    <col min="515" max="515" width="8.5703125" style="81" customWidth="1"/>
    <col min="516" max="516" width="6.42578125" style="81" customWidth="1"/>
    <col min="517" max="517" width="6.5703125" style="81" customWidth="1"/>
    <col min="518" max="518" width="3.5703125" style="81" customWidth="1"/>
    <col min="519" max="519" width="17.140625" style="81" customWidth="1"/>
    <col min="520" max="520" width="9.28515625" style="81" customWidth="1"/>
    <col min="521" max="523" width="7.140625" style="81" customWidth="1"/>
    <col min="524" max="768" width="9.140625" style="81"/>
    <col min="769" max="769" width="17.140625" style="81" customWidth="1"/>
    <col min="770" max="770" width="9.28515625" style="81" customWidth="1"/>
    <col min="771" max="771" width="8.5703125" style="81" customWidth="1"/>
    <col min="772" max="772" width="6.42578125" style="81" customWidth="1"/>
    <col min="773" max="773" width="6.5703125" style="81" customWidth="1"/>
    <col min="774" max="774" width="3.5703125" style="81" customWidth="1"/>
    <col min="775" max="775" width="17.140625" style="81" customWidth="1"/>
    <col min="776" max="776" width="9.28515625" style="81" customWidth="1"/>
    <col min="777" max="779" width="7.140625" style="81" customWidth="1"/>
    <col min="780" max="1024" width="9.140625" style="81"/>
    <col min="1025" max="1025" width="17.140625" style="81" customWidth="1"/>
    <col min="1026" max="1026" width="9.28515625" style="81" customWidth="1"/>
    <col min="1027" max="1027" width="8.5703125" style="81" customWidth="1"/>
    <col min="1028" max="1028" width="6.42578125" style="81" customWidth="1"/>
    <col min="1029" max="1029" width="6.5703125" style="81" customWidth="1"/>
    <col min="1030" max="1030" width="3.5703125" style="81" customWidth="1"/>
    <col min="1031" max="1031" width="17.140625" style="81" customWidth="1"/>
    <col min="1032" max="1032" width="9.28515625" style="81" customWidth="1"/>
    <col min="1033" max="1035" width="7.140625" style="81" customWidth="1"/>
    <col min="1036" max="1280" width="9.140625" style="81"/>
    <col min="1281" max="1281" width="17.140625" style="81" customWidth="1"/>
    <col min="1282" max="1282" width="9.28515625" style="81" customWidth="1"/>
    <col min="1283" max="1283" width="8.5703125" style="81" customWidth="1"/>
    <col min="1284" max="1284" width="6.42578125" style="81" customWidth="1"/>
    <col min="1285" max="1285" width="6.5703125" style="81" customWidth="1"/>
    <col min="1286" max="1286" width="3.5703125" style="81" customWidth="1"/>
    <col min="1287" max="1287" width="17.140625" style="81" customWidth="1"/>
    <col min="1288" max="1288" width="9.28515625" style="81" customWidth="1"/>
    <col min="1289" max="1291" width="7.140625" style="81" customWidth="1"/>
    <col min="1292" max="1536" width="9.140625" style="81"/>
    <col min="1537" max="1537" width="17.140625" style="81" customWidth="1"/>
    <col min="1538" max="1538" width="9.28515625" style="81" customWidth="1"/>
    <col min="1539" max="1539" width="8.5703125" style="81" customWidth="1"/>
    <col min="1540" max="1540" width="6.42578125" style="81" customWidth="1"/>
    <col min="1541" max="1541" width="6.5703125" style="81" customWidth="1"/>
    <col min="1542" max="1542" width="3.5703125" style="81" customWidth="1"/>
    <col min="1543" max="1543" width="17.140625" style="81" customWidth="1"/>
    <col min="1544" max="1544" width="9.28515625" style="81" customWidth="1"/>
    <col min="1545" max="1547" width="7.140625" style="81" customWidth="1"/>
    <col min="1548" max="1792" width="9.140625" style="81"/>
    <col min="1793" max="1793" width="17.140625" style="81" customWidth="1"/>
    <col min="1794" max="1794" width="9.28515625" style="81" customWidth="1"/>
    <col min="1795" max="1795" width="8.5703125" style="81" customWidth="1"/>
    <col min="1796" max="1796" width="6.42578125" style="81" customWidth="1"/>
    <col min="1797" max="1797" width="6.5703125" style="81" customWidth="1"/>
    <col min="1798" max="1798" width="3.5703125" style="81" customWidth="1"/>
    <col min="1799" max="1799" width="17.140625" style="81" customWidth="1"/>
    <col min="1800" max="1800" width="9.28515625" style="81" customWidth="1"/>
    <col min="1801" max="1803" width="7.140625" style="81" customWidth="1"/>
    <col min="1804" max="2048" width="9.140625" style="81"/>
    <col min="2049" max="2049" width="17.140625" style="81" customWidth="1"/>
    <col min="2050" max="2050" width="9.28515625" style="81" customWidth="1"/>
    <col min="2051" max="2051" width="8.5703125" style="81" customWidth="1"/>
    <col min="2052" max="2052" width="6.42578125" style="81" customWidth="1"/>
    <col min="2053" max="2053" width="6.5703125" style="81" customWidth="1"/>
    <col min="2054" max="2054" width="3.5703125" style="81" customWidth="1"/>
    <col min="2055" max="2055" width="17.140625" style="81" customWidth="1"/>
    <col min="2056" max="2056" width="9.28515625" style="81" customWidth="1"/>
    <col min="2057" max="2059" width="7.140625" style="81" customWidth="1"/>
    <col min="2060" max="2304" width="9.140625" style="81"/>
    <col min="2305" max="2305" width="17.140625" style="81" customWidth="1"/>
    <col min="2306" max="2306" width="9.28515625" style="81" customWidth="1"/>
    <col min="2307" max="2307" width="8.5703125" style="81" customWidth="1"/>
    <col min="2308" max="2308" width="6.42578125" style="81" customWidth="1"/>
    <col min="2309" max="2309" width="6.5703125" style="81" customWidth="1"/>
    <col min="2310" max="2310" width="3.5703125" style="81" customWidth="1"/>
    <col min="2311" max="2311" width="17.140625" style="81" customWidth="1"/>
    <col min="2312" max="2312" width="9.28515625" style="81" customWidth="1"/>
    <col min="2313" max="2315" width="7.140625" style="81" customWidth="1"/>
    <col min="2316" max="2560" width="9.140625" style="81"/>
    <col min="2561" max="2561" width="17.140625" style="81" customWidth="1"/>
    <col min="2562" max="2562" width="9.28515625" style="81" customWidth="1"/>
    <col min="2563" max="2563" width="8.5703125" style="81" customWidth="1"/>
    <col min="2564" max="2564" width="6.42578125" style="81" customWidth="1"/>
    <col min="2565" max="2565" width="6.5703125" style="81" customWidth="1"/>
    <col min="2566" max="2566" width="3.5703125" style="81" customWidth="1"/>
    <col min="2567" max="2567" width="17.140625" style="81" customWidth="1"/>
    <col min="2568" max="2568" width="9.28515625" style="81" customWidth="1"/>
    <col min="2569" max="2571" width="7.140625" style="81" customWidth="1"/>
    <col min="2572" max="2816" width="9.140625" style="81"/>
    <col min="2817" max="2817" width="17.140625" style="81" customWidth="1"/>
    <col min="2818" max="2818" width="9.28515625" style="81" customWidth="1"/>
    <col min="2819" max="2819" width="8.5703125" style="81" customWidth="1"/>
    <col min="2820" max="2820" width="6.42578125" style="81" customWidth="1"/>
    <col min="2821" max="2821" width="6.5703125" style="81" customWidth="1"/>
    <col min="2822" max="2822" width="3.5703125" style="81" customWidth="1"/>
    <col min="2823" max="2823" width="17.140625" style="81" customWidth="1"/>
    <col min="2824" max="2824" width="9.28515625" style="81" customWidth="1"/>
    <col min="2825" max="2827" width="7.140625" style="81" customWidth="1"/>
    <col min="2828" max="3072" width="9.140625" style="81"/>
    <col min="3073" max="3073" width="17.140625" style="81" customWidth="1"/>
    <col min="3074" max="3074" width="9.28515625" style="81" customWidth="1"/>
    <col min="3075" max="3075" width="8.5703125" style="81" customWidth="1"/>
    <col min="3076" max="3076" width="6.42578125" style="81" customWidth="1"/>
    <col min="3077" max="3077" width="6.5703125" style="81" customWidth="1"/>
    <col min="3078" max="3078" width="3.5703125" style="81" customWidth="1"/>
    <col min="3079" max="3079" width="17.140625" style="81" customWidth="1"/>
    <col min="3080" max="3080" width="9.28515625" style="81" customWidth="1"/>
    <col min="3081" max="3083" width="7.140625" style="81" customWidth="1"/>
    <col min="3084" max="3328" width="9.140625" style="81"/>
    <col min="3329" max="3329" width="17.140625" style="81" customWidth="1"/>
    <col min="3330" max="3330" width="9.28515625" style="81" customWidth="1"/>
    <col min="3331" max="3331" width="8.5703125" style="81" customWidth="1"/>
    <col min="3332" max="3332" width="6.42578125" style="81" customWidth="1"/>
    <col min="3333" max="3333" width="6.5703125" style="81" customWidth="1"/>
    <col min="3334" max="3334" width="3.5703125" style="81" customWidth="1"/>
    <col min="3335" max="3335" width="17.140625" style="81" customWidth="1"/>
    <col min="3336" max="3336" width="9.28515625" style="81" customWidth="1"/>
    <col min="3337" max="3339" width="7.140625" style="81" customWidth="1"/>
    <col min="3340" max="3584" width="9.140625" style="81"/>
    <col min="3585" max="3585" width="17.140625" style="81" customWidth="1"/>
    <col min="3586" max="3586" width="9.28515625" style="81" customWidth="1"/>
    <col min="3587" max="3587" width="8.5703125" style="81" customWidth="1"/>
    <col min="3588" max="3588" width="6.42578125" style="81" customWidth="1"/>
    <col min="3589" max="3589" width="6.5703125" style="81" customWidth="1"/>
    <col min="3590" max="3590" width="3.5703125" style="81" customWidth="1"/>
    <col min="3591" max="3591" width="17.140625" style="81" customWidth="1"/>
    <col min="3592" max="3592" width="9.28515625" style="81" customWidth="1"/>
    <col min="3593" max="3595" width="7.140625" style="81" customWidth="1"/>
    <col min="3596" max="3840" width="9.140625" style="81"/>
    <col min="3841" max="3841" width="17.140625" style="81" customWidth="1"/>
    <col min="3842" max="3842" width="9.28515625" style="81" customWidth="1"/>
    <col min="3843" max="3843" width="8.5703125" style="81" customWidth="1"/>
    <col min="3844" max="3844" width="6.42578125" style="81" customWidth="1"/>
    <col min="3845" max="3845" width="6.5703125" style="81" customWidth="1"/>
    <col min="3846" max="3846" width="3.5703125" style="81" customWidth="1"/>
    <col min="3847" max="3847" width="17.140625" style="81" customWidth="1"/>
    <col min="3848" max="3848" width="9.28515625" style="81" customWidth="1"/>
    <col min="3849" max="3851" width="7.140625" style="81" customWidth="1"/>
    <col min="3852" max="4096" width="9.140625" style="81"/>
    <col min="4097" max="4097" width="17.140625" style="81" customWidth="1"/>
    <col min="4098" max="4098" width="9.28515625" style="81" customWidth="1"/>
    <col min="4099" max="4099" width="8.5703125" style="81" customWidth="1"/>
    <col min="4100" max="4100" width="6.42578125" style="81" customWidth="1"/>
    <col min="4101" max="4101" width="6.5703125" style="81" customWidth="1"/>
    <col min="4102" max="4102" width="3.5703125" style="81" customWidth="1"/>
    <col min="4103" max="4103" width="17.140625" style="81" customWidth="1"/>
    <col min="4104" max="4104" width="9.28515625" style="81" customWidth="1"/>
    <col min="4105" max="4107" width="7.140625" style="81" customWidth="1"/>
    <col min="4108" max="4352" width="9.140625" style="81"/>
    <col min="4353" max="4353" width="17.140625" style="81" customWidth="1"/>
    <col min="4354" max="4354" width="9.28515625" style="81" customWidth="1"/>
    <col min="4355" max="4355" width="8.5703125" style="81" customWidth="1"/>
    <col min="4356" max="4356" width="6.42578125" style="81" customWidth="1"/>
    <col min="4357" max="4357" width="6.5703125" style="81" customWidth="1"/>
    <col min="4358" max="4358" width="3.5703125" style="81" customWidth="1"/>
    <col min="4359" max="4359" width="17.140625" style="81" customWidth="1"/>
    <col min="4360" max="4360" width="9.28515625" style="81" customWidth="1"/>
    <col min="4361" max="4363" width="7.140625" style="81" customWidth="1"/>
    <col min="4364" max="4608" width="9.140625" style="81"/>
    <col min="4609" max="4609" width="17.140625" style="81" customWidth="1"/>
    <col min="4610" max="4610" width="9.28515625" style="81" customWidth="1"/>
    <col min="4611" max="4611" width="8.5703125" style="81" customWidth="1"/>
    <col min="4612" max="4612" width="6.42578125" style="81" customWidth="1"/>
    <col min="4613" max="4613" width="6.5703125" style="81" customWidth="1"/>
    <col min="4614" max="4614" width="3.5703125" style="81" customWidth="1"/>
    <col min="4615" max="4615" width="17.140625" style="81" customWidth="1"/>
    <col min="4616" max="4616" width="9.28515625" style="81" customWidth="1"/>
    <col min="4617" max="4619" width="7.140625" style="81" customWidth="1"/>
    <col min="4620" max="4864" width="9.140625" style="81"/>
    <col min="4865" max="4865" width="17.140625" style="81" customWidth="1"/>
    <col min="4866" max="4866" width="9.28515625" style="81" customWidth="1"/>
    <col min="4867" max="4867" width="8.5703125" style="81" customWidth="1"/>
    <col min="4868" max="4868" width="6.42578125" style="81" customWidth="1"/>
    <col min="4869" max="4869" width="6.5703125" style="81" customWidth="1"/>
    <col min="4870" max="4870" width="3.5703125" style="81" customWidth="1"/>
    <col min="4871" max="4871" width="17.140625" style="81" customWidth="1"/>
    <col min="4872" max="4872" width="9.28515625" style="81" customWidth="1"/>
    <col min="4873" max="4875" width="7.140625" style="81" customWidth="1"/>
    <col min="4876" max="5120" width="9.140625" style="81"/>
    <col min="5121" max="5121" width="17.140625" style="81" customWidth="1"/>
    <col min="5122" max="5122" width="9.28515625" style="81" customWidth="1"/>
    <col min="5123" max="5123" width="8.5703125" style="81" customWidth="1"/>
    <col min="5124" max="5124" width="6.42578125" style="81" customWidth="1"/>
    <col min="5125" max="5125" width="6.5703125" style="81" customWidth="1"/>
    <col min="5126" max="5126" width="3.5703125" style="81" customWidth="1"/>
    <col min="5127" max="5127" width="17.140625" style="81" customWidth="1"/>
    <col min="5128" max="5128" width="9.28515625" style="81" customWidth="1"/>
    <col min="5129" max="5131" width="7.140625" style="81" customWidth="1"/>
    <col min="5132" max="5376" width="9.140625" style="81"/>
    <col min="5377" max="5377" width="17.140625" style="81" customWidth="1"/>
    <col min="5378" max="5378" width="9.28515625" style="81" customWidth="1"/>
    <col min="5379" max="5379" width="8.5703125" style="81" customWidth="1"/>
    <col min="5380" max="5380" width="6.42578125" style="81" customWidth="1"/>
    <col min="5381" max="5381" width="6.5703125" style="81" customWidth="1"/>
    <col min="5382" max="5382" width="3.5703125" style="81" customWidth="1"/>
    <col min="5383" max="5383" width="17.140625" style="81" customWidth="1"/>
    <col min="5384" max="5384" width="9.28515625" style="81" customWidth="1"/>
    <col min="5385" max="5387" width="7.140625" style="81" customWidth="1"/>
    <col min="5388" max="5632" width="9.140625" style="81"/>
    <col min="5633" max="5633" width="17.140625" style="81" customWidth="1"/>
    <col min="5634" max="5634" width="9.28515625" style="81" customWidth="1"/>
    <col min="5635" max="5635" width="8.5703125" style="81" customWidth="1"/>
    <col min="5636" max="5636" width="6.42578125" style="81" customWidth="1"/>
    <col min="5637" max="5637" width="6.5703125" style="81" customWidth="1"/>
    <col min="5638" max="5638" width="3.5703125" style="81" customWidth="1"/>
    <col min="5639" max="5639" width="17.140625" style="81" customWidth="1"/>
    <col min="5640" max="5640" width="9.28515625" style="81" customWidth="1"/>
    <col min="5641" max="5643" width="7.140625" style="81" customWidth="1"/>
    <col min="5644" max="5888" width="9.140625" style="81"/>
    <col min="5889" max="5889" width="17.140625" style="81" customWidth="1"/>
    <col min="5890" max="5890" width="9.28515625" style="81" customWidth="1"/>
    <col min="5891" max="5891" width="8.5703125" style="81" customWidth="1"/>
    <col min="5892" max="5892" width="6.42578125" style="81" customWidth="1"/>
    <col min="5893" max="5893" width="6.5703125" style="81" customWidth="1"/>
    <col min="5894" max="5894" width="3.5703125" style="81" customWidth="1"/>
    <col min="5895" max="5895" width="17.140625" style="81" customWidth="1"/>
    <col min="5896" max="5896" width="9.28515625" style="81" customWidth="1"/>
    <col min="5897" max="5899" width="7.140625" style="81" customWidth="1"/>
    <col min="5900" max="6144" width="9.140625" style="81"/>
    <col min="6145" max="6145" width="17.140625" style="81" customWidth="1"/>
    <col min="6146" max="6146" width="9.28515625" style="81" customWidth="1"/>
    <col min="6147" max="6147" width="8.5703125" style="81" customWidth="1"/>
    <col min="6148" max="6148" width="6.42578125" style="81" customWidth="1"/>
    <col min="6149" max="6149" width="6.5703125" style="81" customWidth="1"/>
    <col min="6150" max="6150" width="3.5703125" style="81" customWidth="1"/>
    <col min="6151" max="6151" width="17.140625" style="81" customWidth="1"/>
    <col min="6152" max="6152" width="9.28515625" style="81" customWidth="1"/>
    <col min="6153" max="6155" width="7.140625" style="81" customWidth="1"/>
    <col min="6156" max="6400" width="9.140625" style="81"/>
    <col min="6401" max="6401" width="17.140625" style="81" customWidth="1"/>
    <col min="6402" max="6402" width="9.28515625" style="81" customWidth="1"/>
    <col min="6403" max="6403" width="8.5703125" style="81" customWidth="1"/>
    <col min="6404" max="6404" width="6.42578125" style="81" customWidth="1"/>
    <col min="6405" max="6405" width="6.5703125" style="81" customWidth="1"/>
    <col min="6406" max="6406" width="3.5703125" style="81" customWidth="1"/>
    <col min="6407" max="6407" width="17.140625" style="81" customWidth="1"/>
    <col min="6408" max="6408" width="9.28515625" style="81" customWidth="1"/>
    <col min="6409" max="6411" width="7.140625" style="81" customWidth="1"/>
    <col min="6412" max="6656" width="9.140625" style="81"/>
    <col min="6657" max="6657" width="17.140625" style="81" customWidth="1"/>
    <col min="6658" max="6658" width="9.28515625" style="81" customWidth="1"/>
    <col min="6659" max="6659" width="8.5703125" style="81" customWidth="1"/>
    <col min="6660" max="6660" width="6.42578125" style="81" customWidth="1"/>
    <col min="6661" max="6661" width="6.5703125" style="81" customWidth="1"/>
    <col min="6662" max="6662" width="3.5703125" style="81" customWidth="1"/>
    <col min="6663" max="6663" width="17.140625" style="81" customWidth="1"/>
    <col min="6664" max="6664" width="9.28515625" style="81" customWidth="1"/>
    <col min="6665" max="6667" width="7.140625" style="81" customWidth="1"/>
    <col min="6668" max="6912" width="9.140625" style="81"/>
    <col min="6913" max="6913" width="17.140625" style="81" customWidth="1"/>
    <col min="6914" max="6914" width="9.28515625" style="81" customWidth="1"/>
    <col min="6915" max="6915" width="8.5703125" style="81" customWidth="1"/>
    <col min="6916" max="6916" width="6.42578125" style="81" customWidth="1"/>
    <col min="6917" max="6917" width="6.5703125" style="81" customWidth="1"/>
    <col min="6918" max="6918" width="3.5703125" style="81" customWidth="1"/>
    <col min="6919" max="6919" width="17.140625" style="81" customWidth="1"/>
    <col min="6920" max="6920" width="9.28515625" style="81" customWidth="1"/>
    <col min="6921" max="6923" width="7.140625" style="81" customWidth="1"/>
    <col min="6924" max="7168" width="9.140625" style="81"/>
    <col min="7169" max="7169" width="17.140625" style="81" customWidth="1"/>
    <col min="7170" max="7170" width="9.28515625" style="81" customWidth="1"/>
    <col min="7171" max="7171" width="8.5703125" style="81" customWidth="1"/>
    <col min="7172" max="7172" width="6.42578125" style="81" customWidth="1"/>
    <col min="7173" max="7173" width="6.5703125" style="81" customWidth="1"/>
    <col min="7174" max="7174" width="3.5703125" style="81" customWidth="1"/>
    <col min="7175" max="7175" width="17.140625" style="81" customWidth="1"/>
    <col min="7176" max="7176" width="9.28515625" style="81" customWidth="1"/>
    <col min="7177" max="7179" width="7.140625" style="81" customWidth="1"/>
    <col min="7180" max="7424" width="9.140625" style="81"/>
    <col min="7425" max="7425" width="17.140625" style="81" customWidth="1"/>
    <col min="7426" max="7426" width="9.28515625" style="81" customWidth="1"/>
    <col min="7427" max="7427" width="8.5703125" style="81" customWidth="1"/>
    <col min="7428" max="7428" width="6.42578125" style="81" customWidth="1"/>
    <col min="7429" max="7429" width="6.5703125" style="81" customWidth="1"/>
    <col min="7430" max="7430" width="3.5703125" style="81" customWidth="1"/>
    <col min="7431" max="7431" width="17.140625" style="81" customWidth="1"/>
    <col min="7432" max="7432" width="9.28515625" style="81" customWidth="1"/>
    <col min="7433" max="7435" width="7.140625" style="81" customWidth="1"/>
    <col min="7436" max="7680" width="9.140625" style="81"/>
    <col min="7681" max="7681" width="17.140625" style="81" customWidth="1"/>
    <col min="7682" max="7682" width="9.28515625" style="81" customWidth="1"/>
    <col min="7683" max="7683" width="8.5703125" style="81" customWidth="1"/>
    <col min="7684" max="7684" width="6.42578125" style="81" customWidth="1"/>
    <col min="7685" max="7685" width="6.5703125" style="81" customWidth="1"/>
    <col min="7686" max="7686" width="3.5703125" style="81" customWidth="1"/>
    <col min="7687" max="7687" width="17.140625" style="81" customWidth="1"/>
    <col min="7688" max="7688" width="9.28515625" style="81" customWidth="1"/>
    <col min="7689" max="7691" width="7.140625" style="81" customWidth="1"/>
    <col min="7692" max="7936" width="9.140625" style="81"/>
    <col min="7937" max="7937" width="17.140625" style="81" customWidth="1"/>
    <col min="7938" max="7938" width="9.28515625" style="81" customWidth="1"/>
    <col min="7939" max="7939" width="8.5703125" style="81" customWidth="1"/>
    <col min="7940" max="7940" width="6.42578125" style="81" customWidth="1"/>
    <col min="7941" max="7941" width="6.5703125" style="81" customWidth="1"/>
    <col min="7942" max="7942" width="3.5703125" style="81" customWidth="1"/>
    <col min="7943" max="7943" width="17.140625" style="81" customWidth="1"/>
    <col min="7944" max="7944" width="9.28515625" style="81" customWidth="1"/>
    <col min="7945" max="7947" width="7.140625" style="81" customWidth="1"/>
    <col min="7948" max="8192" width="9.140625" style="81"/>
    <col min="8193" max="8193" width="17.140625" style="81" customWidth="1"/>
    <col min="8194" max="8194" width="9.28515625" style="81" customWidth="1"/>
    <col min="8195" max="8195" width="8.5703125" style="81" customWidth="1"/>
    <col min="8196" max="8196" width="6.42578125" style="81" customWidth="1"/>
    <col min="8197" max="8197" width="6.5703125" style="81" customWidth="1"/>
    <col min="8198" max="8198" width="3.5703125" style="81" customWidth="1"/>
    <col min="8199" max="8199" width="17.140625" style="81" customWidth="1"/>
    <col min="8200" max="8200" width="9.28515625" style="81" customWidth="1"/>
    <col min="8201" max="8203" width="7.140625" style="81" customWidth="1"/>
    <col min="8204" max="8448" width="9.140625" style="81"/>
    <col min="8449" max="8449" width="17.140625" style="81" customWidth="1"/>
    <col min="8450" max="8450" width="9.28515625" style="81" customWidth="1"/>
    <col min="8451" max="8451" width="8.5703125" style="81" customWidth="1"/>
    <col min="8452" max="8452" width="6.42578125" style="81" customWidth="1"/>
    <col min="8453" max="8453" width="6.5703125" style="81" customWidth="1"/>
    <col min="8454" max="8454" width="3.5703125" style="81" customWidth="1"/>
    <col min="8455" max="8455" width="17.140625" style="81" customWidth="1"/>
    <col min="8456" max="8456" width="9.28515625" style="81" customWidth="1"/>
    <col min="8457" max="8459" width="7.140625" style="81" customWidth="1"/>
    <col min="8460" max="8704" width="9.140625" style="81"/>
    <col min="8705" max="8705" width="17.140625" style="81" customWidth="1"/>
    <col min="8706" max="8706" width="9.28515625" style="81" customWidth="1"/>
    <col min="8707" max="8707" width="8.5703125" style="81" customWidth="1"/>
    <col min="8708" max="8708" width="6.42578125" style="81" customWidth="1"/>
    <col min="8709" max="8709" width="6.5703125" style="81" customWidth="1"/>
    <col min="8710" max="8710" width="3.5703125" style="81" customWidth="1"/>
    <col min="8711" max="8711" width="17.140625" style="81" customWidth="1"/>
    <col min="8712" max="8712" width="9.28515625" style="81" customWidth="1"/>
    <col min="8713" max="8715" width="7.140625" style="81" customWidth="1"/>
    <col min="8716" max="8960" width="9.140625" style="81"/>
    <col min="8961" max="8961" width="17.140625" style="81" customWidth="1"/>
    <col min="8962" max="8962" width="9.28515625" style="81" customWidth="1"/>
    <col min="8963" max="8963" width="8.5703125" style="81" customWidth="1"/>
    <col min="8964" max="8964" width="6.42578125" style="81" customWidth="1"/>
    <col min="8965" max="8965" width="6.5703125" style="81" customWidth="1"/>
    <col min="8966" max="8966" width="3.5703125" style="81" customWidth="1"/>
    <col min="8967" max="8967" width="17.140625" style="81" customWidth="1"/>
    <col min="8968" max="8968" width="9.28515625" style="81" customWidth="1"/>
    <col min="8969" max="8971" width="7.140625" style="81" customWidth="1"/>
    <col min="8972" max="9216" width="9.140625" style="81"/>
    <col min="9217" max="9217" width="17.140625" style="81" customWidth="1"/>
    <col min="9218" max="9218" width="9.28515625" style="81" customWidth="1"/>
    <col min="9219" max="9219" width="8.5703125" style="81" customWidth="1"/>
    <col min="9220" max="9220" width="6.42578125" style="81" customWidth="1"/>
    <col min="9221" max="9221" width="6.5703125" style="81" customWidth="1"/>
    <col min="9222" max="9222" width="3.5703125" style="81" customWidth="1"/>
    <col min="9223" max="9223" width="17.140625" style="81" customWidth="1"/>
    <col min="9224" max="9224" width="9.28515625" style="81" customWidth="1"/>
    <col min="9225" max="9227" width="7.140625" style="81" customWidth="1"/>
    <col min="9228" max="9472" width="9.140625" style="81"/>
    <col min="9473" max="9473" width="17.140625" style="81" customWidth="1"/>
    <col min="9474" max="9474" width="9.28515625" style="81" customWidth="1"/>
    <col min="9475" max="9475" width="8.5703125" style="81" customWidth="1"/>
    <col min="9476" max="9476" width="6.42578125" style="81" customWidth="1"/>
    <col min="9477" max="9477" width="6.5703125" style="81" customWidth="1"/>
    <col min="9478" max="9478" width="3.5703125" style="81" customWidth="1"/>
    <col min="9479" max="9479" width="17.140625" style="81" customWidth="1"/>
    <col min="9480" max="9480" width="9.28515625" style="81" customWidth="1"/>
    <col min="9481" max="9483" width="7.140625" style="81" customWidth="1"/>
    <col min="9484" max="9728" width="9.140625" style="81"/>
    <col min="9729" max="9729" width="17.140625" style="81" customWidth="1"/>
    <col min="9730" max="9730" width="9.28515625" style="81" customWidth="1"/>
    <col min="9731" max="9731" width="8.5703125" style="81" customWidth="1"/>
    <col min="9732" max="9732" width="6.42578125" style="81" customWidth="1"/>
    <col min="9733" max="9733" width="6.5703125" style="81" customWidth="1"/>
    <col min="9734" max="9734" width="3.5703125" style="81" customWidth="1"/>
    <col min="9735" max="9735" width="17.140625" style="81" customWidth="1"/>
    <col min="9736" max="9736" width="9.28515625" style="81" customWidth="1"/>
    <col min="9737" max="9739" width="7.140625" style="81" customWidth="1"/>
    <col min="9740" max="9984" width="9.140625" style="81"/>
    <col min="9985" max="9985" width="17.140625" style="81" customWidth="1"/>
    <col min="9986" max="9986" width="9.28515625" style="81" customWidth="1"/>
    <col min="9987" max="9987" width="8.5703125" style="81" customWidth="1"/>
    <col min="9988" max="9988" width="6.42578125" style="81" customWidth="1"/>
    <col min="9989" max="9989" width="6.5703125" style="81" customWidth="1"/>
    <col min="9990" max="9990" width="3.5703125" style="81" customWidth="1"/>
    <col min="9991" max="9991" width="17.140625" style="81" customWidth="1"/>
    <col min="9992" max="9992" width="9.28515625" style="81" customWidth="1"/>
    <col min="9993" max="9995" width="7.140625" style="81" customWidth="1"/>
    <col min="9996" max="10240" width="9.140625" style="81"/>
    <col min="10241" max="10241" width="17.140625" style="81" customWidth="1"/>
    <col min="10242" max="10242" width="9.28515625" style="81" customWidth="1"/>
    <col min="10243" max="10243" width="8.5703125" style="81" customWidth="1"/>
    <col min="10244" max="10244" width="6.42578125" style="81" customWidth="1"/>
    <col min="10245" max="10245" width="6.5703125" style="81" customWidth="1"/>
    <col min="10246" max="10246" width="3.5703125" style="81" customWidth="1"/>
    <col min="10247" max="10247" width="17.140625" style="81" customWidth="1"/>
    <col min="10248" max="10248" width="9.28515625" style="81" customWidth="1"/>
    <col min="10249" max="10251" width="7.140625" style="81" customWidth="1"/>
    <col min="10252" max="10496" width="9.140625" style="81"/>
    <col min="10497" max="10497" width="17.140625" style="81" customWidth="1"/>
    <col min="10498" max="10498" width="9.28515625" style="81" customWidth="1"/>
    <col min="10499" max="10499" width="8.5703125" style="81" customWidth="1"/>
    <col min="10500" max="10500" width="6.42578125" style="81" customWidth="1"/>
    <col min="10501" max="10501" width="6.5703125" style="81" customWidth="1"/>
    <col min="10502" max="10502" width="3.5703125" style="81" customWidth="1"/>
    <col min="10503" max="10503" width="17.140625" style="81" customWidth="1"/>
    <col min="10504" max="10504" width="9.28515625" style="81" customWidth="1"/>
    <col min="10505" max="10507" width="7.140625" style="81" customWidth="1"/>
    <col min="10508" max="10752" width="9.140625" style="81"/>
    <col min="10753" max="10753" width="17.140625" style="81" customWidth="1"/>
    <col min="10754" max="10754" width="9.28515625" style="81" customWidth="1"/>
    <col min="10755" max="10755" width="8.5703125" style="81" customWidth="1"/>
    <col min="10756" max="10756" width="6.42578125" style="81" customWidth="1"/>
    <col min="10757" max="10757" width="6.5703125" style="81" customWidth="1"/>
    <col min="10758" max="10758" width="3.5703125" style="81" customWidth="1"/>
    <col min="10759" max="10759" width="17.140625" style="81" customWidth="1"/>
    <col min="10760" max="10760" width="9.28515625" style="81" customWidth="1"/>
    <col min="10761" max="10763" width="7.140625" style="81" customWidth="1"/>
    <col min="10764" max="11008" width="9.140625" style="81"/>
    <col min="11009" max="11009" width="17.140625" style="81" customWidth="1"/>
    <col min="11010" max="11010" width="9.28515625" style="81" customWidth="1"/>
    <col min="11011" max="11011" width="8.5703125" style="81" customWidth="1"/>
    <col min="11012" max="11012" width="6.42578125" style="81" customWidth="1"/>
    <col min="11013" max="11013" width="6.5703125" style="81" customWidth="1"/>
    <col min="11014" max="11014" width="3.5703125" style="81" customWidth="1"/>
    <col min="11015" max="11015" width="17.140625" style="81" customWidth="1"/>
    <col min="11016" max="11016" width="9.28515625" style="81" customWidth="1"/>
    <col min="11017" max="11019" width="7.140625" style="81" customWidth="1"/>
    <col min="11020" max="11264" width="9.140625" style="81"/>
    <col min="11265" max="11265" width="17.140625" style="81" customWidth="1"/>
    <col min="11266" max="11266" width="9.28515625" style="81" customWidth="1"/>
    <col min="11267" max="11267" width="8.5703125" style="81" customWidth="1"/>
    <col min="11268" max="11268" width="6.42578125" style="81" customWidth="1"/>
    <col min="11269" max="11269" width="6.5703125" style="81" customWidth="1"/>
    <col min="11270" max="11270" width="3.5703125" style="81" customWidth="1"/>
    <col min="11271" max="11271" width="17.140625" style="81" customWidth="1"/>
    <col min="11272" max="11272" width="9.28515625" style="81" customWidth="1"/>
    <col min="11273" max="11275" width="7.140625" style="81" customWidth="1"/>
    <col min="11276" max="11520" width="9.140625" style="81"/>
    <col min="11521" max="11521" width="17.140625" style="81" customWidth="1"/>
    <col min="11522" max="11522" width="9.28515625" style="81" customWidth="1"/>
    <col min="11523" max="11523" width="8.5703125" style="81" customWidth="1"/>
    <col min="11524" max="11524" width="6.42578125" style="81" customWidth="1"/>
    <col min="11525" max="11525" width="6.5703125" style="81" customWidth="1"/>
    <col min="11526" max="11526" width="3.5703125" style="81" customWidth="1"/>
    <col min="11527" max="11527" width="17.140625" style="81" customWidth="1"/>
    <col min="11528" max="11528" width="9.28515625" style="81" customWidth="1"/>
    <col min="11529" max="11531" width="7.140625" style="81" customWidth="1"/>
    <col min="11532" max="11776" width="9.140625" style="81"/>
    <col min="11777" max="11777" width="17.140625" style="81" customWidth="1"/>
    <col min="11778" max="11778" width="9.28515625" style="81" customWidth="1"/>
    <col min="11779" max="11779" width="8.5703125" style="81" customWidth="1"/>
    <col min="11780" max="11780" width="6.42578125" style="81" customWidth="1"/>
    <col min="11781" max="11781" width="6.5703125" style="81" customWidth="1"/>
    <col min="11782" max="11782" width="3.5703125" style="81" customWidth="1"/>
    <col min="11783" max="11783" width="17.140625" style="81" customWidth="1"/>
    <col min="11784" max="11784" width="9.28515625" style="81" customWidth="1"/>
    <col min="11785" max="11787" width="7.140625" style="81" customWidth="1"/>
    <col min="11788" max="12032" width="9.140625" style="81"/>
    <col min="12033" max="12033" width="17.140625" style="81" customWidth="1"/>
    <col min="12034" max="12034" width="9.28515625" style="81" customWidth="1"/>
    <col min="12035" max="12035" width="8.5703125" style="81" customWidth="1"/>
    <col min="12036" max="12036" width="6.42578125" style="81" customWidth="1"/>
    <col min="12037" max="12037" width="6.5703125" style="81" customWidth="1"/>
    <col min="12038" max="12038" width="3.5703125" style="81" customWidth="1"/>
    <col min="12039" max="12039" width="17.140625" style="81" customWidth="1"/>
    <col min="12040" max="12040" width="9.28515625" style="81" customWidth="1"/>
    <col min="12041" max="12043" width="7.140625" style="81" customWidth="1"/>
    <col min="12044" max="12288" width="9.140625" style="81"/>
    <col min="12289" max="12289" width="17.140625" style="81" customWidth="1"/>
    <col min="12290" max="12290" width="9.28515625" style="81" customWidth="1"/>
    <col min="12291" max="12291" width="8.5703125" style="81" customWidth="1"/>
    <col min="12292" max="12292" width="6.42578125" style="81" customWidth="1"/>
    <col min="12293" max="12293" width="6.5703125" style="81" customWidth="1"/>
    <col min="12294" max="12294" width="3.5703125" style="81" customWidth="1"/>
    <col min="12295" max="12295" width="17.140625" style="81" customWidth="1"/>
    <col min="12296" max="12296" width="9.28515625" style="81" customWidth="1"/>
    <col min="12297" max="12299" width="7.140625" style="81" customWidth="1"/>
    <col min="12300" max="12544" width="9.140625" style="81"/>
    <col min="12545" max="12545" width="17.140625" style="81" customWidth="1"/>
    <col min="12546" max="12546" width="9.28515625" style="81" customWidth="1"/>
    <col min="12547" max="12547" width="8.5703125" style="81" customWidth="1"/>
    <col min="12548" max="12548" width="6.42578125" style="81" customWidth="1"/>
    <col min="12549" max="12549" width="6.5703125" style="81" customWidth="1"/>
    <col min="12550" max="12550" width="3.5703125" style="81" customWidth="1"/>
    <col min="12551" max="12551" width="17.140625" style="81" customWidth="1"/>
    <col min="12552" max="12552" width="9.28515625" style="81" customWidth="1"/>
    <col min="12553" max="12555" width="7.140625" style="81" customWidth="1"/>
    <col min="12556" max="12800" width="9.140625" style="81"/>
    <col min="12801" max="12801" width="17.140625" style="81" customWidth="1"/>
    <col min="12802" max="12802" width="9.28515625" style="81" customWidth="1"/>
    <col min="12803" max="12803" width="8.5703125" style="81" customWidth="1"/>
    <col min="12804" max="12804" width="6.42578125" style="81" customWidth="1"/>
    <col min="12805" max="12805" width="6.5703125" style="81" customWidth="1"/>
    <col min="12806" max="12806" width="3.5703125" style="81" customWidth="1"/>
    <col min="12807" max="12807" width="17.140625" style="81" customWidth="1"/>
    <col min="12808" max="12808" width="9.28515625" style="81" customWidth="1"/>
    <col min="12809" max="12811" width="7.140625" style="81" customWidth="1"/>
    <col min="12812" max="13056" width="9.140625" style="81"/>
    <col min="13057" max="13057" width="17.140625" style="81" customWidth="1"/>
    <col min="13058" max="13058" width="9.28515625" style="81" customWidth="1"/>
    <col min="13059" max="13059" width="8.5703125" style="81" customWidth="1"/>
    <col min="13060" max="13060" width="6.42578125" style="81" customWidth="1"/>
    <col min="13061" max="13061" width="6.5703125" style="81" customWidth="1"/>
    <col min="13062" max="13062" width="3.5703125" style="81" customWidth="1"/>
    <col min="13063" max="13063" width="17.140625" style="81" customWidth="1"/>
    <col min="13064" max="13064" width="9.28515625" style="81" customWidth="1"/>
    <col min="13065" max="13067" width="7.140625" style="81" customWidth="1"/>
    <col min="13068" max="13312" width="9.140625" style="81"/>
    <col min="13313" max="13313" width="17.140625" style="81" customWidth="1"/>
    <col min="13314" max="13314" width="9.28515625" style="81" customWidth="1"/>
    <col min="13315" max="13315" width="8.5703125" style="81" customWidth="1"/>
    <col min="13316" max="13316" width="6.42578125" style="81" customWidth="1"/>
    <col min="13317" max="13317" width="6.5703125" style="81" customWidth="1"/>
    <col min="13318" max="13318" width="3.5703125" style="81" customWidth="1"/>
    <col min="13319" max="13319" width="17.140625" style="81" customWidth="1"/>
    <col min="13320" max="13320" width="9.28515625" style="81" customWidth="1"/>
    <col min="13321" max="13323" width="7.140625" style="81" customWidth="1"/>
    <col min="13324" max="13568" width="9.140625" style="81"/>
    <col min="13569" max="13569" width="17.140625" style="81" customWidth="1"/>
    <col min="13570" max="13570" width="9.28515625" style="81" customWidth="1"/>
    <col min="13571" max="13571" width="8.5703125" style="81" customWidth="1"/>
    <col min="13572" max="13572" width="6.42578125" style="81" customWidth="1"/>
    <col min="13573" max="13573" width="6.5703125" style="81" customWidth="1"/>
    <col min="13574" max="13574" width="3.5703125" style="81" customWidth="1"/>
    <col min="13575" max="13575" width="17.140625" style="81" customWidth="1"/>
    <col min="13576" max="13576" width="9.28515625" style="81" customWidth="1"/>
    <col min="13577" max="13579" width="7.140625" style="81" customWidth="1"/>
    <col min="13580" max="13824" width="9.140625" style="81"/>
    <col min="13825" max="13825" width="17.140625" style="81" customWidth="1"/>
    <col min="13826" max="13826" width="9.28515625" style="81" customWidth="1"/>
    <col min="13827" max="13827" width="8.5703125" style="81" customWidth="1"/>
    <col min="13828" max="13828" width="6.42578125" style="81" customWidth="1"/>
    <col min="13829" max="13829" width="6.5703125" style="81" customWidth="1"/>
    <col min="13830" max="13830" width="3.5703125" style="81" customWidth="1"/>
    <col min="13831" max="13831" width="17.140625" style="81" customWidth="1"/>
    <col min="13832" max="13832" width="9.28515625" style="81" customWidth="1"/>
    <col min="13833" max="13835" width="7.140625" style="81" customWidth="1"/>
    <col min="13836" max="14080" width="9.140625" style="81"/>
    <col min="14081" max="14081" width="17.140625" style="81" customWidth="1"/>
    <col min="14082" max="14082" width="9.28515625" style="81" customWidth="1"/>
    <col min="14083" max="14083" width="8.5703125" style="81" customWidth="1"/>
    <col min="14084" max="14084" width="6.42578125" style="81" customWidth="1"/>
    <col min="14085" max="14085" width="6.5703125" style="81" customWidth="1"/>
    <col min="14086" max="14086" width="3.5703125" style="81" customWidth="1"/>
    <col min="14087" max="14087" width="17.140625" style="81" customWidth="1"/>
    <col min="14088" max="14088" width="9.28515625" style="81" customWidth="1"/>
    <col min="14089" max="14091" width="7.140625" style="81" customWidth="1"/>
    <col min="14092" max="14336" width="9.140625" style="81"/>
    <col min="14337" max="14337" width="17.140625" style="81" customWidth="1"/>
    <col min="14338" max="14338" width="9.28515625" style="81" customWidth="1"/>
    <col min="14339" max="14339" width="8.5703125" style="81" customWidth="1"/>
    <col min="14340" max="14340" width="6.42578125" style="81" customWidth="1"/>
    <col min="14341" max="14341" width="6.5703125" style="81" customWidth="1"/>
    <col min="14342" max="14342" width="3.5703125" style="81" customWidth="1"/>
    <col min="14343" max="14343" width="17.140625" style="81" customWidth="1"/>
    <col min="14344" max="14344" width="9.28515625" style="81" customWidth="1"/>
    <col min="14345" max="14347" width="7.140625" style="81" customWidth="1"/>
    <col min="14348" max="14592" width="9.140625" style="81"/>
    <col min="14593" max="14593" width="17.140625" style="81" customWidth="1"/>
    <col min="14594" max="14594" width="9.28515625" style="81" customWidth="1"/>
    <col min="14595" max="14595" width="8.5703125" style="81" customWidth="1"/>
    <col min="14596" max="14596" width="6.42578125" style="81" customWidth="1"/>
    <col min="14597" max="14597" width="6.5703125" style="81" customWidth="1"/>
    <col min="14598" max="14598" width="3.5703125" style="81" customWidth="1"/>
    <col min="14599" max="14599" width="17.140625" style="81" customWidth="1"/>
    <col min="14600" max="14600" width="9.28515625" style="81" customWidth="1"/>
    <col min="14601" max="14603" width="7.140625" style="81" customWidth="1"/>
    <col min="14604" max="14848" width="9.140625" style="81"/>
    <col min="14849" max="14849" width="17.140625" style="81" customWidth="1"/>
    <col min="14850" max="14850" width="9.28515625" style="81" customWidth="1"/>
    <col min="14851" max="14851" width="8.5703125" style="81" customWidth="1"/>
    <col min="14852" max="14852" width="6.42578125" style="81" customWidth="1"/>
    <col min="14853" max="14853" width="6.5703125" style="81" customWidth="1"/>
    <col min="14854" max="14854" width="3.5703125" style="81" customWidth="1"/>
    <col min="14855" max="14855" width="17.140625" style="81" customWidth="1"/>
    <col min="14856" max="14856" width="9.28515625" style="81" customWidth="1"/>
    <col min="14857" max="14859" width="7.140625" style="81" customWidth="1"/>
    <col min="14860" max="15104" width="9.140625" style="81"/>
    <col min="15105" max="15105" width="17.140625" style="81" customWidth="1"/>
    <col min="15106" max="15106" width="9.28515625" style="81" customWidth="1"/>
    <col min="15107" max="15107" width="8.5703125" style="81" customWidth="1"/>
    <col min="15108" max="15108" width="6.42578125" style="81" customWidth="1"/>
    <col min="15109" max="15109" width="6.5703125" style="81" customWidth="1"/>
    <col min="15110" max="15110" width="3.5703125" style="81" customWidth="1"/>
    <col min="15111" max="15111" width="17.140625" style="81" customWidth="1"/>
    <col min="15112" max="15112" width="9.28515625" style="81" customWidth="1"/>
    <col min="15113" max="15115" width="7.140625" style="81" customWidth="1"/>
    <col min="15116" max="15360" width="9.140625" style="81"/>
    <col min="15361" max="15361" width="17.140625" style="81" customWidth="1"/>
    <col min="15362" max="15362" width="9.28515625" style="81" customWidth="1"/>
    <col min="15363" max="15363" width="8.5703125" style="81" customWidth="1"/>
    <col min="15364" max="15364" width="6.42578125" style="81" customWidth="1"/>
    <col min="15365" max="15365" width="6.5703125" style="81" customWidth="1"/>
    <col min="15366" max="15366" width="3.5703125" style="81" customWidth="1"/>
    <col min="15367" max="15367" width="17.140625" style="81" customWidth="1"/>
    <col min="15368" max="15368" width="9.28515625" style="81" customWidth="1"/>
    <col min="15369" max="15371" width="7.140625" style="81" customWidth="1"/>
    <col min="15372" max="15616" width="9.140625" style="81"/>
    <col min="15617" max="15617" width="17.140625" style="81" customWidth="1"/>
    <col min="15618" max="15618" width="9.28515625" style="81" customWidth="1"/>
    <col min="15619" max="15619" width="8.5703125" style="81" customWidth="1"/>
    <col min="15620" max="15620" width="6.42578125" style="81" customWidth="1"/>
    <col min="15621" max="15621" width="6.5703125" style="81" customWidth="1"/>
    <col min="15622" max="15622" width="3.5703125" style="81" customWidth="1"/>
    <col min="15623" max="15623" width="17.140625" style="81" customWidth="1"/>
    <col min="15624" max="15624" width="9.28515625" style="81" customWidth="1"/>
    <col min="15625" max="15627" width="7.140625" style="81" customWidth="1"/>
    <col min="15628" max="15872" width="9.140625" style="81"/>
    <col min="15873" max="15873" width="17.140625" style="81" customWidth="1"/>
    <col min="15874" max="15874" width="9.28515625" style="81" customWidth="1"/>
    <col min="15875" max="15875" width="8.5703125" style="81" customWidth="1"/>
    <col min="15876" max="15876" width="6.42578125" style="81" customWidth="1"/>
    <col min="15877" max="15877" width="6.5703125" style="81" customWidth="1"/>
    <col min="15878" max="15878" width="3.5703125" style="81" customWidth="1"/>
    <col min="15879" max="15879" width="17.140625" style="81" customWidth="1"/>
    <col min="15880" max="15880" width="9.28515625" style="81" customWidth="1"/>
    <col min="15881" max="15883" width="7.140625" style="81" customWidth="1"/>
    <col min="15884" max="16128" width="9.140625" style="81"/>
    <col min="16129" max="16129" width="17.140625" style="81" customWidth="1"/>
    <col min="16130" max="16130" width="9.28515625" style="81" customWidth="1"/>
    <col min="16131" max="16131" width="8.5703125" style="81" customWidth="1"/>
    <col min="16132" max="16132" width="6.42578125" style="81" customWidth="1"/>
    <col min="16133" max="16133" width="6.5703125" style="81" customWidth="1"/>
    <col min="16134" max="16134" width="3.5703125" style="81" customWidth="1"/>
    <col min="16135" max="16135" width="17.140625" style="81" customWidth="1"/>
    <col min="16136" max="16136" width="9.28515625" style="81" customWidth="1"/>
    <col min="16137" max="16139" width="7.140625" style="81" customWidth="1"/>
    <col min="16140" max="16384" width="9.140625" style="81"/>
  </cols>
  <sheetData>
    <row r="1" spans="1:11" x14ac:dyDescent="0.3">
      <c r="F1" s="82"/>
      <c r="G1" s="355" t="s">
        <v>639</v>
      </c>
      <c r="H1" s="355"/>
      <c r="I1" s="355"/>
      <c r="J1" s="355"/>
      <c r="K1" s="355"/>
    </row>
    <row r="2" spans="1:11" x14ac:dyDescent="0.3">
      <c r="G2" s="356" t="str">
        <f>VLOOKUP(Dados_Clientes!F2,Dados_Clientes!F3:G64,2,FALSE)</f>
        <v>INSTITUTO DE PREVIDÊNCIA MUNICIPAL DE ITAPEVA</v>
      </c>
      <c r="H2" s="356"/>
      <c r="I2" s="356"/>
      <c r="J2" s="356"/>
      <c r="K2" s="356"/>
    </row>
    <row r="3" spans="1:11" ht="15" customHeight="1" x14ac:dyDescent="0.3">
      <c r="E3" s="83"/>
      <c r="F3" s="83"/>
      <c r="G3" s="356"/>
      <c r="H3" s="356"/>
      <c r="I3" s="356"/>
      <c r="J3" s="356"/>
      <c r="K3" s="356"/>
    </row>
    <row r="4" spans="1:11" x14ac:dyDescent="0.3">
      <c r="E4" s="83"/>
      <c r="F4" s="83"/>
      <c r="G4" s="356"/>
      <c r="H4" s="356"/>
      <c r="I4" s="356"/>
      <c r="J4" s="356"/>
      <c r="K4" s="356"/>
    </row>
    <row r="5" spans="1:11" x14ac:dyDescent="0.3">
      <c r="G5" s="357" t="str">
        <f>"Informações referentes a "&amp;VLOOKUP(Dados_Clientes!C10,Dados_Clientes!A10:B21,2,FALSE)</f>
        <v>Informações referentes a Março/2016</v>
      </c>
      <c r="H5" s="357"/>
      <c r="I5" s="357"/>
      <c r="J5" s="357"/>
      <c r="K5" s="357"/>
    </row>
    <row r="6" spans="1:11" ht="11.25" customHeight="1" x14ac:dyDescent="0.3"/>
    <row r="7" spans="1:11" ht="11.25" customHeight="1" x14ac:dyDescent="0.3">
      <c r="A7" s="353" t="s">
        <v>640</v>
      </c>
      <c r="B7" s="353"/>
      <c r="C7" s="353"/>
      <c r="D7" s="353"/>
      <c r="E7" s="353"/>
      <c r="F7" s="84"/>
      <c r="G7" s="353" t="s">
        <v>641</v>
      </c>
      <c r="H7" s="353"/>
      <c r="I7" s="353"/>
      <c r="J7" s="353"/>
      <c r="K7" s="353"/>
    </row>
    <row r="8" spans="1:11" ht="3" customHeight="1" x14ac:dyDescent="0.3">
      <c r="A8" s="85"/>
      <c r="B8" s="85"/>
      <c r="C8" s="85"/>
      <c r="D8" s="85"/>
      <c r="E8" s="85"/>
      <c r="F8" s="84"/>
      <c r="G8" s="86"/>
      <c r="H8" s="86"/>
      <c r="I8" s="86"/>
      <c r="J8" s="86"/>
      <c r="K8" s="86"/>
    </row>
    <row r="9" spans="1:11" ht="11.25" customHeight="1" x14ac:dyDescent="0.3">
      <c r="A9" s="354" t="str">
        <f>historico!AB1</f>
        <v>Março/2016</v>
      </c>
      <c r="B9" s="354"/>
      <c r="C9" s="354"/>
      <c r="D9" s="354"/>
      <c r="E9" s="354"/>
      <c r="F9" s="84"/>
      <c r="G9" s="353" t="s">
        <v>642</v>
      </c>
      <c r="H9" s="353"/>
      <c r="I9" s="353"/>
      <c r="J9" s="353"/>
      <c r="K9" s="353"/>
    </row>
    <row r="10" spans="1:11" ht="11.25" customHeight="1" x14ac:dyDescent="0.3">
      <c r="A10" s="197" t="s">
        <v>73</v>
      </c>
      <c r="B10" s="197" t="s">
        <v>644</v>
      </c>
      <c r="C10" s="197" t="s">
        <v>645</v>
      </c>
      <c r="D10" s="197" t="s">
        <v>569</v>
      </c>
      <c r="E10" s="197" t="s">
        <v>634</v>
      </c>
      <c r="F10" s="84"/>
      <c r="G10" s="352" t="s">
        <v>646</v>
      </c>
      <c r="H10" s="352"/>
      <c r="I10" s="352"/>
      <c r="J10" s="352"/>
      <c r="K10" s="352"/>
    </row>
    <row r="11" spans="1:11" ht="11.25" customHeight="1" x14ac:dyDescent="0.3">
      <c r="A11" s="87" t="str">
        <f>IF(AND(Retorno!B6&lt;&gt;"",Retorno!B7=""),"TOTAL / MÉDIA",Retorno!B7)</f>
        <v>BB IRF-M</v>
      </c>
      <c r="B11" s="88">
        <f>IF(A11="","",IF(AND(Retorno!B7="",Retorno!B6&lt;&gt;""),Retorno!$G$4,Retorno!G7))</f>
        <v>0</v>
      </c>
      <c r="C11" s="89">
        <f>IF(A11="","",IF(AND(Retorno!B7="",Retorno!B6&lt;&gt;""),Retorno!$I$4,Retorno!I7))</f>
        <v>2.907179367065402E-2</v>
      </c>
      <c r="D11" s="89">
        <f>IF(A11="","",Retorno!$J$4)</f>
        <v>9.2889677878305044E-3</v>
      </c>
      <c r="E11" s="89">
        <f>IF(D11="","",C11/D11)</f>
        <v>3.1297119695840734</v>
      </c>
      <c r="F11" s="84"/>
      <c r="G11" s="352"/>
      <c r="H11" s="352"/>
      <c r="I11" s="352"/>
      <c r="J11" s="352"/>
      <c r="K11" s="352"/>
    </row>
    <row r="12" spans="1:11" ht="11.25" customHeight="1" x14ac:dyDescent="0.3">
      <c r="A12" s="87" t="str">
        <f>IF(AND(Retorno!B7&lt;&gt;"",Retorno!B8=""),"TOTAL / MÉDIA",Retorno!B8)</f>
        <v>BB Perfil</v>
      </c>
      <c r="B12" s="88">
        <f>IF(A12="","",IF(AND(Retorno!B8="",Retorno!B7&lt;&gt;""),Retorno!$G$4,Retorno!G8))</f>
        <v>368033.64</v>
      </c>
      <c r="C12" s="89">
        <f>IF(A12="","",IF(AND(Retorno!B8="",Retorno!B7&lt;&gt;""),Retorno!$I$4,Retorno!I8))</f>
        <v>1.1123790213738388E-2</v>
      </c>
      <c r="D12" s="89">
        <f>IF(A12="","",Retorno!$J$4)</f>
        <v>9.2889677878305044E-3</v>
      </c>
      <c r="E12" s="89">
        <f>IF(D12="","",C12/D12)</f>
        <v>1.1975270522857973</v>
      </c>
      <c r="F12" s="84"/>
      <c r="G12" s="352"/>
      <c r="H12" s="352"/>
      <c r="I12" s="352"/>
      <c r="J12" s="352"/>
      <c r="K12" s="352"/>
    </row>
    <row r="13" spans="1:11" ht="11.25" customHeight="1" x14ac:dyDescent="0.3">
      <c r="A13" s="87" t="str">
        <f>IF(AND(Retorno!B8&lt;&gt;"",Retorno!B9=""),"TOTAL / MÉDIA",Retorno!B9)</f>
        <v>BB IX TP</v>
      </c>
      <c r="B13" s="88">
        <f>IF(A13="","",IF(AND(Retorno!B9="",Retorno!B8&lt;&gt;""),Retorno!$G$4,Retorno!G9))</f>
        <v>535928.17000000004</v>
      </c>
      <c r="C13" s="89">
        <f>IF(A13="","",IF(AND(Retorno!B9="",Retorno!B8&lt;&gt;""),Retorno!$I$4,Retorno!I9))</f>
        <v>8.3633121731165865E-3</v>
      </c>
      <c r="D13" s="89">
        <f>IF(A13="","",Retorno!$J$4)</f>
        <v>9.2889677878305044E-3</v>
      </c>
      <c r="E13" s="89">
        <f>IF(D13="","",C13/D13)</f>
        <v>0.90034892618245255</v>
      </c>
      <c r="F13" s="84"/>
      <c r="G13" s="352"/>
      <c r="H13" s="352"/>
      <c r="I13" s="352"/>
      <c r="J13" s="352"/>
      <c r="K13" s="352"/>
    </row>
    <row r="14" spans="1:11" ht="11.25" customHeight="1" x14ac:dyDescent="0.3">
      <c r="A14" s="87" t="str">
        <f>IF(AND(Retorno!B9&lt;&gt;"",Retorno!B10=""),"TOTAL / MÉDIA",Retorno!B10)</f>
        <v>BB IRF-M1</v>
      </c>
      <c r="B14" s="88">
        <f>IF(A14="","",IF(AND(Retorno!B10="",Retorno!B9&lt;&gt;""),Retorno!$G$4,Retorno!G10))</f>
        <v>3391984.3</v>
      </c>
      <c r="C14" s="89">
        <f>IF(A14="","",IF(AND(Retorno!B10="",Retorno!B9&lt;&gt;""),Retorno!$I$4,Retorno!I10))</f>
        <v>4.0896506186100922E-3</v>
      </c>
      <c r="D14" s="89">
        <f>IF(A14="","",Retorno!$J$4)</f>
        <v>9.2889677878305044E-3</v>
      </c>
      <c r="E14" s="89">
        <f>IF(D14="","",C14/D14)</f>
        <v>0.44026965234694343</v>
      </c>
      <c r="F14" s="84"/>
      <c r="G14" s="352"/>
      <c r="H14" s="352"/>
      <c r="I14" s="352"/>
      <c r="J14" s="352"/>
      <c r="K14" s="352"/>
    </row>
    <row r="15" spans="1:11" ht="11.25" customHeight="1" x14ac:dyDescent="0.3">
      <c r="A15" s="87" t="str">
        <f>IF(AND(Retorno!B10&lt;&gt;"",Retorno!B11=""),"TOTAL / MÉDIA",Retorno!B11)</f>
        <v>Caixa 2016 I TP RF</v>
      </c>
      <c r="B15" s="88">
        <f>IF(A15="","",IF(AND(Retorno!B11="",Retorno!B10&lt;&gt;""),Retorno!$G$4,Retorno!G11))</f>
        <v>1086173</v>
      </c>
      <c r="C15" s="89">
        <f>IF(A15="","",IF(AND(Retorno!B11="",Retorno!B10&lt;&gt;""),Retorno!$I$4,Retorno!I11))</f>
        <v>9.068089170317685E-3</v>
      </c>
      <c r="D15" s="89">
        <f>IF(A15="","",Retorno!$J$4)</f>
        <v>9.2889677878305044E-3</v>
      </c>
      <c r="E15" s="89">
        <f t="shared" ref="E15:E21" si="0">IF(D15="","",C15/D15)</f>
        <v>0.97622140343707586</v>
      </c>
      <c r="F15" s="84"/>
      <c r="G15" s="353" t="s">
        <v>647</v>
      </c>
      <c r="H15" s="353"/>
      <c r="I15" s="353"/>
      <c r="J15" s="353"/>
      <c r="K15" s="353"/>
    </row>
    <row r="16" spans="1:11" ht="11.25" customHeight="1" x14ac:dyDescent="0.3">
      <c r="A16" s="87" t="str">
        <f>IF(AND(Retorno!B11&lt;&gt;"",Retorno!B12=""),"TOTAL / MÉDIA",Retorno!B12)</f>
        <v>Caixa Ref. DI LP</v>
      </c>
      <c r="B16" s="88">
        <f>IF(A16="","",IF(AND(Retorno!B12="",Retorno!B11&lt;&gt;""),Retorno!$G$4,Retorno!G12))</f>
        <v>635599.06999999995</v>
      </c>
      <c r="C16" s="89">
        <f>IF(A16="","",IF(AND(Retorno!B12="",Retorno!B11&lt;&gt;""),Retorno!$I$4,Retorno!I12))</f>
        <v>1.1782234090393464E-2</v>
      </c>
      <c r="D16" s="89">
        <f>IF(A16="","",Retorno!$J$4)</f>
        <v>9.2889677878305044E-3</v>
      </c>
      <c r="E16" s="89">
        <f t="shared" si="0"/>
        <v>1.2684115565380034</v>
      </c>
      <c r="F16" s="84"/>
      <c r="G16" s="353" t="s">
        <v>648</v>
      </c>
      <c r="H16" s="353"/>
      <c r="I16" s="353"/>
      <c r="J16" s="353"/>
      <c r="K16" s="353"/>
    </row>
    <row r="17" spans="1:15" ht="11.25" customHeight="1" x14ac:dyDescent="0.3">
      <c r="A17" s="87" t="str">
        <f>IF(AND(Retorno!B12&lt;&gt;"",Retorno!B13=""),"TOTAL / MÉDIA",Retorno!B13)</f>
        <v>Caixa IRF-M1</v>
      </c>
      <c r="B17" s="88">
        <f>IF(A17="","",IF(AND(Retorno!B13="",Retorno!B12&lt;&gt;""),Retorno!$G$4,Retorno!G13))</f>
        <v>2150018.08</v>
      </c>
      <c r="C17" s="89">
        <f>IF(A17="","",IF(AND(Retorno!B13="",Retorno!B12&lt;&gt;""),Retorno!$I$4,Retorno!I13))</f>
        <v>4.1598818138978578E-3</v>
      </c>
      <c r="D17" s="89">
        <f>IF(A17="","",Retorno!$J$4)</f>
        <v>9.2889677878305044E-3</v>
      </c>
      <c r="E17" s="89">
        <f t="shared" si="0"/>
        <v>0.44783036273930538</v>
      </c>
      <c r="F17" s="84"/>
      <c r="G17" s="90"/>
      <c r="H17" s="90"/>
      <c r="I17" s="90"/>
      <c r="J17" s="90"/>
      <c r="K17" s="90"/>
    </row>
    <row r="18" spans="1:15" ht="11.25" customHeight="1" x14ac:dyDescent="0.3">
      <c r="A18" s="87" t="str">
        <f>IF(AND(Retorno!B13&lt;&gt;"",Retorno!B14=""),"TOTAL / MÉDIA",Retorno!B14)</f>
        <v>Caixa IRF-M1+</v>
      </c>
      <c r="B18" s="88">
        <f>IF(A18="","",IF(AND(Retorno!B14="",Retorno!B13&lt;&gt;""),Retorno!$G$4,Retorno!G14))</f>
        <v>0</v>
      </c>
      <c r="C18" s="89">
        <f>IF(A18="","",IF(AND(Retorno!B14="",Retorno!B13&lt;&gt;""),Retorno!$I$4,Retorno!I14))</f>
        <v>3.3141883581848684E-2</v>
      </c>
      <c r="D18" s="89">
        <f>IF(A18="","",Retorno!$J$4)</f>
        <v>9.2889677878305044E-3</v>
      </c>
      <c r="E18" s="89">
        <f t="shared" si="0"/>
        <v>3.5678758220335238</v>
      </c>
      <c r="F18" s="84"/>
      <c r="G18" s="352" t="s">
        <v>649</v>
      </c>
      <c r="H18" s="352"/>
      <c r="I18" s="352"/>
      <c r="J18" s="352"/>
      <c r="K18" s="352"/>
    </row>
    <row r="19" spans="1:15" ht="11.25" customHeight="1" x14ac:dyDescent="0.3">
      <c r="A19" s="87" t="str">
        <f>IF(AND(Retorno!B14&lt;&gt;"",Retorno!B15=""),"TOTAL / MÉDIA",Retorno!B15)</f>
        <v>TOTAL / MÉDIA</v>
      </c>
      <c r="B19" s="88">
        <f>IF(A19="","",IF(AND(Retorno!B15="",Retorno!B14&lt;&gt;""),Retorno!$G$4,Retorno!G15))</f>
        <v>8167736.2599999998</v>
      </c>
      <c r="C19" s="89">
        <f>IF(A19="","",IF(AND(Retorno!B15="",Retorno!B14&lt;&gt;""),Retorno!$I$4,Retorno!I15))</f>
        <v>2.671168458402616E-2</v>
      </c>
      <c r="D19" s="89">
        <f>IF(A19="","",Retorno!$J$4)</f>
        <v>9.2889677878305044E-3</v>
      </c>
      <c r="E19" s="89">
        <f t="shared" si="0"/>
        <v>2.8756353982647234</v>
      </c>
      <c r="F19" s="84"/>
      <c r="G19" s="352"/>
      <c r="H19" s="352"/>
      <c r="I19" s="352"/>
      <c r="J19" s="352"/>
      <c r="K19" s="352"/>
    </row>
    <row r="20" spans="1:15" ht="11.25" customHeight="1" x14ac:dyDescent="0.3">
      <c r="A20" s="87" t="str">
        <f>IF(AND(Retorno!B15&lt;&gt;"",Retorno!B16=""),"TOTAL / MÉDIA",Retorno!B16)</f>
        <v/>
      </c>
      <c r="B20" s="88" t="str">
        <f>IF(A20="","",IF(AND(Retorno!B16="",Retorno!B15&lt;&gt;""),Retorno!$G$4,Retorno!G16))</f>
        <v/>
      </c>
      <c r="C20" s="89" t="str">
        <f>IF(A20="","",IF(AND(Retorno!B16="",Retorno!B15&lt;&gt;""),Retorno!$I$4,Retorno!I16))</f>
        <v/>
      </c>
      <c r="D20" s="89" t="str">
        <f>IF(A20="","",Retorno!$J$4)</f>
        <v/>
      </c>
      <c r="E20" s="89" t="str">
        <f t="shared" si="0"/>
        <v/>
      </c>
      <c r="F20" s="84"/>
      <c r="G20" s="352"/>
      <c r="H20" s="352"/>
      <c r="I20" s="352"/>
      <c r="J20" s="352"/>
      <c r="K20" s="352"/>
      <c r="O20" s="91"/>
    </row>
    <row r="21" spans="1:15" ht="11.25" customHeight="1" x14ac:dyDescent="0.3">
      <c r="A21" s="87" t="str">
        <f>IF(AND(Retorno!B16&lt;&gt;"",Retorno!B17=""),"TOTAL / MÉDIA",Retorno!B17)</f>
        <v/>
      </c>
      <c r="B21" s="88" t="str">
        <f>IF(A21="","",IF(AND(Retorno!B17="",Retorno!B16&lt;&gt;""),Retorno!$G$4,Retorno!G17))</f>
        <v/>
      </c>
      <c r="C21" s="89" t="str">
        <f>IF(A21="","",IF(AND(Retorno!B17="",Retorno!B16&lt;&gt;""),Retorno!$I$4,Retorno!I17))</f>
        <v/>
      </c>
      <c r="D21" s="89" t="str">
        <f>IF(A21="","",Retorno!$J$4)</f>
        <v/>
      </c>
      <c r="E21" s="89" t="str">
        <f t="shared" si="0"/>
        <v/>
      </c>
      <c r="F21" s="84"/>
      <c r="G21" s="352"/>
      <c r="H21" s="352"/>
      <c r="I21" s="352"/>
      <c r="J21" s="352"/>
      <c r="K21" s="352"/>
    </row>
    <row r="22" spans="1:15" ht="11.25" customHeight="1" x14ac:dyDescent="0.3">
      <c r="A22" s="87"/>
      <c r="B22" s="88"/>
      <c r="C22" s="89"/>
      <c r="D22" s="89"/>
      <c r="E22" s="89"/>
      <c r="F22" s="84"/>
      <c r="G22" s="92" t="s">
        <v>643</v>
      </c>
      <c r="H22" s="92" t="s">
        <v>644</v>
      </c>
      <c r="I22" s="92" t="s">
        <v>635</v>
      </c>
      <c r="J22" s="92" t="s">
        <v>650</v>
      </c>
      <c r="K22" s="196"/>
    </row>
    <row r="23" spans="1:15" ht="11.25" customHeight="1" x14ac:dyDescent="0.3">
      <c r="A23" s="196"/>
      <c r="B23" s="196"/>
      <c r="C23" s="196"/>
      <c r="D23" s="196"/>
      <c r="E23" s="196"/>
      <c r="F23" s="84"/>
      <c r="G23" s="333" t="str">
        <f>IF(AND(VaR_Calculo!B156&lt;&gt;"",VaR_Calculo!B156=""),"Carteira",VaR_Calculo!B156)</f>
        <v>BB IRF-M</v>
      </c>
      <c r="H23" s="334">
        <v>0</v>
      </c>
      <c r="I23" s="334">
        <f>IF(G23="","",IF(G23="Carteira",Relatório!$CS$27,VaR_Calculo!G156))</f>
        <v>0</v>
      </c>
      <c r="J23" s="335">
        <f>IF(H23="","",IF(G23="Carteira",VaR_Calculo!$F$153,VaR_Calculo!F156))</f>
        <v>0</v>
      </c>
      <c r="K23" s="93"/>
    </row>
    <row r="24" spans="1:15" ht="11.25" customHeight="1" x14ac:dyDescent="0.3">
      <c r="A24" s="353" t="s">
        <v>666</v>
      </c>
      <c r="B24" s="353"/>
      <c r="C24" s="353"/>
      <c r="D24" s="353"/>
      <c r="E24" s="353"/>
      <c r="F24" s="84"/>
      <c r="G24" s="87" t="str">
        <f>IF(AND(VaR_Calculo!B157&lt;&gt;"",VaR_Calculo!B157=""),"Carteira",VaR_Calculo!B157)</f>
        <v>BB Perfil</v>
      </c>
      <c r="H24" s="88">
        <f>IF(G24="","",IF(G24="Carteira",Retorno!$G$4,VaR_Calculo!C157))</f>
        <v>368033.64</v>
      </c>
      <c r="I24" s="88">
        <f>IF(G24="","",IF(G24="Carteira",Relatório!$CS$27,VaR_Calculo!G157))</f>
        <v>85.905727074560417</v>
      </c>
      <c r="J24" s="100">
        <f>IF(H24="","",IF(G24="Carteira",VaR_Calculo!$F$153,VaR_Calculo!F157))</f>
        <v>1.0517691112930283E-5</v>
      </c>
      <c r="K24" s="93"/>
    </row>
    <row r="25" spans="1:15" ht="11.25" customHeight="1" x14ac:dyDescent="0.3">
      <c r="A25" s="84"/>
      <c r="B25" s="84"/>
      <c r="C25" s="84"/>
      <c r="D25" s="84"/>
      <c r="E25" s="84"/>
      <c r="F25" s="84"/>
      <c r="G25" s="87" t="str">
        <f>IF(AND(VaR_Calculo!B158&lt;&gt;"",VaR_Calculo!B158=""),"Carteira",VaR_Calculo!B158)</f>
        <v>BB IX TP</v>
      </c>
      <c r="H25" s="88">
        <f>IF(G25="","",IF(G25="Carteira",Retorno!$G$4,VaR_Calculo!C158))</f>
        <v>535928.17000000004</v>
      </c>
      <c r="I25" s="88">
        <f>IF(G25="","",IF(G25="Carteira",Relatório!$CS$27,VaR_Calculo!G158))</f>
        <v>3137.1123912973403</v>
      </c>
      <c r="J25" s="100">
        <f>IF(H25="","",IF(G25="Carteira",VaR_Calculo!$F$153,VaR_Calculo!F158))</f>
        <v>3.8408590721284385E-4</v>
      </c>
      <c r="K25" s="93"/>
    </row>
    <row r="26" spans="1:15" ht="11.25" customHeight="1" x14ac:dyDescent="0.3">
      <c r="A26" s="197" t="s">
        <v>73</v>
      </c>
      <c r="B26" s="197" t="s">
        <v>667</v>
      </c>
      <c r="C26" s="197" t="s">
        <v>798</v>
      </c>
      <c r="D26" s="359" t="s">
        <v>494</v>
      </c>
      <c r="E26" s="359"/>
      <c r="F26" s="84"/>
      <c r="G26" s="87" t="str">
        <f>IF(AND(VaR_Calculo!B159&lt;&gt;"",VaR_Calculo!B159=""),"Carteira",VaR_Calculo!B159)</f>
        <v>BB IRF-M1</v>
      </c>
      <c r="H26" s="88">
        <f>IF(G26="","",IF(G26="Carteira",Retorno!$G$4,VaR_Calculo!C159))</f>
        <v>3391984.3</v>
      </c>
      <c r="I26" s="88">
        <f>IF(G26="","",IF(G26="Carteira",Relatório!$CS$27,VaR_Calculo!G159))</f>
        <v>7274.7134960648082</v>
      </c>
      <c r="J26" s="100">
        <f>IF(H26="","",IF(G26="Carteira",VaR_Calculo!$F$153,VaR_Calculo!F159))</f>
        <v>8.9066459352897965E-4</v>
      </c>
      <c r="K26" s="93"/>
    </row>
    <row r="27" spans="1:15" ht="11.25" customHeight="1" x14ac:dyDescent="0.3">
      <c r="A27" s="115" t="str">
        <f>enquadramento!B4</f>
        <v>BB IRF-M</v>
      </c>
      <c r="B27" s="96">
        <f>enquadramento!D4</f>
        <v>0</v>
      </c>
      <c r="C27" s="117">
        <f>enquadramento!E4</f>
        <v>1</v>
      </c>
      <c r="D27" s="359" t="str">
        <f>enquadramento!H4</f>
        <v>Art. 7º, I, "b"</v>
      </c>
      <c r="E27" s="359"/>
      <c r="F27" s="84"/>
      <c r="G27" s="87" t="str">
        <f>IF(AND(VaR_Calculo!B160&lt;&gt;"",VaR_Calculo!B160=""),"Carteira",VaR_Calculo!B160)</f>
        <v>Caixa 2016 I TP RF</v>
      </c>
      <c r="H27" s="88">
        <f>IF(G27="","",IF(G27="Carteira",Retorno!$G$4,VaR_Calculo!C160))</f>
        <v>1086173</v>
      </c>
      <c r="I27" s="88">
        <f>IF(G27="","",IF(G27="Carteira",Relatório!$CS$27,VaR_Calculo!G160))</f>
        <v>23702.969729501303</v>
      </c>
      <c r="J27" s="100">
        <f>IF(H27="","",IF(G27="Carteira",VaR_Calculo!$F$153,VaR_Calculo!F160))</f>
        <v>2.9020243767642548E-3</v>
      </c>
      <c r="K27" s="93"/>
    </row>
    <row r="28" spans="1:15" ht="11.25" customHeight="1" x14ac:dyDescent="0.3">
      <c r="A28" s="115" t="str">
        <f>enquadramento!B5</f>
        <v>BB Perfil</v>
      </c>
      <c r="B28" s="96">
        <f>enquadramento!D5</f>
        <v>4.5059442210735635E-2</v>
      </c>
      <c r="C28" s="117">
        <f>enquadramento!E5</f>
        <v>0.2</v>
      </c>
      <c r="D28" s="359" t="str">
        <f>enquadramento!H5</f>
        <v>Art. 7º, IV</v>
      </c>
      <c r="E28" s="359"/>
      <c r="F28" s="84"/>
      <c r="G28" s="87" t="str">
        <f>IF(AND(VaR_Calculo!B161&lt;&gt;"",VaR_Calculo!B161=""),"Carteira",VaR_Calculo!B161)</f>
        <v>Caixa Ref. DI LP</v>
      </c>
      <c r="H28" s="88">
        <f>IF(G28="","",IF(G28="Carteira",Retorno!$G$4,VaR_Calculo!C161))</f>
        <v>635599.06999999995</v>
      </c>
      <c r="I28" s="88">
        <f>IF(G28="","",IF(G28="Carteira",Relatório!$CS$27,VaR_Calculo!G161))</f>
        <v>156.85298588175533</v>
      </c>
      <c r="J28" s="100">
        <f>IF(H28="","",IF(G28="Carteira",VaR_Calculo!$F$153,VaR_Calculo!F161))</f>
        <v>1.9203972911064018E-5</v>
      </c>
      <c r="K28" s="93"/>
    </row>
    <row r="29" spans="1:15" ht="11.25" customHeight="1" x14ac:dyDescent="0.3">
      <c r="A29" s="115" t="str">
        <f>enquadramento!B6</f>
        <v>BB IX TP</v>
      </c>
      <c r="B29" s="96">
        <f>enquadramento!D6</f>
        <v>6.561526387973747E-2</v>
      </c>
      <c r="C29" s="117">
        <f>enquadramento!E6</f>
        <v>1</v>
      </c>
      <c r="D29" s="359" t="str">
        <f>enquadramento!H6</f>
        <v>Art. 7º, I, "b"</v>
      </c>
      <c r="E29" s="359"/>
      <c r="F29" s="84"/>
      <c r="G29" s="87" t="str">
        <f>IF(AND(VaR_Calculo!B162&lt;&gt;"",VaR_Calculo!B162=""),"Carteira",VaR_Calculo!B162)</f>
        <v>Caixa IRF-M1</v>
      </c>
      <c r="H29" s="88">
        <f>IF(G29="","",IF(G29="Carteira",Retorno!$G$4,VaR_Calculo!C162))</f>
        <v>2150018.08</v>
      </c>
      <c r="I29" s="88">
        <f>IF(G29="","",IF(G29="Carteira",Relatório!$CS$27,VaR_Calculo!G162))</f>
        <v>4655.1184073172353</v>
      </c>
      <c r="J29" s="100">
        <f>IF(H29="","",IF(G29="Carteira",VaR_Calculo!$F$153,VaR_Calculo!F162))</f>
        <v>5.6993985348361819E-4</v>
      </c>
      <c r="K29" s="93"/>
    </row>
    <row r="30" spans="1:15" ht="11.25" customHeight="1" x14ac:dyDescent="0.3">
      <c r="A30" s="139" t="str">
        <f>enquadramento!B7</f>
        <v>BB IRF-M1</v>
      </c>
      <c r="B30" s="140">
        <f>enquadramento!D7</f>
        <v>0.41529062545905465</v>
      </c>
      <c r="C30" s="141">
        <f>enquadramento!E7</f>
        <v>1</v>
      </c>
      <c r="D30" s="358" t="str">
        <f>enquadramento!H7</f>
        <v>Art. 7º, I, "b"</v>
      </c>
      <c r="E30" s="358"/>
      <c r="F30" s="84"/>
      <c r="G30" s="87" t="str">
        <f>IF(AND(VaR_Calculo!B163&lt;&gt;"",VaR_Calculo!B163=""),"Carteira",VaR_Calculo!B163)</f>
        <v>Caixa IRF-M1+</v>
      </c>
      <c r="H30" s="340" t="str">
        <f>IF(G30="","",IF(G30="Carteira",Retorno!$G$4,VaR_Calculo!C163))</f>
        <v/>
      </c>
      <c r="I30" s="88">
        <f>IF(G30="","",IF(G30="Carteira",Relatório!$CS$27,VaR_Calculo!G163))</f>
        <v>0</v>
      </c>
      <c r="J30" s="341" t="str">
        <f>IF(H30="","",IF(G30="Carteira",VaR_Calculo!$F$153,VaR_Calculo!F163))</f>
        <v/>
      </c>
      <c r="K30" s="196"/>
    </row>
    <row r="31" spans="1:15" ht="11.25" customHeight="1" x14ac:dyDescent="0.3">
      <c r="A31" s="139" t="str">
        <f>enquadramento!B8</f>
        <v>Caixa 2016 I TP RF</v>
      </c>
      <c r="B31" s="140">
        <f>enquadramento!D8</f>
        <v>0.13298335859831009</v>
      </c>
      <c r="C31" s="141">
        <f>enquadramento!E8</f>
        <v>1</v>
      </c>
      <c r="D31" s="358" t="str">
        <f>enquadramento!H8</f>
        <v>Art. 7º, I, "b"</v>
      </c>
      <c r="E31" s="358"/>
      <c r="F31" s="84"/>
      <c r="G31" s="87" t="str">
        <f>IF(AND(VaR_Calculo!B164&lt;&gt;"",VaR_Calculo!B164=""),"Carteira",VaR_Calculo!B164)</f>
        <v/>
      </c>
      <c r="H31" s="88" t="str">
        <f>IF(G31="","",IF(G31="Carteira",Retorno!$G$4,VaR_Calculo!C164))</f>
        <v/>
      </c>
      <c r="I31" s="88" t="str">
        <f>IF(G31="","",IF(G31="Carteira",Relatório!$CS$27,VaR_Calculo!G164))</f>
        <v/>
      </c>
      <c r="J31" s="100" t="str">
        <f>IF(H31="","",IF(G31="Carteira",VaR_Calculo!$F$153,VaR_Calculo!F164))</f>
        <v/>
      </c>
      <c r="K31" s="196"/>
    </row>
    <row r="32" spans="1:15" ht="11.25" customHeight="1" x14ac:dyDescent="0.3">
      <c r="A32" s="139" t="str">
        <f>enquadramento!B9</f>
        <v>Caixa Ref. DI LP</v>
      </c>
      <c r="B32" s="140">
        <f>enquadramento!D9</f>
        <v>7.781826564512502E-2</v>
      </c>
      <c r="C32" s="141">
        <f>enquadramento!E9</f>
        <v>0.2</v>
      </c>
      <c r="D32" s="358" t="str">
        <f>enquadramento!H9</f>
        <v>Art. 7º, IV</v>
      </c>
      <c r="E32" s="358"/>
      <c r="F32" s="84"/>
      <c r="G32" s="87" t="str">
        <f>IF(AND(VaR_Calculo!B164&lt;&gt;"",VaR_Calculo!B164=""),"Carteira",VaR_Calculo!B164)</f>
        <v/>
      </c>
      <c r="H32" s="88" t="str">
        <f>IF(G32="","",IF(G32="Carteira",Retorno!$G$4,VaR_Calculo!C164))</f>
        <v/>
      </c>
      <c r="I32" s="88" t="str">
        <f>IF(G32="","",IF(G32="Carteira",Relatório!$CS$27,VaR_Calculo!G164))</f>
        <v/>
      </c>
      <c r="J32" s="100" t="str">
        <f>IF(H32="","",IF(G32="Carteira",VaR_Calculo!$F$153,VaR_Calculo!F164))</f>
        <v/>
      </c>
      <c r="K32" s="196"/>
    </row>
    <row r="33" spans="1:11" ht="11.25" customHeight="1" x14ac:dyDescent="0.3">
      <c r="A33" s="139" t="str">
        <f>enquadramento!B10</f>
        <v>Caixa IRF-M1</v>
      </c>
      <c r="B33" s="140">
        <f>enquadramento!D10</f>
        <v>0.26323304420703714</v>
      </c>
      <c r="C33" s="141">
        <f>enquadramento!E10</f>
        <v>1</v>
      </c>
      <c r="D33" s="358" t="str">
        <f>enquadramento!H10</f>
        <v>Art. 7º, I, "b"</v>
      </c>
      <c r="E33" s="358"/>
      <c r="F33" s="84"/>
      <c r="G33" s="87" t="str">
        <f>IF(AND(VaR_Calculo!B165&lt;&gt;"",VaR_Calculo!B165=""),"Carteira",VaR_Calculo!B165)</f>
        <v/>
      </c>
      <c r="H33" s="88" t="str">
        <f>IF(G33="","",IF(G33="Carteira",Retorno!$G$4,VaR_Calculo!C165))</f>
        <v/>
      </c>
      <c r="I33" s="88" t="str">
        <f>IF(G33="","",IF(G33="Carteira",Relatório!$CS$27,VaR_Calculo!G165))</f>
        <v/>
      </c>
      <c r="J33" s="100" t="str">
        <f>IF(H33="","",IF(G33="Carteira",VaR_Calculo!$F$153,VaR_Calculo!F165))</f>
        <v/>
      </c>
      <c r="K33" s="196"/>
    </row>
    <row r="34" spans="1:11" ht="11.25" customHeight="1" x14ac:dyDescent="0.3">
      <c r="A34" s="118"/>
      <c r="B34" s="240"/>
      <c r="C34" s="241"/>
      <c r="D34" s="242"/>
      <c r="E34" s="242"/>
      <c r="F34" s="84"/>
      <c r="G34" s="87" t="str">
        <f>IF(AND(VaR_Calculo!B166&lt;&gt;"",VaR_Calculo!B168=""),"Carteira",VaR_Calculo!B166)</f>
        <v/>
      </c>
      <c r="H34" s="88" t="str">
        <f>IF(G34="","",IF(G34="Carteira",Retorno!$G$4,VaR_Calculo!C166))</f>
        <v/>
      </c>
      <c r="I34" s="88" t="str">
        <f>IF(G34="","",IF(G34="Carteira",Relatório!$CS$27,VaR_Calculo!G166))</f>
        <v/>
      </c>
      <c r="J34" s="100" t="str">
        <f>IF(H34="","",IF(G34="Carteira",VaR_Calculo!$F$153,VaR_Calculo!F166))</f>
        <v/>
      </c>
      <c r="K34" s="196"/>
    </row>
    <row r="35" spans="1:11" ht="11.25" customHeight="1" x14ac:dyDescent="0.3">
      <c r="A35" s="87"/>
      <c r="B35" s="89"/>
      <c r="C35" s="89"/>
      <c r="D35" s="108"/>
      <c r="E35" s="108"/>
      <c r="F35" s="84"/>
      <c r="G35" s="87" t="str">
        <f>IF(AND(VaR_Calculo!B167&lt;&gt;"",VaR_Calculo!B169=""),"Carteira",VaR_Calculo!B167)</f>
        <v/>
      </c>
      <c r="H35" s="88" t="str">
        <f>IF(G35="","",IF(G35="Carteira",Retorno!$G$4,VaR_Calculo!C167))</f>
        <v/>
      </c>
      <c r="I35" s="88" t="str">
        <f>IF(G35="","",IF(G35="Carteira",Relatório!$CS$27,VaR_Calculo!G167))</f>
        <v/>
      </c>
      <c r="J35" s="100" t="str">
        <f>IF(H35="","",IF(G35="Carteira",VaR_Calculo!$F$153,VaR_Calculo!F167))</f>
        <v/>
      </c>
      <c r="K35" s="196"/>
    </row>
    <row r="36" spans="1:11" ht="11.25" customHeight="1" x14ac:dyDescent="0.3">
      <c r="A36" s="353" t="s">
        <v>653</v>
      </c>
      <c r="B36" s="353"/>
      <c r="C36" s="353"/>
      <c r="D36" s="353"/>
      <c r="E36" s="353"/>
      <c r="F36" s="84"/>
      <c r="G36" s="87" t="str">
        <f>IF(AND(VaR_Calculo!B168&lt;&gt;"",VaR_Calculo!B169=""),"Carteira",VaR_Calculo!B168)</f>
        <v/>
      </c>
      <c r="H36" s="88" t="str">
        <f>IF(G36="","",IF(G36="Carteira",Retorno!$G$4,VaR_Calculo!C168))</f>
        <v/>
      </c>
      <c r="I36" s="88" t="str">
        <f>IF(G36="","",IF(G36="Carteira",Relatório!$CS$27,VaR_Calculo!G168))</f>
        <v/>
      </c>
      <c r="J36" s="100" t="str">
        <f>IF(H36="","",IF(G36="Carteira",VaR_Calculo!$F$153,VaR_Calculo!F168))</f>
        <v/>
      </c>
      <c r="K36" s="225"/>
    </row>
    <row r="37" spans="1:11" ht="11.25" customHeight="1" x14ac:dyDescent="0.3">
      <c r="A37" s="90"/>
      <c r="B37" s="90"/>
      <c r="C37" s="90"/>
      <c r="D37" s="90"/>
      <c r="E37" s="90"/>
      <c r="F37" s="84"/>
      <c r="G37" s="84"/>
      <c r="H37" s="84"/>
      <c r="I37" s="84"/>
      <c r="J37" s="84"/>
      <c r="K37" s="84"/>
    </row>
    <row r="38" spans="1:11" ht="11.25" customHeight="1" x14ac:dyDescent="0.3">
      <c r="A38" s="95"/>
      <c r="B38" s="92" t="s">
        <v>645</v>
      </c>
      <c r="C38" s="92" t="s">
        <v>569</v>
      </c>
      <c r="D38" s="92" t="s">
        <v>634</v>
      </c>
      <c r="E38" s="101"/>
      <c r="F38" s="84"/>
      <c r="G38" s="353" t="s">
        <v>651</v>
      </c>
      <c r="H38" s="353"/>
      <c r="I38" s="353"/>
      <c r="J38" s="353"/>
      <c r="K38" s="353"/>
    </row>
    <row r="39" spans="1:11" ht="11.25" customHeight="1" x14ac:dyDescent="0.3">
      <c r="A39" s="197" t="s">
        <v>633</v>
      </c>
      <c r="B39" s="96">
        <f>IF(historico!T3=0,"",historico!T3)</f>
        <v>1.5003103018447032E-2</v>
      </c>
      <c r="C39" s="96">
        <f>IF(historico!U3=0,"",historico!U3)</f>
        <v>2.0041050578879727E-2</v>
      </c>
      <c r="D39" s="96">
        <f>IF(historico!V3=0,"",historico!V3)</f>
        <v>0.74861858959919303</v>
      </c>
      <c r="E39" s="102"/>
      <c r="F39" s="84"/>
      <c r="G39" s="90"/>
      <c r="H39" s="90"/>
      <c r="I39" s="90"/>
      <c r="J39" s="90"/>
      <c r="K39" s="90"/>
    </row>
    <row r="40" spans="1:11" ht="11.25" customHeight="1" x14ac:dyDescent="0.3">
      <c r="A40" s="197" t="s">
        <v>654</v>
      </c>
      <c r="B40" s="96">
        <f>IF(historico!T4=0,"",historico!T4)</f>
        <v>1.0979441559354087E-2</v>
      </c>
      <c r="C40" s="96">
        <f>IF(historico!U4=0,"",historico!U4)</f>
        <v>1.4413792295713934E-2</v>
      </c>
      <c r="D40" s="96">
        <f>IF(historico!V4=0,"",historico!V4)</f>
        <v>0.76173163412510936</v>
      </c>
      <c r="E40" s="102"/>
      <c r="F40" s="84"/>
      <c r="G40" s="352" t="s">
        <v>652</v>
      </c>
      <c r="H40" s="352"/>
      <c r="I40" s="352"/>
      <c r="J40" s="352"/>
      <c r="K40" s="352"/>
    </row>
    <row r="41" spans="1:11" ht="11.25" customHeight="1" x14ac:dyDescent="0.3">
      <c r="A41" s="197" t="s">
        <v>655</v>
      </c>
      <c r="B41" s="96">
        <f>IF(historico!T5=0,"",historico!T5)</f>
        <v>2.671168458402616E-2</v>
      </c>
      <c r="C41" s="96">
        <f>IF(historico!U5=0,"",historico!U5)</f>
        <v>9.2889677878305044E-3</v>
      </c>
      <c r="D41" s="96">
        <f>IF(historico!V5=0,"",historico!V5)</f>
        <v>2.8756353982647234</v>
      </c>
      <c r="E41" s="102"/>
      <c r="F41" s="84"/>
      <c r="G41" s="352"/>
      <c r="H41" s="352"/>
      <c r="I41" s="352"/>
      <c r="J41" s="352"/>
      <c r="K41" s="352"/>
    </row>
    <row r="42" spans="1:11" ht="11.25" customHeight="1" x14ac:dyDescent="0.3">
      <c r="A42" s="197" t="s">
        <v>656</v>
      </c>
      <c r="B42" s="96" t="str">
        <f>IF(historico!T6=0,"",historico!T6)</f>
        <v/>
      </c>
      <c r="C42" s="96" t="str">
        <f>IF(historico!U6=0,"",historico!U6)</f>
        <v/>
      </c>
      <c r="D42" s="96" t="str">
        <f>IF(historico!V6=0,"",historico!V6)</f>
        <v/>
      </c>
      <c r="E42" s="102"/>
      <c r="F42" s="84"/>
      <c r="G42" s="352"/>
      <c r="H42" s="352"/>
      <c r="I42" s="352"/>
      <c r="J42" s="352"/>
      <c r="K42" s="352"/>
    </row>
    <row r="43" spans="1:11" ht="11.25" customHeight="1" x14ac:dyDescent="0.3">
      <c r="A43" s="197" t="s">
        <v>657</v>
      </c>
      <c r="B43" s="96" t="str">
        <f>IF(historico!T7=0,"",historico!T7)</f>
        <v/>
      </c>
      <c r="C43" s="96" t="str">
        <f>IF(historico!U7=0,"",historico!U7)</f>
        <v/>
      </c>
      <c r="D43" s="96" t="str">
        <f>IF(historico!V7=0,"",historico!V7)</f>
        <v/>
      </c>
      <c r="E43" s="102"/>
      <c r="F43" s="84"/>
      <c r="G43" s="352"/>
      <c r="H43" s="352"/>
      <c r="I43" s="352"/>
      <c r="J43" s="352"/>
      <c r="K43" s="352"/>
    </row>
    <row r="44" spans="1:11" ht="11.25" customHeight="1" x14ac:dyDescent="0.3">
      <c r="A44" s="197" t="s">
        <v>658</v>
      </c>
      <c r="B44" s="96" t="str">
        <f>IF(historico!T8=0,"",historico!T8)</f>
        <v/>
      </c>
      <c r="C44" s="96" t="str">
        <f>IF(historico!U8=0,"",historico!U8)</f>
        <v/>
      </c>
      <c r="D44" s="96" t="str">
        <f>IF(historico!V8=0,"",historico!V8)</f>
        <v/>
      </c>
      <c r="E44" s="102"/>
      <c r="F44" s="84"/>
      <c r="G44" s="352"/>
      <c r="H44" s="352"/>
      <c r="I44" s="352"/>
      <c r="J44" s="352"/>
      <c r="K44" s="352"/>
    </row>
    <row r="45" spans="1:11" ht="11.25" customHeight="1" x14ac:dyDescent="0.3">
      <c r="A45" s="197" t="s">
        <v>659</v>
      </c>
      <c r="B45" s="96" t="str">
        <f>IF(historico!T9=0,"",historico!T9)</f>
        <v/>
      </c>
      <c r="C45" s="96" t="str">
        <f>IF(historico!U9=0,"",historico!U9)</f>
        <v/>
      </c>
      <c r="D45" s="96" t="str">
        <f>IF(historico!V9=0,"",historico!V9)</f>
        <v/>
      </c>
      <c r="E45" s="102"/>
      <c r="F45" s="84"/>
      <c r="G45" s="196"/>
      <c r="H45" s="196"/>
      <c r="I45" s="196"/>
      <c r="J45" s="196"/>
      <c r="K45" s="196"/>
    </row>
    <row r="46" spans="1:11" ht="11.25" customHeight="1" x14ac:dyDescent="0.3">
      <c r="A46" s="197" t="s">
        <v>660</v>
      </c>
      <c r="B46" s="96" t="str">
        <f>IF(historico!T10=0,"",historico!T10)</f>
        <v/>
      </c>
      <c r="C46" s="96" t="str">
        <f>IF(historico!U10=0,"",historico!U10)</f>
        <v/>
      </c>
      <c r="D46" s="96" t="str">
        <f>IF(historico!V10=0,"",historico!V10)</f>
        <v/>
      </c>
      <c r="E46" s="102"/>
      <c r="F46" s="84"/>
      <c r="G46" s="92" t="s">
        <v>643</v>
      </c>
      <c r="H46" s="92" t="s">
        <v>622</v>
      </c>
    </row>
    <row r="47" spans="1:11" ht="11.25" customHeight="1" x14ac:dyDescent="0.3">
      <c r="A47" s="197" t="s">
        <v>661</v>
      </c>
      <c r="B47" s="96" t="str">
        <f>IF(historico!T11=0,"",historico!T11)</f>
        <v/>
      </c>
      <c r="C47" s="96" t="str">
        <f>IF(historico!U11=0,"",historico!U11)</f>
        <v/>
      </c>
      <c r="D47" s="96" t="str">
        <f>IF(historico!V11=0,"",historico!V11)</f>
        <v/>
      </c>
      <c r="E47" s="102"/>
      <c r="F47" s="84"/>
      <c r="G47" s="115" t="str">
        <f>Relatório!DW9</f>
        <v>BB IRF-M</v>
      </c>
      <c r="H47" s="111">
        <f>Relatório!DX9</f>
        <v>5.6099999999999997E-2</v>
      </c>
      <c r="I47" s="94"/>
      <c r="J47" s="94"/>
      <c r="K47" s="94"/>
    </row>
    <row r="48" spans="1:11" ht="11.25" customHeight="1" x14ac:dyDescent="0.3">
      <c r="A48" s="197" t="s">
        <v>662</v>
      </c>
      <c r="B48" s="96" t="str">
        <f>IF(historico!T12=0,"",historico!T12)</f>
        <v/>
      </c>
      <c r="C48" s="96" t="str">
        <f>IF(historico!U12=0,"",historico!U12)</f>
        <v/>
      </c>
      <c r="D48" s="96" t="str">
        <f>IF(historico!V12=0,"",historico!V12)</f>
        <v/>
      </c>
      <c r="E48" s="102"/>
      <c r="F48" s="84"/>
      <c r="G48" s="115" t="str">
        <f>Relatório!DW10</f>
        <v>BB Perfil</v>
      </c>
      <c r="H48" s="111">
        <f>Relatório!DX10</f>
        <v>0</v>
      </c>
      <c r="I48" s="94"/>
      <c r="J48" s="94"/>
      <c r="K48" s="94"/>
    </row>
    <row r="49" spans="1:11" ht="11.25" customHeight="1" x14ac:dyDescent="0.3">
      <c r="A49" s="197" t="s">
        <v>663</v>
      </c>
      <c r="B49" s="96" t="str">
        <f>IF(historico!T13=0,"",historico!T13)</f>
        <v/>
      </c>
      <c r="C49" s="96" t="str">
        <f>IF(historico!U13=0,"",historico!U13)</f>
        <v/>
      </c>
      <c r="D49" s="96" t="str">
        <f>IF(historico!V13=0,"",historico!V13)</f>
        <v/>
      </c>
      <c r="E49" s="102"/>
      <c r="F49" s="84"/>
      <c r="G49" s="115" t="str">
        <f>Relatório!DW11</f>
        <v>BB IX TP</v>
      </c>
      <c r="H49" s="111">
        <f>Relatório!DX11</f>
        <v>0</v>
      </c>
      <c r="I49" s="94"/>
      <c r="J49" s="94"/>
      <c r="K49" s="94"/>
    </row>
    <row r="50" spans="1:11" ht="11.25" customHeight="1" x14ac:dyDescent="0.3">
      <c r="A50" s="197" t="s">
        <v>664</v>
      </c>
      <c r="B50" s="96" t="str">
        <f>IF(historico!T14=0,"",historico!T14)</f>
        <v/>
      </c>
      <c r="C50" s="96" t="str">
        <f>IF(historico!U14=0,"",historico!U14)</f>
        <v/>
      </c>
      <c r="D50" s="96" t="str">
        <f>IF(historico!V14=0,"",historico!V14)</f>
        <v/>
      </c>
      <c r="E50" s="102"/>
      <c r="F50" s="84"/>
      <c r="G50" s="115" t="str">
        <f>Relatório!DW12</f>
        <v>BB IRF-M1</v>
      </c>
      <c r="H50" s="111">
        <f>Relatório!DX12</f>
        <v>1.7000000000000001E-2</v>
      </c>
      <c r="I50" s="94"/>
      <c r="J50" s="94"/>
      <c r="K50" s="94"/>
    </row>
    <row r="51" spans="1:11" ht="11.25" customHeight="1" x14ac:dyDescent="0.3">
      <c r="A51" s="197" t="s">
        <v>665</v>
      </c>
      <c r="B51" s="96">
        <f>historico!T15</f>
        <v>5.3557392490828581E-2</v>
      </c>
      <c r="C51" s="96">
        <f>historico!U15</f>
        <v>4.4355411409730872E-2</v>
      </c>
      <c r="D51" s="96">
        <f>B51/C51</f>
        <v>1.2074601675113523</v>
      </c>
      <c r="E51" s="102"/>
      <c r="F51" s="84"/>
      <c r="G51" s="115" t="str">
        <f>Relatório!DW13</f>
        <v>Caixa 2016 I TP RF</v>
      </c>
      <c r="H51" s="111">
        <f>Relatório!DX13</f>
        <v>0</v>
      </c>
      <c r="I51" s="94"/>
      <c r="J51" s="94"/>
      <c r="K51" s="94"/>
    </row>
    <row r="52" spans="1:11" ht="11.25" customHeight="1" x14ac:dyDescent="0.3">
      <c r="A52" s="109"/>
      <c r="B52" s="109"/>
      <c r="C52" s="109"/>
      <c r="D52" s="109"/>
      <c r="E52" s="109"/>
      <c r="F52" s="84"/>
      <c r="G52" s="115" t="str">
        <f>Relatório!DW14</f>
        <v>Caixa Ref. DI LP</v>
      </c>
      <c r="H52" s="111">
        <f>Relatório!DX14</f>
        <v>2.7400000000000001E-2</v>
      </c>
      <c r="I52" s="97"/>
      <c r="J52" s="97"/>
      <c r="K52" s="97"/>
    </row>
    <row r="53" spans="1:11" ht="11.25" customHeight="1" x14ac:dyDescent="0.3">
      <c r="A53" s="360" t="str">
        <f>"No acumulado do ano a rentabilidade da carteira é de "&amp;ROUND(B51*100,2)&amp;"%"&amp; ",enquanto que a meta acumulada no período é de "&amp;ROUND(C51*100,2)&amp;"%"&amp; ", sendo assim o RPPS atingiu "&amp;ROUND(D51*100,2)&amp;"%"&amp;" da meta atuarial."</f>
        <v>No acumulado do ano a rentabilidade da carteira é de 5,36%,enquanto que a meta acumulada no período é de 4,44%, sendo assim o RPPS atingiu 120,75% da meta atuarial.</v>
      </c>
      <c r="B53" s="360"/>
      <c r="C53" s="360"/>
      <c r="D53" s="360"/>
      <c r="E53" s="360"/>
      <c r="F53" s="84"/>
      <c r="G53" s="115" t="str">
        <f>Relatório!DW15</f>
        <v>Caixa IRF-M1</v>
      </c>
      <c r="H53" s="111">
        <f>Relatório!DX15</f>
        <v>2.1299999999999999E-2</v>
      </c>
      <c r="I53" s="97"/>
      <c r="J53" s="97"/>
      <c r="K53" s="97"/>
    </row>
    <row r="54" spans="1:11" ht="11.25" customHeight="1" x14ac:dyDescent="0.3">
      <c r="A54" s="360"/>
      <c r="B54" s="360"/>
      <c r="C54" s="360"/>
      <c r="D54" s="360"/>
      <c r="E54" s="360"/>
      <c r="F54" s="84"/>
      <c r="G54" s="97"/>
      <c r="H54" s="97"/>
      <c r="I54" s="97"/>
    </row>
    <row r="55" spans="1:11" ht="11.25" customHeight="1" x14ac:dyDescent="0.3">
      <c r="A55" s="360"/>
      <c r="B55" s="360"/>
      <c r="C55" s="360"/>
      <c r="D55" s="360"/>
      <c r="E55" s="360"/>
      <c r="F55" s="84"/>
      <c r="G55" s="94"/>
      <c r="H55" s="94"/>
      <c r="I55" s="94"/>
    </row>
    <row r="56" spans="1:11" ht="11.25" customHeight="1" x14ac:dyDescent="0.3">
      <c r="F56" s="84"/>
      <c r="G56" s="94"/>
      <c r="H56" s="94"/>
      <c r="I56" s="94"/>
    </row>
    <row r="57" spans="1:11" ht="11.25" customHeight="1" x14ac:dyDescent="0.3">
      <c r="F57" s="84"/>
      <c r="G57" s="94"/>
      <c r="H57" s="94"/>
      <c r="I57" s="94"/>
    </row>
    <row r="58" spans="1:11" ht="11.25" customHeight="1" x14ac:dyDescent="0.3">
      <c r="F58" s="84"/>
      <c r="G58" s="94"/>
    </row>
    <row r="59" spans="1:11" ht="11.25" customHeight="1" x14ac:dyDescent="0.3">
      <c r="F59" s="84"/>
      <c r="G59" s="94"/>
    </row>
    <row r="60" spans="1:11" ht="11.25" customHeight="1" x14ac:dyDescent="0.3">
      <c r="G60" s="94"/>
    </row>
    <row r="61" spans="1:11" ht="11.25" customHeight="1" x14ac:dyDescent="0.3">
      <c r="G61" s="94"/>
    </row>
    <row r="62" spans="1:11" ht="11.25" customHeight="1" x14ac:dyDescent="0.3"/>
    <row r="63" spans="1:11" ht="11.25" customHeight="1" x14ac:dyDescent="0.3"/>
    <row r="64" spans="1:11" ht="11.25" customHeight="1" x14ac:dyDescent="0.3"/>
    <row r="65" spans="8:8" ht="11.25" customHeight="1" x14ac:dyDescent="0.3"/>
    <row r="66" spans="8:8" ht="11.25" customHeight="1" x14ac:dyDescent="0.3"/>
    <row r="67" spans="8:8" ht="11.25" customHeight="1" x14ac:dyDescent="0.3"/>
    <row r="68" spans="8:8" ht="11.25" customHeight="1" x14ac:dyDescent="0.3"/>
    <row r="69" spans="8:8" ht="11.25" customHeight="1" x14ac:dyDescent="0.3"/>
    <row r="70" spans="8:8" ht="11.25" customHeight="1" x14ac:dyDescent="0.3"/>
    <row r="71" spans="8:8" ht="11.25" customHeight="1" x14ac:dyDescent="0.3"/>
    <row r="72" spans="8:8" ht="11.25" customHeight="1" x14ac:dyDescent="0.3"/>
    <row r="73" spans="8:8" ht="11.25" customHeight="1" x14ac:dyDescent="0.3"/>
    <row r="74" spans="8:8" ht="11.25" customHeight="1" x14ac:dyDescent="0.3"/>
    <row r="75" spans="8:8" ht="11.25" customHeight="1" x14ac:dyDescent="0.3"/>
    <row r="76" spans="8:8" ht="11.25" customHeight="1" x14ac:dyDescent="0.3"/>
    <row r="77" spans="8:8" ht="11.25" customHeight="1" x14ac:dyDescent="0.3"/>
    <row r="78" spans="8:8" ht="11.25" customHeight="1" x14ac:dyDescent="0.3"/>
    <row r="79" spans="8:8" ht="11.25" customHeight="1" x14ac:dyDescent="0.3">
      <c r="H79" s="237"/>
    </row>
    <row r="80" spans="8:8" ht="11.25" customHeight="1" x14ac:dyDescent="0.3">
      <c r="H80" s="237"/>
    </row>
    <row r="81" spans="8:8" ht="11.25" customHeight="1" x14ac:dyDescent="0.3">
      <c r="H81" s="237"/>
    </row>
    <row r="82" spans="8:8" ht="11.25" customHeight="1" x14ac:dyDescent="0.3">
      <c r="H82" s="237"/>
    </row>
    <row r="83" spans="8:8" ht="11.25" customHeight="1" x14ac:dyDescent="0.3">
      <c r="H83" s="237"/>
    </row>
    <row r="84" spans="8:8" ht="11.25" customHeight="1" x14ac:dyDescent="0.3">
      <c r="H84" s="237"/>
    </row>
    <row r="85" spans="8:8" ht="11.25" customHeight="1" x14ac:dyDescent="0.3">
      <c r="H85" s="237"/>
    </row>
    <row r="86" spans="8:8" ht="12" customHeight="1" x14ac:dyDescent="0.3">
      <c r="H86" s="237"/>
    </row>
    <row r="87" spans="8:8" ht="12" customHeight="1" x14ac:dyDescent="0.3">
      <c r="H87" s="237"/>
    </row>
    <row r="88" spans="8:8" ht="12" customHeight="1" x14ac:dyDescent="0.3"/>
    <row r="89" spans="8:8" ht="12" customHeight="1" x14ac:dyDescent="0.3"/>
    <row r="90" spans="8:8" ht="12" customHeight="1" x14ac:dyDescent="0.3"/>
    <row r="91" spans="8:8" ht="12" customHeight="1" x14ac:dyDescent="0.3"/>
    <row r="92" spans="8:8" ht="12" customHeight="1" x14ac:dyDescent="0.3"/>
    <row r="93" spans="8:8" ht="12" customHeight="1" x14ac:dyDescent="0.3"/>
    <row r="94" spans="8:8" ht="12" customHeight="1" x14ac:dyDescent="0.3"/>
    <row r="95" spans="8:8" ht="12" customHeight="1" x14ac:dyDescent="0.3"/>
    <row r="96" spans="8:8" ht="12" customHeight="1" x14ac:dyDescent="0.3"/>
    <row r="97" ht="12" customHeight="1" x14ac:dyDescent="0.3"/>
    <row r="98" ht="12" customHeight="1" x14ac:dyDescent="0.3"/>
    <row r="99" ht="12" customHeight="1" x14ac:dyDescent="0.3"/>
    <row r="100" ht="12" customHeight="1" x14ac:dyDescent="0.3"/>
  </sheetData>
  <mergeCells count="24">
    <mergeCell ref="A36:E36"/>
    <mergeCell ref="A53:E55"/>
    <mergeCell ref="D33:E33"/>
    <mergeCell ref="D27:E27"/>
    <mergeCell ref="D28:E28"/>
    <mergeCell ref="D29:E29"/>
    <mergeCell ref="D30:E30"/>
    <mergeCell ref="D32:E32"/>
    <mergeCell ref="G40:K44"/>
    <mergeCell ref="G38:K38"/>
    <mergeCell ref="A9:E9"/>
    <mergeCell ref="G9:K9"/>
    <mergeCell ref="G1:K1"/>
    <mergeCell ref="G2:K4"/>
    <mergeCell ref="G5:K5"/>
    <mergeCell ref="A7:E7"/>
    <mergeCell ref="G7:K7"/>
    <mergeCell ref="D31:E31"/>
    <mergeCell ref="G10:K14"/>
    <mergeCell ref="G15:K15"/>
    <mergeCell ref="G16:K16"/>
    <mergeCell ref="G18:K21"/>
    <mergeCell ref="A24:E24"/>
    <mergeCell ref="D26:E26"/>
  </mergeCells>
  <conditionalFormatting sqref="H47:H53">
    <cfRule type="cellIs" dxfId="150" priority="3" operator="equal">
      <formula>0</formula>
    </cfRule>
  </conditionalFormatting>
  <conditionalFormatting sqref="G47:H53 A11:E21 A27:C34 G23:J36">
    <cfRule type="notContainsBlanks" dxfId="149" priority="2">
      <formula>LEN(TRIM(A11))&gt;0</formula>
    </cfRule>
  </conditionalFormatting>
  <pageMargins left="0.38" right="0.31496062992125984" top="0.98" bottom="0.59055118110236227" header="0.11811023622047245" footer="0.11811023622047245"/>
  <pageSetup paperSize="9" fitToWidth="0" orientation="portrait" horizont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">
    <tabColor rgb="FFFFFF00"/>
  </sheetPr>
  <dimension ref="B1:AB550"/>
  <sheetViews>
    <sheetView view="pageBreakPreview" topLeftCell="A28" zoomScaleSheetLayoutView="100" workbookViewId="0">
      <selection activeCell="O48" sqref="O48"/>
    </sheetView>
  </sheetViews>
  <sheetFormatPr defaultRowHeight="15" x14ac:dyDescent="0.3"/>
  <cols>
    <col min="1" max="8" width="9.140625" style="44"/>
    <col min="9" max="9" width="9.140625" style="44" customWidth="1"/>
    <col min="10" max="10" width="12.5703125" style="44" customWidth="1"/>
    <col min="11" max="116" width="9.140625" style="44"/>
    <col min="117" max="117" width="9.140625" style="44" customWidth="1"/>
    <col min="118" max="118" width="4.7109375" style="44" customWidth="1"/>
    <col min="119" max="125" width="9.140625" style="44"/>
    <col min="126" max="127" width="10.85546875" style="44" customWidth="1"/>
    <col min="128" max="128" width="9.140625" style="44" customWidth="1"/>
    <col min="129" max="129" width="9.140625" style="44"/>
    <col min="130" max="134" width="10" style="44" customWidth="1"/>
    <col min="135" max="136" width="9.140625" style="44" customWidth="1"/>
    <col min="137" max="137" width="21.42578125" style="44" customWidth="1"/>
    <col min="138" max="138" width="12.85546875" style="44" customWidth="1"/>
    <col min="139" max="139" width="10.42578125" style="44" bestFit="1" customWidth="1"/>
    <col min="140" max="140" width="10.5703125" style="44" customWidth="1"/>
    <col min="141" max="141" width="12.85546875" style="44" customWidth="1"/>
    <col min="142" max="142" width="10" style="44" customWidth="1"/>
    <col min="143" max="143" width="8.5703125" style="44" customWidth="1"/>
    <col min="144" max="144" width="4.28515625" style="44" customWidth="1"/>
    <col min="145" max="145" width="21.42578125" style="44" customWidth="1"/>
    <col min="146" max="147" width="14.28515625" style="44" customWidth="1"/>
    <col min="148" max="148" width="14.28515625" style="44" bestFit="1" customWidth="1"/>
    <col min="149" max="149" width="14.28515625" style="44" customWidth="1"/>
    <col min="150" max="150" width="2.85546875" style="44" customWidth="1"/>
    <col min="151" max="151" width="3.28515625" style="44" customWidth="1"/>
    <col min="152" max="152" width="26.5703125" style="44" customWidth="1"/>
    <col min="153" max="153" width="9.42578125" style="44" customWidth="1"/>
    <col min="154" max="155" width="9.7109375" style="44" customWidth="1"/>
    <col min="156" max="156" width="28.28515625" style="44" customWidth="1"/>
    <col min="157" max="193" width="9.140625" style="44"/>
    <col min="194" max="194" width="27.140625" style="44" customWidth="1"/>
    <col min="195" max="195" width="14.28515625" style="44" customWidth="1"/>
    <col min="196" max="196" width="12.5703125" style="44" customWidth="1"/>
    <col min="197" max="197" width="9.140625" style="44" customWidth="1"/>
    <col min="198" max="209" width="9.140625" style="44"/>
    <col min="210" max="210" width="27.140625" style="44" customWidth="1"/>
    <col min="211" max="211" width="13.28515625" style="44" bestFit="1" customWidth="1"/>
    <col min="212" max="249" width="9.140625" style="44"/>
    <col min="250" max="250" width="10.42578125" style="44" customWidth="1"/>
    <col min="251" max="266" width="0" style="44" hidden="1" customWidth="1"/>
    <col min="267" max="372" width="9.140625" style="44"/>
    <col min="373" max="373" width="9.140625" style="44" customWidth="1"/>
    <col min="374" max="374" width="4.7109375" style="44" customWidth="1"/>
    <col min="375" max="381" width="9.140625" style="44"/>
    <col min="382" max="383" width="10.85546875" style="44" customWidth="1"/>
    <col min="384" max="384" width="9.140625" style="44" customWidth="1"/>
    <col min="385" max="385" width="9.140625" style="44"/>
    <col min="386" max="390" width="10" style="44" customWidth="1"/>
    <col min="391" max="392" width="9.140625" style="44" customWidth="1"/>
    <col min="393" max="393" width="21.42578125" style="44" customWidth="1"/>
    <col min="394" max="394" width="12.85546875" style="44" customWidth="1"/>
    <col min="395" max="395" width="10.42578125" style="44" bestFit="1" customWidth="1"/>
    <col min="396" max="396" width="10.5703125" style="44" customWidth="1"/>
    <col min="397" max="397" width="12.85546875" style="44" customWidth="1"/>
    <col min="398" max="398" width="10" style="44" customWidth="1"/>
    <col min="399" max="399" width="8.5703125" style="44" customWidth="1"/>
    <col min="400" max="400" width="4.28515625" style="44" customWidth="1"/>
    <col min="401" max="401" width="21.42578125" style="44" customWidth="1"/>
    <col min="402" max="403" width="14.28515625" style="44" customWidth="1"/>
    <col min="404" max="404" width="14.28515625" style="44" bestFit="1" customWidth="1"/>
    <col min="405" max="405" width="14.28515625" style="44" customWidth="1"/>
    <col min="406" max="406" width="2.85546875" style="44" customWidth="1"/>
    <col min="407" max="407" width="3.28515625" style="44" customWidth="1"/>
    <col min="408" max="408" width="26.5703125" style="44" customWidth="1"/>
    <col min="409" max="409" width="9.42578125" style="44" customWidth="1"/>
    <col min="410" max="411" width="9.7109375" style="44" customWidth="1"/>
    <col min="412" max="412" width="28.28515625" style="44" customWidth="1"/>
    <col min="413" max="449" width="9.140625" style="44"/>
    <col min="450" max="450" width="27.140625" style="44" customWidth="1"/>
    <col min="451" max="451" width="14.28515625" style="44" customWidth="1"/>
    <col min="452" max="452" width="12.5703125" style="44" customWidth="1"/>
    <col min="453" max="453" width="9.140625" style="44" customWidth="1"/>
    <col min="454" max="465" width="9.140625" style="44"/>
    <col min="466" max="466" width="27.140625" style="44" customWidth="1"/>
    <col min="467" max="467" width="13.28515625" style="44" bestFit="1" customWidth="1"/>
    <col min="468" max="505" width="9.140625" style="44"/>
    <col min="506" max="506" width="10.42578125" style="44" customWidth="1"/>
    <col min="507" max="522" width="0" style="44" hidden="1" customWidth="1"/>
    <col min="523" max="628" width="9.140625" style="44"/>
    <col min="629" max="629" width="9.140625" style="44" customWidth="1"/>
    <col min="630" max="630" width="4.7109375" style="44" customWidth="1"/>
    <col min="631" max="637" width="9.140625" style="44"/>
    <col min="638" max="639" width="10.85546875" style="44" customWidth="1"/>
    <col min="640" max="640" width="9.140625" style="44" customWidth="1"/>
    <col min="641" max="641" width="9.140625" style="44"/>
    <col min="642" max="646" width="10" style="44" customWidth="1"/>
    <col min="647" max="648" width="9.140625" style="44" customWidth="1"/>
    <col min="649" max="649" width="21.42578125" style="44" customWidth="1"/>
    <col min="650" max="650" width="12.85546875" style="44" customWidth="1"/>
    <col min="651" max="651" width="10.42578125" style="44" bestFit="1" customWidth="1"/>
    <col min="652" max="652" width="10.5703125" style="44" customWidth="1"/>
    <col min="653" max="653" width="12.85546875" style="44" customWidth="1"/>
    <col min="654" max="654" width="10" style="44" customWidth="1"/>
    <col min="655" max="655" width="8.5703125" style="44" customWidth="1"/>
    <col min="656" max="656" width="4.28515625" style="44" customWidth="1"/>
    <col min="657" max="657" width="21.42578125" style="44" customWidth="1"/>
    <col min="658" max="659" width="14.28515625" style="44" customWidth="1"/>
    <col min="660" max="660" width="14.28515625" style="44" bestFit="1" customWidth="1"/>
    <col min="661" max="661" width="14.28515625" style="44" customWidth="1"/>
    <col min="662" max="662" width="2.85546875" style="44" customWidth="1"/>
    <col min="663" max="663" width="3.28515625" style="44" customWidth="1"/>
    <col min="664" max="664" width="26.5703125" style="44" customWidth="1"/>
    <col min="665" max="665" width="9.42578125" style="44" customWidth="1"/>
    <col min="666" max="667" width="9.7109375" style="44" customWidth="1"/>
    <col min="668" max="668" width="28.28515625" style="44" customWidth="1"/>
    <col min="669" max="705" width="9.140625" style="44"/>
    <col min="706" max="706" width="27.140625" style="44" customWidth="1"/>
    <col min="707" max="707" width="14.28515625" style="44" customWidth="1"/>
    <col min="708" max="708" width="12.5703125" style="44" customWidth="1"/>
    <col min="709" max="709" width="9.140625" style="44" customWidth="1"/>
    <col min="710" max="721" width="9.140625" style="44"/>
    <col min="722" max="722" width="27.140625" style="44" customWidth="1"/>
    <col min="723" max="723" width="13.28515625" style="44" bestFit="1" customWidth="1"/>
    <col min="724" max="761" width="9.140625" style="44"/>
    <col min="762" max="762" width="10.42578125" style="44" customWidth="1"/>
    <col min="763" max="778" width="0" style="44" hidden="1" customWidth="1"/>
    <col min="779" max="884" width="9.140625" style="44"/>
    <col min="885" max="885" width="9.140625" style="44" customWidth="1"/>
    <col min="886" max="886" width="4.7109375" style="44" customWidth="1"/>
    <col min="887" max="893" width="9.140625" style="44"/>
    <col min="894" max="895" width="10.85546875" style="44" customWidth="1"/>
    <col min="896" max="896" width="9.140625" style="44" customWidth="1"/>
    <col min="897" max="897" width="9.140625" style="44"/>
    <col min="898" max="902" width="10" style="44" customWidth="1"/>
    <col min="903" max="904" width="9.140625" style="44" customWidth="1"/>
    <col min="905" max="905" width="21.42578125" style="44" customWidth="1"/>
    <col min="906" max="906" width="12.85546875" style="44" customWidth="1"/>
    <col min="907" max="907" width="10.42578125" style="44" bestFit="1" customWidth="1"/>
    <col min="908" max="908" width="10.5703125" style="44" customWidth="1"/>
    <col min="909" max="909" width="12.85546875" style="44" customWidth="1"/>
    <col min="910" max="910" width="10" style="44" customWidth="1"/>
    <col min="911" max="911" width="8.5703125" style="44" customWidth="1"/>
    <col min="912" max="912" width="4.28515625" style="44" customWidth="1"/>
    <col min="913" max="913" width="21.42578125" style="44" customWidth="1"/>
    <col min="914" max="915" width="14.28515625" style="44" customWidth="1"/>
    <col min="916" max="916" width="14.28515625" style="44" bestFit="1" customWidth="1"/>
    <col min="917" max="917" width="14.28515625" style="44" customWidth="1"/>
    <col min="918" max="918" width="2.85546875" style="44" customWidth="1"/>
    <col min="919" max="919" width="3.28515625" style="44" customWidth="1"/>
    <col min="920" max="920" width="26.5703125" style="44" customWidth="1"/>
    <col min="921" max="921" width="9.42578125" style="44" customWidth="1"/>
    <col min="922" max="923" width="9.7109375" style="44" customWidth="1"/>
    <col min="924" max="924" width="28.28515625" style="44" customWidth="1"/>
    <col min="925" max="961" width="9.140625" style="44"/>
    <col min="962" max="962" width="27.140625" style="44" customWidth="1"/>
    <col min="963" max="963" width="14.28515625" style="44" customWidth="1"/>
    <col min="964" max="964" width="12.5703125" style="44" customWidth="1"/>
    <col min="965" max="965" width="9.140625" style="44" customWidth="1"/>
    <col min="966" max="977" width="9.140625" style="44"/>
    <col min="978" max="978" width="27.140625" style="44" customWidth="1"/>
    <col min="979" max="979" width="13.28515625" style="44" bestFit="1" customWidth="1"/>
    <col min="980" max="1017" width="9.140625" style="44"/>
    <col min="1018" max="1018" width="10.42578125" style="44" customWidth="1"/>
    <col min="1019" max="1034" width="0" style="44" hidden="1" customWidth="1"/>
    <col min="1035" max="1140" width="9.140625" style="44"/>
    <col min="1141" max="1141" width="9.140625" style="44" customWidth="1"/>
    <col min="1142" max="1142" width="4.7109375" style="44" customWidth="1"/>
    <col min="1143" max="1149" width="9.140625" style="44"/>
    <col min="1150" max="1151" width="10.85546875" style="44" customWidth="1"/>
    <col min="1152" max="1152" width="9.140625" style="44" customWidth="1"/>
    <col min="1153" max="1153" width="9.140625" style="44"/>
    <col min="1154" max="1158" width="10" style="44" customWidth="1"/>
    <col min="1159" max="1160" width="9.140625" style="44" customWidth="1"/>
    <col min="1161" max="1161" width="21.42578125" style="44" customWidth="1"/>
    <col min="1162" max="1162" width="12.85546875" style="44" customWidth="1"/>
    <col min="1163" max="1163" width="10.42578125" style="44" bestFit="1" customWidth="1"/>
    <col min="1164" max="1164" width="10.5703125" style="44" customWidth="1"/>
    <col min="1165" max="1165" width="12.85546875" style="44" customWidth="1"/>
    <col min="1166" max="1166" width="10" style="44" customWidth="1"/>
    <col min="1167" max="1167" width="8.5703125" style="44" customWidth="1"/>
    <col min="1168" max="1168" width="4.28515625" style="44" customWidth="1"/>
    <col min="1169" max="1169" width="21.42578125" style="44" customWidth="1"/>
    <col min="1170" max="1171" width="14.28515625" style="44" customWidth="1"/>
    <col min="1172" max="1172" width="14.28515625" style="44" bestFit="1" customWidth="1"/>
    <col min="1173" max="1173" width="14.28515625" style="44" customWidth="1"/>
    <col min="1174" max="1174" width="2.85546875" style="44" customWidth="1"/>
    <col min="1175" max="1175" width="3.28515625" style="44" customWidth="1"/>
    <col min="1176" max="1176" width="26.5703125" style="44" customWidth="1"/>
    <col min="1177" max="1177" width="9.42578125" style="44" customWidth="1"/>
    <col min="1178" max="1179" width="9.7109375" style="44" customWidth="1"/>
    <col min="1180" max="1180" width="28.28515625" style="44" customWidth="1"/>
    <col min="1181" max="1217" width="9.140625" style="44"/>
    <col min="1218" max="1218" width="27.140625" style="44" customWidth="1"/>
    <col min="1219" max="1219" width="14.28515625" style="44" customWidth="1"/>
    <col min="1220" max="1220" width="12.5703125" style="44" customWidth="1"/>
    <col min="1221" max="1221" width="9.140625" style="44" customWidth="1"/>
    <col min="1222" max="1233" width="9.140625" style="44"/>
    <col min="1234" max="1234" width="27.140625" style="44" customWidth="1"/>
    <col min="1235" max="1235" width="13.28515625" style="44" bestFit="1" customWidth="1"/>
    <col min="1236" max="1273" width="9.140625" style="44"/>
    <col min="1274" max="1274" width="10.42578125" style="44" customWidth="1"/>
    <col min="1275" max="1290" width="0" style="44" hidden="1" customWidth="1"/>
    <col min="1291" max="1396" width="9.140625" style="44"/>
    <col min="1397" max="1397" width="9.140625" style="44" customWidth="1"/>
    <col min="1398" max="1398" width="4.7109375" style="44" customWidth="1"/>
    <col min="1399" max="1405" width="9.140625" style="44"/>
    <col min="1406" max="1407" width="10.85546875" style="44" customWidth="1"/>
    <col min="1408" max="1408" width="9.140625" style="44" customWidth="1"/>
    <col min="1409" max="1409" width="9.140625" style="44"/>
    <col min="1410" max="1414" width="10" style="44" customWidth="1"/>
    <col min="1415" max="1416" width="9.140625" style="44" customWidth="1"/>
    <col min="1417" max="1417" width="21.42578125" style="44" customWidth="1"/>
    <col min="1418" max="1418" width="12.85546875" style="44" customWidth="1"/>
    <col min="1419" max="1419" width="10.42578125" style="44" bestFit="1" customWidth="1"/>
    <col min="1420" max="1420" width="10.5703125" style="44" customWidth="1"/>
    <col min="1421" max="1421" width="12.85546875" style="44" customWidth="1"/>
    <col min="1422" max="1422" width="10" style="44" customWidth="1"/>
    <col min="1423" max="1423" width="8.5703125" style="44" customWidth="1"/>
    <col min="1424" max="1424" width="4.28515625" style="44" customWidth="1"/>
    <col min="1425" max="1425" width="21.42578125" style="44" customWidth="1"/>
    <col min="1426" max="1427" width="14.28515625" style="44" customWidth="1"/>
    <col min="1428" max="1428" width="14.28515625" style="44" bestFit="1" customWidth="1"/>
    <col min="1429" max="1429" width="14.28515625" style="44" customWidth="1"/>
    <col min="1430" max="1430" width="2.85546875" style="44" customWidth="1"/>
    <col min="1431" max="1431" width="3.28515625" style="44" customWidth="1"/>
    <col min="1432" max="1432" width="26.5703125" style="44" customWidth="1"/>
    <col min="1433" max="1433" width="9.42578125" style="44" customWidth="1"/>
    <col min="1434" max="1435" width="9.7109375" style="44" customWidth="1"/>
    <col min="1436" max="1436" width="28.28515625" style="44" customWidth="1"/>
    <col min="1437" max="1473" width="9.140625" style="44"/>
    <col min="1474" max="1474" width="27.140625" style="44" customWidth="1"/>
    <col min="1475" max="1475" width="14.28515625" style="44" customWidth="1"/>
    <col min="1476" max="1476" width="12.5703125" style="44" customWidth="1"/>
    <col min="1477" max="1477" width="9.140625" style="44" customWidth="1"/>
    <col min="1478" max="1489" width="9.140625" style="44"/>
    <col min="1490" max="1490" width="27.140625" style="44" customWidth="1"/>
    <col min="1491" max="1491" width="13.28515625" style="44" bestFit="1" customWidth="1"/>
    <col min="1492" max="1529" width="9.140625" style="44"/>
    <col min="1530" max="1530" width="10.42578125" style="44" customWidth="1"/>
    <col min="1531" max="1546" width="0" style="44" hidden="1" customWidth="1"/>
    <col min="1547" max="1652" width="9.140625" style="44"/>
    <col min="1653" max="1653" width="9.140625" style="44" customWidth="1"/>
    <col min="1654" max="1654" width="4.7109375" style="44" customWidth="1"/>
    <col min="1655" max="1661" width="9.140625" style="44"/>
    <col min="1662" max="1663" width="10.85546875" style="44" customWidth="1"/>
    <col min="1664" max="1664" width="9.140625" style="44" customWidth="1"/>
    <col min="1665" max="1665" width="9.140625" style="44"/>
    <col min="1666" max="1670" width="10" style="44" customWidth="1"/>
    <col min="1671" max="1672" width="9.140625" style="44" customWidth="1"/>
    <col min="1673" max="1673" width="21.42578125" style="44" customWidth="1"/>
    <col min="1674" max="1674" width="12.85546875" style="44" customWidth="1"/>
    <col min="1675" max="1675" width="10.42578125" style="44" bestFit="1" customWidth="1"/>
    <col min="1676" max="1676" width="10.5703125" style="44" customWidth="1"/>
    <col min="1677" max="1677" width="12.85546875" style="44" customWidth="1"/>
    <col min="1678" max="1678" width="10" style="44" customWidth="1"/>
    <col min="1679" max="1679" width="8.5703125" style="44" customWidth="1"/>
    <col min="1680" max="1680" width="4.28515625" style="44" customWidth="1"/>
    <col min="1681" max="1681" width="21.42578125" style="44" customWidth="1"/>
    <col min="1682" max="1683" width="14.28515625" style="44" customWidth="1"/>
    <col min="1684" max="1684" width="14.28515625" style="44" bestFit="1" customWidth="1"/>
    <col min="1685" max="1685" width="14.28515625" style="44" customWidth="1"/>
    <col min="1686" max="1686" width="2.85546875" style="44" customWidth="1"/>
    <col min="1687" max="1687" width="3.28515625" style="44" customWidth="1"/>
    <col min="1688" max="1688" width="26.5703125" style="44" customWidth="1"/>
    <col min="1689" max="1689" width="9.42578125" style="44" customWidth="1"/>
    <col min="1690" max="1691" width="9.7109375" style="44" customWidth="1"/>
    <col min="1692" max="1692" width="28.28515625" style="44" customWidth="1"/>
    <col min="1693" max="1729" width="9.140625" style="44"/>
    <col min="1730" max="1730" width="27.140625" style="44" customWidth="1"/>
    <col min="1731" max="1731" width="14.28515625" style="44" customWidth="1"/>
    <col min="1732" max="1732" width="12.5703125" style="44" customWidth="1"/>
    <col min="1733" max="1733" width="9.140625" style="44" customWidth="1"/>
    <col min="1734" max="1745" width="9.140625" style="44"/>
    <col min="1746" max="1746" width="27.140625" style="44" customWidth="1"/>
    <col min="1747" max="1747" width="13.28515625" style="44" bestFit="1" customWidth="1"/>
    <col min="1748" max="1785" width="9.140625" style="44"/>
    <col min="1786" max="1786" width="10.42578125" style="44" customWidth="1"/>
    <col min="1787" max="1802" width="0" style="44" hidden="1" customWidth="1"/>
    <col min="1803" max="1908" width="9.140625" style="44"/>
    <col min="1909" max="1909" width="9.140625" style="44" customWidth="1"/>
    <col min="1910" max="1910" width="4.7109375" style="44" customWidth="1"/>
    <col min="1911" max="1917" width="9.140625" style="44"/>
    <col min="1918" max="1919" width="10.85546875" style="44" customWidth="1"/>
    <col min="1920" max="1920" width="9.140625" style="44" customWidth="1"/>
    <col min="1921" max="1921" width="9.140625" style="44"/>
    <col min="1922" max="1926" width="10" style="44" customWidth="1"/>
    <col min="1927" max="1928" width="9.140625" style="44" customWidth="1"/>
    <col min="1929" max="1929" width="21.42578125" style="44" customWidth="1"/>
    <col min="1930" max="1930" width="12.85546875" style="44" customWidth="1"/>
    <col min="1931" max="1931" width="10.42578125" style="44" bestFit="1" customWidth="1"/>
    <col min="1932" max="1932" width="10.5703125" style="44" customWidth="1"/>
    <col min="1933" max="1933" width="12.85546875" style="44" customWidth="1"/>
    <col min="1934" max="1934" width="10" style="44" customWidth="1"/>
    <col min="1935" max="1935" width="8.5703125" style="44" customWidth="1"/>
    <col min="1936" max="1936" width="4.28515625" style="44" customWidth="1"/>
    <col min="1937" max="1937" width="21.42578125" style="44" customWidth="1"/>
    <col min="1938" max="1939" width="14.28515625" style="44" customWidth="1"/>
    <col min="1940" max="1940" width="14.28515625" style="44" bestFit="1" customWidth="1"/>
    <col min="1941" max="1941" width="14.28515625" style="44" customWidth="1"/>
    <col min="1942" max="1942" width="2.85546875" style="44" customWidth="1"/>
    <col min="1943" max="1943" width="3.28515625" style="44" customWidth="1"/>
    <col min="1944" max="1944" width="26.5703125" style="44" customWidth="1"/>
    <col min="1945" max="1945" width="9.42578125" style="44" customWidth="1"/>
    <col min="1946" max="1947" width="9.7109375" style="44" customWidth="1"/>
    <col min="1948" max="1948" width="28.28515625" style="44" customWidth="1"/>
    <col min="1949" max="1985" width="9.140625" style="44"/>
    <col min="1986" max="1986" width="27.140625" style="44" customWidth="1"/>
    <col min="1987" max="1987" width="14.28515625" style="44" customWidth="1"/>
    <col min="1988" max="1988" width="12.5703125" style="44" customWidth="1"/>
    <col min="1989" max="1989" width="9.140625" style="44" customWidth="1"/>
    <col min="1990" max="2001" width="9.140625" style="44"/>
    <col min="2002" max="2002" width="27.140625" style="44" customWidth="1"/>
    <col min="2003" max="2003" width="13.28515625" style="44" bestFit="1" customWidth="1"/>
    <col min="2004" max="2041" width="9.140625" style="44"/>
    <col min="2042" max="2042" width="10.42578125" style="44" customWidth="1"/>
    <col min="2043" max="2058" width="0" style="44" hidden="1" customWidth="1"/>
    <col min="2059" max="2164" width="9.140625" style="44"/>
    <col min="2165" max="2165" width="9.140625" style="44" customWidth="1"/>
    <col min="2166" max="2166" width="4.7109375" style="44" customWidth="1"/>
    <col min="2167" max="2173" width="9.140625" style="44"/>
    <col min="2174" max="2175" width="10.85546875" style="44" customWidth="1"/>
    <col min="2176" max="2176" width="9.140625" style="44" customWidth="1"/>
    <col min="2177" max="2177" width="9.140625" style="44"/>
    <col min="2178" max="2182" width="10" style="44" customWidth="1"/>
    <col min="2183" max="2184" width="9.140625" style="44" customWidth="1"/>
    <col min="2185" max="2185" width="21.42578125" style="44" customWidth="1"/>
    <col min="2186" max="2186" width="12.85546875" style="44" customWidth="1"/>
    <col min="2187" max="2187" width="10.42578125" style="44" bestFit="1" customWidth="1"/>
    <col min="2188" max="2188" width="10.5703125" style="44" customWidth="1"/>
    <col min="2189" max="2189" width="12.85546875" style="44" customWidth="1"/>
    <col min="2190" max="2190" width="10" style="44" customWidth="1"/>
    <col min="2191" max="2191" width="8.5703125" style="44" customWidth="1"/>
    <col min="2192" max="2192" width="4.28515625" style="44" customWidth="1"/>
    <col min="2193" max="2193" width="21.42578125" style="44" customWidth="1"/>
    <col min="2194" max="2195" width="14.28515625" style="44" customWidth="1"/>
    <col min="2196" max="2196" width="14.28515625" style="44" bestFit="1" customWidth="1"/>
    <col min="2197" max="2197" width="14.28515625" style="44" customWidth="1"/>
    <col min="2198" max="2198" width="2.85546875" style="44" customWidth="1"/>
    <col min="2199" max="2199" width="3.28515625" style="44" customWidth="1"/>
    <col min="2200" max="2200" width="26.5703125" style="44" customWidth="1"/>
    <col min="2201" max="2201" width="9.42578125" style="44" customWidth="1"/>
    <col min="2202" max="2203" width="9.7109375" style="44" customWidth="1"/>
    <col min="2204" max="2204" width="28.28515625" style="44" customWidth="1"/>
    <col min="2205" max="2241" width="9.140625" style="44"/>
    <col min="2242" max="2242" width="27.140625" style="44" customWidth="1"/>
    <col min="2243" max="2243" width="14.28515625" style="44" customWidth="1"/>
    <col min="2244" max="2244" width="12.5703125" style="44" customWidth="1"/>
    <col min="2245" max="2245" width="9.140625" style="44" customWidth="1"/>
    <col min="2246" max="2257" width="9.140625" style="44"/>
    <col min="2258" max="2258" width="27.140625" style="44" customWidth="1"/>
    <col min="2259" max="2259" width="13.28515625" style="44" bestFit="1" customWidth="1"/>
    <col min="2260" max="2297" width="9.140625" style="44"/>
    <col min="2298" max="2298" width="10.42578125" style="44" customWidth="1"/>
    <col min="2299" max="2314" width="0" style="44" hidden="1" customWidth="1"/>
    <col min="2315" max="2420" width="9.140625" style="44"/>
    <col min="2421" max="2421" width="9.140625" style="44" customWidth="1"/>
    <col min="2422" max="2422" width="4.7109375" style="44" customWidth="1"/>
    <col min="2423" max="2429" width="9.140625" style="44"/>
    <col min="2430" max="2431" width="10.85546875" style="44" customWidth="1"/>
    <col min="2432" max="2432" width="9.140625" style="44" customWidth="1"/>
    <col min="2433" max="2433" width="9.140625" style="44"/>
    <col min="2434" max="2438" width="10" style="44" customWidth="1"/>
    <col min="2439" max="2440" width="9.140625" style="44" customWidth="1"/>
    <col min="2441" max="2441" width="21.42578125" style="44" customWidth="1"/>
    <col min="2442" max="2442" width="12.85546875" style="44" customWidth="1"/>
    <col min="2443" max="2443" width="10.42578125" style="44" bestFit="1" customWidth="1"/>
    <col min="2444" max="2444" width="10.5703125" style="44" customWidth="1"/>
    <col min="2445" max="2445" width="12.85546875" style="44" customWidth="1"/>
    <col min="2446" max="2446" width="10" style="44" customWidth="1"/>
    <col min="2447" max="2447" width="8.5703125" style="44" customWidth="1"/>
    <col min="2448" max="2448" width="4.28515625" style="44" customWidth="1"/>
    <col min="2449" max="2449" width="21.42578125" style="44" customWidth="1"/>
    <col min="2450" max="2451" width="14.28515625" style="44" customWidth="1"/>
    <col min="2452" max="2452" width="14.28515625" style="44" bestFit="1" customWidth="1"/>
    <col min="2453" max="2453" width="14.28515625" style="44" customWidth="1"/>
    <col min="2454" max="2454" width="2.85546875" style="44" customWidth="1"/>
    <col min="2455" max="2455" width="3.28515625" style="44" customWidth="1"/>
    <col min="2456" max="2456" width="26.5703125" style="44" customWidth="1"/>
    <col min="2457" max="2457" width="9.42578125" style="44" customWidth="1"/>
    <col min="2458" max="2459" width="9.7109375" style="44" customWidth="1"/>
    <col min="2460" max="2460" width="28.28515625" style="44" customWidth="1"/>
    <col min="2461" max="2497" width="9.140625" style="44"/>
    <col min="2498" max="2498" width="27.140625" style="44" customWidth="1"/>
    <col min="2499" max="2499" width="14.28515625" style="44" customWidth="1"/>
    <col min="2500" max="2500" width="12.5703125" style="44" customWidth="1"/>
    <col min="2501" max="2501" width="9.140625" style="44" customWidth="1"/>
    <col min="2502" max="2513" width="9.140625" style="44"/>
    <col min="2514" max="2514" width="27.140625" style="44" customWidth="1"/>
    <col min="2515" max="2515" width="13.28515625" style="44" bestFit="1" customWidth="1"/>
    <col min="2516" max="2553" width="9.140625" style="44"/>
    <col min="2554" max="2554" width="10.42578125" style="44" customWidth="1"/>
    <col min="2555" max="2570" width="0" style="44" hidden="1" customWidth="1"/>
    <col min="2571" max="2676" width="9.140625" style="44"/>
    <col min="2677" max="2677" width="9.140625" style="44" customWidth="1"/>
    <col min="2678" max="2678" width="4.7109375" style="44" customWidth="1"/>
    <col min="2679" max="2685" width="9.140625" style="44"/>
    <col min="2686" max="2687" width="10.85546875" style="44" customWidth="1"/>
    <col min="2688" max="2688" width="9.140625" style="44" customWidth="1"/>
    <col min="2689" max="2689" width="9.140625" style="44"/>
    <col min="2690" max="2694" width="10" style="44" customWidth="1"/>
    <col min="2695" max="2696" width="9.140625" style="44" customWidth="1"/>
    <col min="2697" max="2697" width="21.42578125" style="44" customWidth="1"/>
    <col min="2698" max="2698" width="12.85546875" style="44" customWidth="1"/>
    <col min="2699" max="2699" width="10.42578125" style="44" bestFit="1" customWidth="1"/>
    <col min="2700" max="2700" width="10.5703125" style="44" customWidth="1"/>
    <col min="2701" max="2701" width="12.85546875" style="44" customWidth="1"/>
    <col min="2702" max="2702" width="10" style="44" customWidth="1"/>
    <col min="2703" max="2703" width="8.5703125" style="44" customWidth="1"/>
    <col min="2704" max="2704" width="4.28515625" style="44" customWidth="1"/>
    <col min="2705" max="2705" width="21.42578125" style="44" customWidth="1"/>
    <col min="2706" max="2707" width="14.28515625" style="44" customWidth="1"/>
    <col min="2708" max="2708" width="14.28515625" style="44" bestFit="1" customWidth="1"/>
    <col min="2709" max="2709" width="14.28515625" style="44" customWidth="1"/>
    <col min="2710" max="2710" width="2.85546875" style="44" customWidth="1"/>
    <col min="2711" max="2711" width="3.28515625" style="44" customWidth="1"/>
    <col min="2712" max="2712" width="26.5703125" style="44" customWidth="1"/>
    <col min="2713" max="2713" width="9.42578125" style="44" customWidth="1"/>
    <col min="2714" max="2715" width="9.7109375" style="44" customWidth="1"/>
    <col min="2716" max="2716" width="28.28515625" style="44" customWidth="1"/>
    <col min="2717" max="2753" width="9.140625" style="44"/>
    <col min="2754" max="2754" width="27.140625" style="44" customWidth="1"/>
    <col min="2755" max="2755" width="14.28515625" style="44" customWidth="1"/>
    <col min="2756" max="2756" width="12.5703125" style="44" customWidth="1"/>
    <col min="2757" max="2757" width="9.140625" style="44" customWidth="1"/>
    <col min="2758" max="2769" width="9.140625" style="44"/>
    <col min="2770" max="2770" width="27.140625" style="44" customWidth="1"/>
    <col min="2771" max="2771" width="13.28515625" style="44" bestFit="1" customWidth="1"/>
    <col min="2772" max="2809" width="9.140625" style="44"/>
    <col min="2810" max="2810" width="10.42578125" style="44" customWidth="1"/>
    <col min="2811" max="2826" width="0" style="44" hidden="1" customWidth="1"/>
    <col min="2827" max="2932" width="9.140625" style="44"/>
    <col min="2933" max="2933" width="9.140625" style="44" customWidth="1"/>
    <col min="2934" max="2934" width="4.7109375" style="44" customWidth="1"/>
    <col min="2935" max="2941" width="9.140625" style="44"/>
    <col min="2942" max="2943" width="10.85546875" style="44" customWidth="1"/>
    <col min="2944" max="2944" width="9.140625" style="44" customWidth="1"/>
    <col min="2945" max="2945" width="9.140625" style="44"/>
    <col min="2946" max="2950" width="10" style="44" customWidth="1"/>
    <col min="2951" max="2952" width="9.140625" style="44" customWidth="1"/>
    <col min="2953" max="2953" width="21.42578125" style="44" customWidth="1"/>
    <col min="2954" max="2954" width="12.85546875" style="44" customWidth="1"/>
    <col min="2955" max="2955" width="10.42578125" style="44" bestFit="1" customWidth="1"/>
    <col min="2956" max="2956" width="10.5703125" style="44" customWidth="1"/>
    <col min="2957" max="2957" width="12.85546875" style="44" customWidth="1"/>
    <col min="2958" max="2958" width="10" style="44" customWidth="1"/>
    <col min="2959" max="2959" width="8.5703125" style="44" customWidth="1"/>
    <col min="2960" max="2960" width="4.28515625" style="44" customWidth="1"/>
    <col min="2961" max="2961" width="21.42578125" style="44" customWidth="1"/>
    <col min="2962" max="2963" width="14.28515625" style="44" customWidth="1"/>
    <col min="2964" max="2964" width="14.28515625" style="44" bestFit="1" customWidth="1"/>
    <col min="2965" max="2965" width="14.28515625" style="44" customWidth="1"/>
    <col min="2966" max="2966" width="2.85546875" style="44" customWidth="1"/>
    <col min="2967" max="2967" width="3.28515625" style="44" customWidth="1"/>
    <col min="2968" max="2968" width="26.5703125" style="44" customWidth="1"/>
    <col min="2969" max="2969" width="9.42578125" style="44" customWidth="1"/>
    <col min="2970" max="2971" width="9.7109375" style="44" customWidth="1"/>
    <col min="2972" max="2972" width="28.28515625" style="44" customWidth="1"/>
    <col min="2973" max="3009" width="9.140625" style="44"/>
    <col min="3010" max="3010" width="27.140625" style="44" customWidth="1"/>
    <col min="3011" max="3011" width="14.28515625" style="44" customWidth="1"/>
    <col min="3012" max="3012" width="12.5703125" style="44" customWidth="1"/>
    <col min="3013" max="3013" width="9.140625" style="44" customWidth="1"/>
    <col min="3014" max="3025" width="9.140625" style="44"/>
    <col min="3026" max="3026" width="27.140625" style="44" customWidth="1"/>
    <col min="3027" max="3027" width="13.28515625" style="44" bestFit="1" customWidth="1"/>
    <col min="3028" max="3065" width="9.140625" style="44"/>
    <col min="3066" max="3066" width="10.42578125" style="44" customWidth="1"/>
    <col min="3067" max="3082" width="0" style="44" hidden="1" customWidth="1"/>
    <col min="3083" max="3188" width="9.140625" style="44"/>
    <col min="3189" max="3189" width="9.140625" style="44" customWidth="1"/>
    <col min="3190" max="3190" width="4.7109375" style="44" customWidth="1"/>
    <col min="3191" max="3197" width="9.140625" style="44"/>
    <col min="3198" max="3199" width="10.85546875" style="44" customWidth="1"/>
    <col min="3200" max="3200" width="9.140625" style="44" customWidth="1"/>
    <col min="3201" max="3201" width="9.140625" style="44"/>
    <col min="3202" max="3206" width="10" style="44" customWidth="1"/>
    <col min="3207" max="3208" width="9.140625" style="44" customWidth="1"/>
    <col min="3209" max="3209" width="21.42578125" style="44" customWidth="1"/>
    <col min="3210" max="3210" width="12.85546875" style="44" customWidth="1"/>
    <col min="3211" max="3211" width="10.42578125" style="44" bestFit="1" customWidth="1"/>
    <col min="3212" max="3212" width="10.5703125" style="44" customWidth="1"/>
    <col min="3213" max="3213" width="12.85546875" style="44" customWidth="1"/>
    <col min="3214" max="3214" width="10" style="44" customWidth="1"/>
    <col min="3215" max="3215" width="8.5703125" style="44" customWidth="1"/>
    <col min="3216" max="3216" width="4.28515625" style="44" customWidth="1"/>
    <col min="3217" max="3217" width="21.42578125" style="44" customWidth="1"/>
    <col min="3218" max="3219" width="14.28515625" style="44" customWidth="1"/>
    <col min="3220" max="3220" width="14.28515625" style="44" bestFit="1" customWidth="1"/>
    <col min="3221" max="3221" width="14.28515625" style="44" customWidth="1"/>
    <col min="3222" max="3222" width="2.85546875" style="44" customWidth="1"/>
    <col min="3223" max="3223" width="3.28515625" style="44" customWidth="1"/>
    <col min="3224" max="3224" width="26.5703125" style="44" customWidth="1"/>
    <col min="3225" max="3225" width="9.42578125" style="44" customWidth="1"/>
    <col min="3226" max="3227" width="9.7109375" style="44" customWidth="1"/>
    <col min="3228" max="3228" width="28.28515625" style="44" customWidth="1"/>
    <col min="3229" max="3265" width="9.140625" style="44"/>
    <col min="3266" max="3266" width="27.140625" style="44" customWidth="1"/>
    <col min="3267" max="3267" width="14.28515625" style="44" customWidth="1"/>
    <col min="3268" max="3268" width="12.5703125" style="44" customWidth="1"/>
    <col min="3269" max="3269" width="9.140625" style="44" customWidth="1"/>
    <col min="3270" max="3281" width="9.140625" style="44"/>
    <col min="3282" max="3282" width="27.140625" style="44" customWidth="1"/>
    <col min="3283" max="3283" width="13.28515625" style="44" bestFit="1" customWidth="1"/>
    <col min="3284" max="3321" width="9.140625" style="44"/>
    <col min="3322" max="3322" width="10.42578125" style="44" customWidth="1"/>
    <col min="3323" max="3338" width="0" style="44" hidden="1" customWidth="1"/>
    <col min="3339" max="3444" width="9.140625" style="44"/>
    <col min="3445" max="3445" width="9.140625" style="44" customWidth="1"/>
    <col min="3446" max="3446" width="4.7109375" style="44" customWidth="1"/>
    <col min="3447" max="3453" width="9.140625" style="44"/>
    <col min="3454" max="3455" width="10.85546875" style="44" customWidth="1"/>
    <col min="3456" max="3456" width="9.140625" style="44" customWidth="1"/>
    <col min="3457" max="3457" width="9.140625" style="44"/>
    <col min="3458" max="3462" width="10" style="44" customWidth="1"/>
    <col min="3463" max="3464" width="9.140625" style="44" customWidth="1"/>
    <col min="3465" max="3465" width="21.42578125" style="44" customWidth="1"/>
    <col min="3466" max="3466" width="12.85546875" style="44" customWidth="1"/>
    <col min="3467" max="3467" width="10.42578125" style="44" bestFit="1" customWidth="1"/>
    <col min="3468" max="3468" width="10.5703125" style="44" customWidth="1"/>
    <col min="3469" max="3469" width="12.85546875" style="44" customWidth="1"/>
    <col min="3470" max="3470" width="10" style="44" customWidth="1"/>
    <col min="3471" max="3471" width="8.5703125" style="44" customWidth="1"/>
    <col min="3472" max="3472" width="4.28515625" style="44" customWidth="1"/>
    <col min="3473" max="3473" width="21.42578125" style="44" customWidth="1"/>
    <col min="3474" max="3475" width="14.28515625" style="44" customWidth="1"/>
    <col min="3476" max="3476" width="14.28515625" style="44" bestFit="1" customWidth="1"/>
    <col min="3477" max="3477" width="14.28515625" style="44" customWidth="1"/>
    <col min="3478" max="3478" width="2.85546875" style="44" customWidth="1"/>
    <col min="3479" max="3479" width="3.28515625" style="44" customWidth="1"/>
    <col min="3480" max="3480" width="26.5703125" style="44" customWidth="1"/>
    <col min="3481" max="3481" width="9.42578125" style="44" customWidth="1"/>
    <col min="3482" max="3483" width="9.7109375" style="44" customWidth="1"/>
    <col min="3484" max="3484" width="28.28515625" style="44" customWidth="1"/>
    <col min="3485" max="3521" width="9.140625" style="44"/>
    <col min="3522" max="3522" width="27.140625" style="44" customWidth="1"/>
    <col min="3523" max="3523" width="14.28515625" style="44" customWidth="1"/>
    <col min="3524" max="3524" width="12.5703125" style="44" customWidth="1"/>
    <col min="3525" max="3525" width="9.140625" style="44" customWidth="1"/>
    <col min="3526" max="3537" width="9.140625" style="44"/>
    <col min="3538" max="3538" width="27.140625" style="44" customWidth="1"/>
    <col min="3539" max="3539" width="13.28515625" style="44" bestFit="1" customWidth="1"/>
    <col min="3540" max="3577" width="9.140625" style="44"/>
    <col min="3578" max="3578" width="10.42578125" style="44" customWidth="1"/>
    <col min="3579" max="3594" width="0" style="44" hidden="1" customWidth="1"/>
    <col min="3595" max="3700" width="9.140625" style="44"/>
    <col min="3701" max="3701" width="9.140625" style="44" customWidth="1"/>
    <col min="3702" max="3702" width="4.7109375" style="44" customWidth="1"/>
    <col min="3703" max="3709" width="9.140625" style="44"/>
    <col min="3710" max="3711" width="10.85546875" style="44" customWidth="1"/>
    <col min="3712" max="3712" width="9.140625" style="44" customWidth="1"/>
    <col min="3713" max="3713" width="9.140625" style="44"/>
    <col min="3714" max="3718" width="10" style="44" customWidth="1"/>
    <col min="3719" max="3720" width="9.140625" style="44" customWidth="1"/>
    <col min="3721" max="3721" width="21.42578125" style="44" customWidth="1"/>
    <col min="3722" max="3722" width="12.85546875" style="44" customWidth="1"/>
    <col min="3723" max="3723" width="10.42578125" style="44" bestFit="1" customWidth="1"/>
    <col min="3724" max="3724" width="10.5703125" style="44" customWidth="1"/>
    <col min="3725" max="3725" width="12.85546875" style="44" customWidth="1"/>
    <col min="3726" max="3726" width="10" style="44" customWidth="1"/>
    <col min="3727" max="3727" width="8.5703125" style="44" customWidth="1"/>
    <col min="3728" max="3728" width="4.28515625" style="44" customWidth="1"/>
    <col min="3729" max="3729" width="21.42578125" style="44" customWidth="1"/>
    <col min="3730" max="3731" width="14.28515625" style="44" customWidth="1"/>
    <col min="3732" max="3732" width="14.28515625" style="44" bestFit="1" customWidth="1"/>
    <col min="3733" max="3733" width="14.28515625" style="44" customWidth="1"/>
    <col min="3734" max="3734" width="2.85546875" style="44" customWidth="1"/>
    <col min="3735" max="3735" width="3.28515625" style="44" customWidth="1"/>
    <col min="3736" max="3736" width="26.5703125" style="44" customWidth="1"/>
    <col min="3737" max="3737" width="9.42578125" style="44" customWidth="1"/>
    <col min="3738" max="3739" width="9.7109375" style="44" customWidth="1"/>
    <col min="3740" max="3740" width="28.28515625" style="44" customWidth="1"/>
    <col min="3741" max="3777" width="9.140625" style="44"/>
    <col min="3778" max="3778" width="27.140625" style="44" customWidth="1"/>
    <col min="3779" max="3779" width="14.28515625" style="44" customWidth="1"/>
    <col min="3780" max="3780" width="12.5703125" style="44" customWidth="1"/>
    <col min="3781" max="3781" width="9.140625" style="44" customWidth="1"/>
    <col min="3782" max="3793" width="9.140625" style="44"/>
    <col min="3794" max="3794" width="27.140625" style="44" customWidth="1"/>
    <col min="3795" max="3795" width="13.28515625" style="44" bestFit="1" customWidth="1"/>
    <col min="3796" max="3833" width="9.140625" style="44"/>
    <col min="3834" max="3834" width="10.42578125" style="44" customWidth="1"/>
    <col min="3835" max="3850" width="0" style="44" hidden="1" customWidth="1"/>
    <col min="3851" max="3956" width="9.140625" style="44"/>
    <col min="3957" max="3957" width="9.140625" style="44" customWidth="1"/>
    <col min="3958" max="3958" width="4.7109375" style="44" customWidth="1"/>
    <col min="3959" max="3965" width="9.140625" style="44"/>
    <col min="3966" max="3967" width="10.85546875" style="44" customWidth="1"/>
    <col min="3968" max="3968" width="9.140625" style="44" customWidth="1"/>
    <col min="3969" max="3969" width="9.140625" style="44"/>
    <col min="3970" max="3974" width="10" style="44" customWidth="1"/>
    <col min="3975" max="3976" width="9.140625" style="44" customWidth="1"/>
    <col min="3977" max="3977" width="21.42578125" style="44" customWidth="1"/>
    <col min="3978" max="3978" width="12.85546875" style="44" customWidth="1"/>
    <col min="3979" max="3979" width="10.42578125" style="44" bestFit="1" customWidth="1"/>
    <col min="3980" max="3980" width="10.5703125" style="44" customWidth="1"/>
    <col min="3981" max="3981" width="12.85546875" style="44" customWidth="1"/>
    <col min="3982" max="3982" width="10" style="44" customWidth="1"/>
    <col min="3983" max="3983" width="8.5703125" style="44" customWidth="1"/>
    <col min="3984" max="3984" width="4.28515625" style="44" customWidth="1"/>
    <col min="3985" max="3985" width="21.42578125" style="44" customWidth="1"/>
    <col min="3986" max="3987" width="14.28515625" style="44" customWidth="1"/>
    <col min="3988" max="3988" width="14.28515625" style="44" bestFit="1" customWidth="1"/>
    <col min="3989" max="3989" width="14.28515625" style="44" customWidth="1"/>
    <col min="3990" max="3990" width="2.85546875" style="44" customWidth="1"/>
    <col min="3991" max="3991" width="3.28515625" style="44" customWidth="1"/>
    <col min="3992" max="3992" width="26.5703125" style="44" customWidth="1"/>
    <col min="3993" max="3993" width="9.42578125" style="44" customWidth="1"/>
    <col min="3994" max="3995" width="9.7109375" style="44" customWidth="1"/>
    <col min="3996" max="3996" width="28.28515625" style="44" customWidth="1"/>
    <col min="3997" max="4033" width="9.140625" style="44"/>
    <col min="4034" max="4034" width="27.140625" style="44" customWidth="1"/>
    <col min="4035" max="4035" width="14.28515625" style="44" customWidth="1"/>
    <col min="4036" max="4036" width="12.5703125" style="44" customWidth="1"/>
    <col min="4037" max="4037" width="9.140625" style="44" customWidth="1"/>
    <col min="4038" max="4049" width="9.140625" style="44"/>
    <col min="4050" max="4050" width="27.140625" style="44" customWidth="1"/>
    <col min="4051" max="4051" width="13.28515625" style="44" bestFit="1" customWidth="1"/>
    <col min="4052" max="4089" width="9.140625" style="44"/>
    <col min="4090" max="4090" width="10.42578125" style="44" customWidth="1"/>
    <col min="4091" max="4106" width="0" style="44" hidden="1" customWidth="1"/>
    <col min="4107" max="4212" width="9.140625" style="44"/>
    <col min="4213" max="4213" width="9.140625" style="44" customWidth="1"/>
    <col min="4214" max="4214" width="4.7109375" style="44" customWidth="1"/>
    <col min="4215" max="4221" width="9.140625" style="44"/>
    <col min="4222" max="4223" width="10.85546875" style="44" customWidth="1"/>
    <col min="4224" max="4224" width="9.140625" style="44" customWidth="1"/>
    <col min="4225" max="4225" width="9.140625" style="44"/>
    <col min="4226" max="4230" width="10" style="44" customWidth="1"/>
    <col min="4231" max="4232" width="9.140625" style="44" customWidth="1"/>
    <col min="4233" max="4233" width="21.42578125" style="44" customWidth="1"/>
    <col min="4234" max="4234" width="12.85546875" style="44" customWidth="1"/>
    <col min="4235" max="4235" width="10.42578125" style="44" bestFit="1" customWidth="1"/>
    <col min="4236" max="4236" width="10.5703125" style="44" customWidth="1"/>
    <col min="4237" max="4237" width="12.85546875" style="44" customWidth="1"/>
    <col min="4238" max="4238" width="10" style="44" customWidth="1"/>
    <col min="4239" max="4239" width="8.5703125" style="44" customWidth="1"/>
    <col min="4240" max="4240" width="4.28515625" style="44" customWidth="1"/>
    <col min="4241" max="4241" width="21.42578125" style="44" customWidth="1"/>
    <col min="4242" max="4243" width="14.28515625" style="44" customWidth="1"/>
    <col min="4244" max="4244" width="14.28515625" style="44" bestFit="1" customWidth="1"/>
    <col min="4245" max="4245" width="14.28515625" style="44" customWidth="1"/>
    <col min="4246" max="4246" width="2.85546875" style="44" customWidth="1"/>
    <col min="4247" max="4247" width="3.28515625" style="44" customWidth="1"/>
    <col min="4248" max="4248" width="26.5703125" style="44" customWidth="1"/>
    <col min="4249" max="4249" width="9.42578125" style="44" customWidth="1"/>
    <col min="4250" max="4251" width="9.7109375" style="44" customWidth="1"/>
    <col min="4252" max="4252" width="28.28515625" style="44" customWidth="1"/>
    <col min="4253" max="4289" width="9.140625" style="44"/>
    <col min="4290" max="4290" width="27.140625" style="44" customWidth="1"/>
    <col min="4291" max="4291" width="14.28515625" style="44" customWidth="1"/>
    <col min="4292" max="4292" width="12.5703125" style="44" customWidth="1"/>
    <col min="4293" max="4293" width="9.140625" style="44" customWidth="1"/>
    <col min="4294" max="4305" width="9.140625" style="44"/>
    <col min="4306" max="4306" width="27.140625" style="44" customWidth="1"/>
    <col min="4307" max="4307" width="13.28515625" style="44" bestFit="1" customWidth="1"/>
    <col min="4308" max="4345" width="9.140625" style="44"/>
    <col min="4346" max="4346" width="10.42578125" style="44" customWidth="1"/>
    <col min="4347" max="4362" width="0" style="44" hidden="1" customWidth="1"/>
    <col min="4363" max="4468" width="9.140625" style="44"/>
    <col min="4469" max="4469" width="9.140625" style="44" customWidth="1"/>
    <col min="4470" max="4470" width="4.7109375" style="44" customWidth="1"/>
    <col min="4471" max="4477" width="9.140625" style="44"/>
    <col min="4478" max="4479" width="10.85546875" style="44" customWidth="1"/>
    <col min="4480" max="4480" width="9.140625" style="44" customWidth="1"/>
    <col min="4481" max="4481" width="9.140625" style="44"/>
    <col min="4482" max="4486" width="10" style="44" customWidth="1"/>
    <col min="4487" max="4488" width="9.140625" style="44" customWidth="1"/>
    <col min="4489" max="4489" width="21.42578125" style="44" customWidth="1"/>
    <col min="4490" max="4490" width="12.85546875" style="44" customWidth="1"/>
    <col min="4491" max="4491" width="10.42578125" style="44" bestFit="1" customWidth="1"/>
    <col min="4492" max="4492" width="10.5703125" style="44" customWidth="1"/>
    <col min="4493" max="4493" width="12.85546875" style="44" customWidth="1"/>
    <col min="4494" max="4494" width="10" style="44" customWidth="1"/>
    <col min="4495" max="4495" width="8.5703125" style="44" customWidth="1"/>
    <col min="4496" max="4496" width="4.28515625" style="44" customWidth="1"/>
    <col min="4497" max="4497" width="21.42578125" style="44" customWidth="1"/>
    <col min="4498" max="4499" width="14.28515625" style="44" customWidth="1"/>
    <col min="4500" max="4500" width="14.28515625" style="44" bestFit="1" customWidth="1"/>
    <col min="4501" max="4501" width="14.28515625" style="44" customWidth="1"/>
    <col min="4502" max="4502" width="2.85546875" style="44" customWidth="1"/>
    <col min="4503" max="4503" width="3.28515625" style="44" customWidth="1"/>
    <col min="4504" max="4504" width="26.5703125" style="44" customWidth="1"/>
    <col min="4505" max="4505" width="9.42578125" style="44" customWidth="1"/>
    <col min="4506" max="4507" width="9.7109375" style="44" customWidth="1"/>
    <col min="4508" max="4508" width="28.28515625" style="44" customWidth="1"/>
    <col min="4509" max="4545" width="9.140625" style="44"/>
    <col min="4546" max="4546" width="27.140625" style="44" customWidth="1"/>
    <col min="4547" max="4547" width="14.28515625" style="44" customWidth="1"/>
    <col min="4548" max="4548" width="12.5703125" style="44" customWidth="1"/>
    <col min="4549" max="4549" width="9.140625" style="44" customWidth="1"/>
    <col min="4550" max="4561" width="9.140625" style="44"/>
    <col min="4562" max="4562" width="27.140625" style="44" customWidth="1"/>
    <col min="4563" max="4563" width="13.28515625" style="44" bestFit="1" customWidth="1"/>
    <col min="4564" max="4601" width="9.140625" style="44"/>
    <col min="4602" max="4602" width="10.42578125" style="44" customWidth="1"/>
    <col min="4603" max="4618" width="0" style="44" hidden="1" customWidth="1"/>
    <col min="4619" max="4724" width="9.140625" style="44"/>
    <col min="4725" max="4725" width="9.140625" style="44" customWidth="1"/>
    <col min="4726" max="4726" width="4.7109375" style="44" customWidth="1"/>
    <col min="4727" max="4733" width="9.140625" style="44"/>
    <col min="4734" max="4735" width="10.85546875" style="44" customWidth="1"/>
    <col min="4736" max="4736" width="9.140625" style="44" customWidth="1"/>
    <col min="4737" max="4737" width="9.140625" style="44"/>
    <col min="4738" max="4742" width="10" style="44" customWidth="1"/>
    <col min="4743" max="4744" width="9.140625" style="44" customWidth="1"/>
    <col min="4745" max="4745" width="21.42578125" style="44" customWidth="1"/>
    <col min="4746" max="4746" width="12.85546875" style="44" customWidth="1"/>
    <col min="4747" max="4747" width="10.42578125" style="44" bestFit="1" customWidth="1"/>
    <col min="4748" max="4748" width="10.5703125" style="44" customWidth="1"/>
    <col min="4749" max="4749" width="12.85546875" style="44" customWidth="1"/>
    <col min="4750" max="4750" width="10" style="44" customWidth="1"/>
    <col min="4751" max="4751" width="8.5703125" style="44" customWidth="1"/>
    <col min="4752" max="4752" width="4.28515625" style="44" customWidth="1"/>
    <col min="4753" max="4753" width="21.42578125" style="44" customWidth="1"/>
    <col min="4754" max="4755" width="14.28515625" style="44" customWidth="1"/>
    <col min="4756" max="4756" width="14.28515625" style="44" bestFit="1" customWidth="1"/>
    <col min="4757" max="4757" width="14.28515625" style="44" customWidth="1"/>
    <col min="4758" max="4758" width="2.85546875" style="44" customWidth="1"/>
    <col min="4759" max="4759" width="3.28515625" style="44" customWidth="1"/>
    <col min="4760" max="4760" width="26.5703125" style="44" customWidth="1"/>
    <col min="4761" max="4761" width="9.42578125" style="44" customWidth="1"/>
    <col min="4762" max="4763" width="9.7109375" style="44" customWidth="1"/>
    <col min="4764" max="4764" width="28.28515625" style="44" customWidth="1"/>
    <col min="4765" max="4801" width="9.140625" style="44"/>
    <col min="4802" max="4802" width="27.140625" style="44" customWidth="1"/>
    <col min="4803" max="4803" width="14.28515625" style="44" customWidth="1"/>
    <col min="4804" max="4804" width="12.5703125" style="44" customWidth="1"/>
    <col min="4805" max="4805" width="9.140625" style="44" customWidth="1"/>
    <col min="4806" max="4817" width="9.140625" style="44"/>
    <col min="4818" max="4818" width="27.140625" style="44" customWidth="1"/>
    <col min="4819" max="4819" width="13.28515625" style="44" bestFit="1" customWidth="1"/>
    <col min="4820" max="4857" width="9.140625" style="44"/>
    <col min="4858" max="4858" width="10.42578125" style="44" customWidth="1"/>
    <col min="4859" max="4874" width="0" style="44" hidden="1" customWidth="1"/>
    <col min="4875" max="4980" width="9.140625" style="44"/>
    <col min="4981" max="4981" width="9.140625" style="44" customWidth="1"/>
    <col min="4982" max="4982" width="4.7109375" style="44" customWidth="1"/>
    <col min="4983" max="4989" width="9.140625" style="44"/>
    <col min="4990" max="4991" width="10.85546875" style="44" customWidth="1"/>
    <col min="4992" max="4992" width="9.140625" style="44" customWidth="1"/>
    <col min="4993" max="4993" width="9.140625" style="44"/>
    <col min="4994" max="4998" width="10" style="44" customWidth="1"/>
    <col min="4999" max="5000" width="9.140625" style="44" customWidth="1"/>
    <col min="5001" max="5001" width="21.42578125" style="44" customWidth="1"/>
    <col min="5002" max="5002" width="12.85546875" style="44" customWidth="1"/>
    <col min="5003" max="5003" width="10.42578125" style="44" bestFit="1" customWidth="1"/>
    <col min="5004" max="5004" width="10.5703125" style="44" customWidth="1"/>
    <col min="5005" max="5005" width="12.85546875" style="44" customWidth="1"/>
    <col min="5006" max="5006" width="10" style="44" customWidth="1"/>
    <col min="5007" max="5007" width="8.5703125" style="44" customWidth="1"/>
    <col min="5008" max="5008" width="4.28515625" style="44" customWidth="1"/>
    <col min="5009" max="5009" width="21.42578125" style="44" customWidth="1"/>
    <col min="5010" max="5011" width="14.28515625" style="44" customWidth="1"/>
    <col min="5012" max="5012" width="14.28515625" style="44" bestFit="1" customWidth="1"/>
    <col min="5013" max="5013" width="14.28515625" style="44" customWidth="1"/>
    <col min="5014" max="5014" width="2.85546875" style="44" customWidth="1"/>
    <col min="5015" max="5015" width="3.28515625" style="44" customWidth="1"/>
    <col min="5016" max="5016" width="26.5703125" style="44" customWidth="1"/>
    <col min="5017" max="5017" width="9.42578125" style="44" customWidth="1"/>
    <col min="5018" max="5019" width="9.7109375" style="44" customWidth="1"/>
    <col min="5020" max="5020" width="28.28515625" style="44" customWidth="1"/>
    <col min="5021" max="5057" width="9.140625" style="44"/>
    <col min="5058" max="5058" width="27.140625" style="44" customWidth="1"/>
    <col min="5059" max="5059" width="14.28515625" style="44" customWidth="1"/>
    <col min="5060" max="5060" width="12.5703125" style="44" customWidth="1"/>
    <col min="5061" max="5061" width="9.140625" style="44" customWidth="1"/>
    <col min="5062" max="5073" width="9.140625" style="44"/>
    <col min="5074" max="5074" width="27.140625" style="44" customWidth="1"/>
    <col min="5075" max="5075" width="13.28515625" style="44" bestFit="1" customWidth="1"/>
    <col min="5076" max="5113" width="9.140625" style="44"/>
    <col min="5114" max="5114" width="10.42578125" style="44" customWidth="1"/>
    <col min="5115" max="5130" width="0" style="44" hidden="1" customWidth="1"/>
    <col min="5131" max="5236" width="9.140625" style="44"/>
    <col min="5237" max="5237" width="9.140625" style="44" customWidth="1"/>
    <col min="5238" max="5238" width="4.7109375" style="44" customWidth="1"/>
    <col min="5239" max="5245" width="9.140625" style="44"/>
    <col min="5246" max="5247" width="10.85546875" style="44" customWidth="1"/>
    <col min="5248" max="5248" width="9.140625" style="44" customWidth="1"/>
    <col min="5249" max="5249" width="9.140625" style="44"/>
    <col min="5250" max="5254" width="10" style="44" customWidth="1"/>
    <col min="5255" max="5256" width="9.140625" style="44" customWidth="1"/>
    <col min="5257" max="5257" width="21.42578125" style="44" customWidth="1"/>
    <col min="5258" max="5258" width="12.85546875" style="44" customWidth="1"/>
    <col min="5259" max="5259" width="10.42578125" style="44" bestFit="1" customWidth="1"/>
    <col min="5260" max="5260" width="10.5703125" style="44" customWidth="1"/>
    <col min="5261" max="5261" width="12.85546875" style="44" customWidth="1"/>
    <col min="5262" max="5262" width="10" style="44" customWidth="1"/>
    <col min="5263" max="5263" width="8.5703125" style="44" customWidth="1"/>
    <col min="5264" max="5264" width="4.28515625" style="44" customWidth="1"/>
    <col min="5265" max="5265" width="21.42578125" style="44" customWidth="1"/>
    <col min="5266" max="5267" width="14.28515625" style="44" customWidth="1"/>
    <col min="5268" max="5268" width="14.28515625" style="44" bestFit="1" customWidth="1"/>
    <col min="5269" max="5269" width="14.28515625" style="44" customWidth="1"/>
    <col min="5270" max="5270" width="2.85546875" style="44" customWidth="1"/>
    <col min="5271" max="5271" width="3.28515625" style="44" customWidth="1"/>
    <col min="5272" max="5272" width="26.5703125" style="44" customWidth="1"/>
    <col min="5273" max="5273" width="9.42578125" style="44" customWidth="1"/>
    <col min="5274" max="5275" width="9.7109375" style="44" customWidth="1"/>
    <col min="5276" max="5276" width="28.28515625" style="44" customWidth="1"/>
    <col min="5277" max="5313" width="9.140625" style="44"/>
    <col min="5314" max="5314" width="27.140625" style="44" customWidth="1"/>
    <col min="5315" max="5315" width="14.28515625" style="44" customWidth="1"/>
    <col min="5316" max="5316" width="12.5703125" style="44" customWidth="1"/>
    <col min="5317" max="5317" width="9.140625" style="44" customWidth="1"/>
    <col min="5318" max="5329" width="9.140625" style="44"/>
    <col min="5330" max="5330" width="27.140625" style="44" customWidth="1"/>
    <col min="5331" max="5331" width="13.28515625" style="44" bestFit="1" customWidth="1"/>
    <col min="5332" max="5369" width="9.140625" style="44"/>
    <col min="5370" max="5370" width="10.42578125" style="44" customWidth="1"/>
    <col min="5371" max="5386" width="0" style="44" hidden="1" customWidth="1"/>
    <col min="5387" max="5492" width="9.140625" style="44"/>
    <col min="5493" max="5493" width="9.140625" style="44" customWidth="1"/>
    <col min="5494" max="5494" width="4.7109375" style="44" customWidth="1"/>
    <col min="5495" max="5501" width="9.140625" style="44"/>
    <col min="5502" max="5503" width="10.85546875" style="44" customWidth="1"/>
    <col min="5504" max="5504" width="9.140625" style="44" customWidth="1"/>
    <col min="5505" max="5505" width="9.140625" style="44"/>
    <col min="5506" max="5510" width="10" style="44" customWidth="1"/>
    <col min="5511" max="5512" width="9.140625" style="44" customWidth="1"/>
    <col min="5513" max="5513" width="21.42578125" style="44" customWidth="1"/>
    <col min="5514" max="5514" width="12.85546875" style="44" customWidth="1"/>
    <col min="5515" max="5515" width="10.42578125" style="44" bestFit="1" customWidth="1"/>
    <col min="5516" max="5516" width="10.5703125" style="44" customWidth="1"/>
    <col min="5517" max="5517" width="12.85546875" style="44" customWidth="1"/>
    <col min="5518" max="5518" width="10" style="44" customWidth="1"/>
    <col min="5519" max="5519" width="8.5703125" style="44" customWidth="1"/>
    <col min="5520" max="5520" width="4.28515625" style="44" customWidth="1"/>
    <col min="5521" max="5521" width="21.42578125" style="44" customWidth="1"/>
    <col min="5522" max="5523" width="14.28515625" style="44" customWidth="1"/>
    <col min="5524" max="5524" width="14.28515625" style="44" bestFit="1" customWidth="1"/>
    <col min="5525" max="5525" width="14.28515625" style="44" customWidth="1"/>
    <col min="5526" max="5526" width="2.85546875" style="44" customWidth="1"/>
    <col min="5527" max="5527" width="3.28515625" style="44" customWidth="1"/>
    <col min="5528" max="5528" width="26.5703125" style="44" customWidth="1"/>
    <col min="5529" max="5529" width="9.42578125" style="44" customWidth="1"/>
    <col min="5530" max="5531" width="9.7109375" style="44" customWidth="1"/>
    <col min="5532" max="5532" width="28.28515625" style="44" customWidth="1"/>
    <col min="5533" max="5569" width="9.140625" style="44"/>
    <col min="5570" max="5570" width="27.140625" style="44" customWidth="1"/>
    <col min="5571" max="5571" width="14.28515625" style="44" customWidth="1"/>
    <col min="5572" max="5572" width="12.5703125" style="44" customWidth="1"/>
    <col min="5573" max="5573" width="9.140625" style="44" customWidth="1"/>
    <col min="5574" max="5585" width="9.140625" style="44"/>
    <col min="5586" max="5586" width="27.140625" style="44" customWidth="1"/>
    <col min="5587" max="5587" width="13.28515625" style="44" bestFit="1" customWidth="1"/>
    <col min="5588" max="5625" width="9.140625" style="44"/>
    <col min="5626" max="5626" width="10.42578125" style="44" customWidth="1"/>
    <col min="5627" max="5642" width="0" style="44" hidden="1" customWidth="1"/>
    <col min="5643" max="5748" width="9.140625" style="44"/>
    <col min="5749" max="5749" width="9.140625" style="44" customWidth="1"/>
    <col min="5750" max="5750" width="4.7109375" style="44" customWidth="1"/>
    <col min="5751" max="5757" width="9.140625" style="44"/>
    <col min="5758" max="5759" width="10.85546875" style="44" customWidth="1"/>
    <col min="5760" max="5760" width="9.140625" style="44" customWidth="1"/>
    <col min="5761" max="5761" width="9.140625" style="44"/>
    <col min="5762" max="5766" width="10" style="44" customWidth="1"/>
    <col min="5767" max="5768" width="9.140625" style="44" customWidth="1"/>
    <col min="5769" max="5769" width="21.42578125" style="44" customWidth="1"/>
    <col min="5770" max="5770" width="12.85546875" style="44" customWidth="1"/>
    <col min="5771" max="5771" width="10.42578125" style="44" bestFit="1" customWidth="1"/>
    <col min="5772" max="5772" width="10.5703125" style="44" customWidth="1"/>
    <col min="5773" max="5773" width="12.85546875" style="44" customWidth="1"/>
    <col min="5774" max="5774" width="10" style="44" customWidth="1"/>
    <col min="5775" max="5775" width="8.5703125" style="44" customWidth="1"/>
    <col min="5776" max="5776" width="4.28515625" style="44" customWidth="1"/>
    <col min="5777" max="5777" width="21.42578125" style="44" customWidth="1"/>
    <col min="5778" max="5779" width="14.28515625" style="44" customWidth="1"/>
    <col min="5780" max="5780" width="14.28515625" style="44" bestFit="1" customWidth="1"/>
    <col min="5781" max="5781" width="14.28515625" style="44" customWidth="1"/>
    <col min="5782" max="5782" width="2.85546875" style="44" customWidth="1"/>
    <col min="5783" max="5783" width="3.28515625" style="44" customWidth="1"/>
    <col min="5784" max="5784" width="26.5703125" style="44" customWidth="1"/>
    <col min="5785" max="5785" width="9.42578125" style="44" customWidth="1"/>
    <col min="5786" max="5787" width="9.7109375" style="44" customWidth="1"/>
    <col min="5788" max="5788" width="28.28515625" style="44" customWidth="1"/>
    <col min="5789" max="5825" width="9.140625" style="44"/>
    <col min="5826" max="5826" width="27.140625" style="44" customWidth="1"/>
    <col min="5827" max="5827" width="14.28515625" style="44" customWidth="1"/>
    <col min="5828" max="5828" width="12.5703125" style="44" customWidth="1"/>
    <col min="5829" max="5829" width="9.140625" style="44" customWidth="1"/>
    <col min="5830" max="5841" width="9.140625" style="44"/>
    <col min="5842" max="5842" width="27.140625" style="44" customWidth="1"/>
    <col min="5843" max="5843" width="13.28515625" style="44" bestFit="1" customWidth="1"/>
    <col min="5844" max="5881" width="9.140625" style="44"/>
    <col min="5882" max="5882" width="10.42578125" style="44" customWidth="1"/>
    <col min="5883" max="5898" width="0" style="44" hidden="1" customWidth="1"/>
    <col min="5899" max="6004" width="9.140625" style="44"/>
    <col min="6005" max="6005" width="9.140625" style="44" customWidth="1"/>
    <col min="6006" max="6006" width="4.7109375" style="44" customWidth="1"/>
    <col min="6007" max="6013" width="9.140625" style="44"/>
    <col min="6014" max="6015" width="10.85546875" style="44" customWidth="1"/>
    <col min="6016" max="6016" width="9.140625" style="44" customWidth="1"/>
    <col min="6017" max="6017" width="9.140625" style="44"/>
    <col min="6018" max="6022" width="10" style="44" customWidth="1"/>
    <col min="6023" max="6024" width="9.140625" style="44" customWidth="1"/>
    <col min="6025" max="6025" width="21.42578125" style="44" customWidth="1"/>
    <col min="6026" max="6026" width="12.85546875" style="44" customWidth="1"/>
    <col min="6027" max="6027" width="10.42578125" style="44" bestFit="1" customWidth="1"/>
    <col min="6028" max="6028" width="10.5703125" style="44" customWidth="1"/>
    <col min="6029" max="6029" width="12.85546875" style="44" customWidth="1"/>
    <col min="6030" max="6030" width="10" style="44" customWidth="1"/>
    <col min="6031" max="6031" width="8.5703125" style="44" customWidth="1"/>
    <col min="6032" max="6032" width="4.28515625" style="44" customWidth="1"/>
    <col min="6033" max="6033" width="21.42578125" style="44" customWidth="1"/>
    <col min="6034" max="6035" width="14.28515625" style="44" customWidth="1"/>
    <col min="6036" max="6036" width="14.28515625" style="44" bestFit="1" customWidth="1"/>
    <col min="6037" max="6037" width="14.28515625" style="44" customWidth="1"/>
    <col min="6038" max="6038" width="2.85546875" style="44" customWidth="1"/>
    <col min="6039" max="6039" width="3.28515625" style="44" customWidth="1"/>
    <col min="6040" max="6040" width="26.5703125" style="44" customWidth="1"/>
    <col min="6041" max="6041" width="9.42578125" style="44" customWidth="1"/>
    <col min="6042" max="6043" width="9.7109375" style="44" customWidth="1"/>
    <col min="6044" max="6044" width="28.28515625" style="44" customWidth="1"/>
    <col min="6045" max="6081" width="9.140625" style="44"/>
    <col min="6082" max="6082" width="27.140625" style="44" customWidth="1"/>
    <col min="6083" max="6083" width="14.28515625" style="44" customWidth="1"/>
    <col min="6084" max="6084" width="12.5703125" style="44" customWidth="1"/>
    <col min="6085" max="6085" width="9.140625" style="44" customWidth="1"/>
    <col min="6086" max="6097" width="9.140625" style="44"/>
    <col min="6098" max="6098" width="27.140625" style="44" customWidth="1"/>
    <col min="6099" max="6099" width="13.28515625" style="44" bestFit="1" customWidth="1"/>
    <col min="6100" max="6137" width="9.140625" style="44"/>
    <col min="6138" max="6138" width="10.42578125" style="44" customWidth="1"/>
    <col min="6139" max="6154" width="0" style="44" hidden="1" customWidth="1"/>
    <col min="6155" max="6260" width="9.140625" style="44"/>
    <col min="6261" max="6261" width="9.140625" style="44" customWidth="1"/>
    <col min="6262" max="6262" width="4.7109375" style="44" customWidth="1"/>
    <col min="6263" max="6269" width="9.140625" style="44"/>
    <col min="6270" max="6271" width="10.85546875" style="44" customWidth="1"/>
    <col min="6272" max="6272" width="9.140625" style="44" customWidth="1"/>
    <col min="6273" max="6273" width="9.140625" style="44"/>
    <col min="6274" max="6278" width="10" style="44" customWidth="1"/>
    <col min="6279" max="6280" width="9.140625" style="44" customWidth="1"/>
    <col min="6281" max="6281" width="21.42578125" style="44" customWidth="1"/>
    <col min="6282" max="6282" width="12.85546875" style="44" customWidth="1"/>
    <col min="6283" max="6283" width="10.42578125" style="44" bestFit="1" customWidth="1"/>
    <col min="6284" max="6284" width="10.5703125" style="44" customWidth="1"/>
    <col min="6285" max="6285" width="12.85546875" style="44" customWidth="1"/>
    <col min="6286" max="6286" width="10" style="44" customWidth="1"/>
    <col min="6287" max="6287" width="8.5703125" style="44" customWidth="1"/>
    <col min="6288" max="6288" width="4.28515625" style="44" customWidth="1"/>
    <col min="6289" max="6289" width="21.42578125" style="44" customWidth="1"/>
    <col min="6290" max="6291" width="14.28515625" style="44" customWidth="1"/>
    <col min="6292" max="6292" width="14.28515625" style="44" bestFit="1" customWidth="1"/>
    <col min="6293" max="6293" width="14.28515625" style="44" customWidth="1"/>
    <col min="6294" max="6294" width="2.85546875" style="44" customWidth="1"/>
    <col min="6295" max="6295" width="3.28515625" style="44" customWidth="1"/>
    <col min="6296" max="6296" width="26.5703125" style="44" customWidth="1"/>
    <col min="6297" max="6297" width="9.42578125" style="44" customWidth="1"/>
    <col min="6298" max="6299" width="9.7109375" style="44" customWidth="1"/>
    <col min="6300" max="6300" width="28.28515625" style="44" customWidth="1"/>
    <col min="6301" max="6337" width="9.140625" style="44"/>
    <col min="6338" max="6338" width="27.140625" style="44" customWidth="1"/>
    <col min="6339" max="6339" width="14.28515625" style="44" customWidth="1"/>
    <col min="6340" max="6340" width="12.5703125" style="44" customWidth="1"/>
    <col min="6341" max="6341" width="9.140625" style="44" customWidth="1"/>
    <col min="6342" max="6353" width="9.140625" style="44"/>
    <col min="6354" max="6354" width="27.140625" style="44" customWidth="1"/>
    <col min="6355" max="6355" width="13.28515625" style="44" bestFit="1" customWidth="1"/>
    <col min="6356" max="6393" width="9.140625" style="44"/>
    <col min="6394" max="6394" width="10.42578125" style="44" customWidth="1"/>
    <col min="6395" max="6410" width="0" style="44" hidden="1" customWidth="1"/>
    <col min="6411" max="6516" width="9.140625" style="44"/>
    <col min="6517" max="6517" width="9.140625" style="44" customWidth="1"/>
    <col min="6518" max="6518" width="4.7109375" style="44" customWidth="1"/>
    <col min="6519" max="6525" width="9.140625" style="44"/>
    <col min="6526" max="6527" width="10.85546875" style="44" customWidth="1"/>
    <col min="6528" max="6528" width="9.140625" style="44" customWidth="1"/>
    <col min="6529" max="6529" width="9.140625" style="44"/>
    <col min="6530" max="6534" width="10" style="44" customWidth="1"/>
    <col min="6535" max="6536" width="9.140625" style="44" customWidth="1"/>
    <col min="6537" max="6537" width="21.42578125" style="44" customWidth="1"/>
    <col min="6538" max="6538" width="12.85546875" style="44" customWidth="1"/>
    <col min="6539" max="6539" width="10.42578125" style="44" bestFit="1" customWidth="1"/>
    <col min="6540" max="6540" width="10.5703125" style="44" customWidth="1"/>
    <col min="6541" max="6541" width="12.85546875" style="44" customWidth="1"/>
    <col min="6542" max="6542" width="10" style="44" customWidth="1"/>
    <col min="6543" max="6543" width="8.5703125" style="44" customWidth="1"/>
    <col min="6544" max="6544" width="4.28515625" style="44" customWidth="1"/>
    <col min="6545" max="6545" width="21.42578125" style="44" customWidth="1"/>
    <col min="6546" max="6547" width="14.28515625" style="44" customWidth="1"/>
    <col min="6548" max="6548" width="14.28515625" style="44" bestFit="1" customWidth="1"/>
    <col min="6549" max="6549" width="14.28515625" style="44" customWidth="1"/>
    <col min="6550" max="6550" width="2.85546875" style="44" customWidth="1"/>
    <col min="6551" max="6551" width="3.28515625" style="44" customWidth="1"/>
    <col min="6552" max="6552" width="26.5703125" style="44" customWidth="1"/>
    <col min="6553" max="6553" width="9.42578125" style="44" customWidth="1"/>
    <col min="6554" max="6555" width="9.7109375" style="44" customWidth="1"/>
    <col min="6556" max="6556" width="28.28515625" style="44" customWidth="1"/>
    <col min="6557" max="6593" width="9.140625" style="44"/>
    <col min="6594" max="6594" width="27.140625" style="44" customWidth="1"/>
    <col min="6595" max="6595" width="14.28515625" style="44" customWidth="1"/>
    <col min="6596" max="6596" width="12.5703125" style="44" customWidth="1"/>
    <col min="6597" max="6597" width="9.140625" style="44" customWidth="1"/>
    <col min="6598" max="6609" width="9.140625" style="44"/>
    <col min="6610" max="6610" width="27.140625" style="44" customWidth="1"/>
    <col min="6611" max="6611" width="13.28515625" style="44" bestFit="1" customWidth="1"/>
    <col min="6612" max="6649" width="9.140625" style="44"/>
    <col min="6650" max="6650" width="10.42578125" style="44" customWidth="1"/>
    <col min="6651" max="6666" width="0" style="44" hidden="1" customWidth="1"/>
    <col min="6667" max="6772" width="9.140625" style="44"/>
    <col min="6773" max="6773" width="9.140625" style="44" customWidth="1"/>
    <col min="6774" max="6774" width="4.7109375" style="44" customWidth="1"/>
    <col min="6775" max="6781" width="9.140625" style="44"/>
    <col min="6782" max="6783" width="10.85546875" style="44" customWidth="1"/>
    <col min="6784" max="6784" width="9.140625" style="44" customWidth="1"/>
    <col min="6785" max="6785" width="9.140625" style="44"/>
    <col min="6786" max="6790" width="10" style="44" customWidth="1"/>
    <col min="6791" max="6792" width="9.140625" style="44" customWidth="1"/>
    <col min="6793" max="6793" width="21.42578125" style="44" customWidth="1"/>
    <col min="6794" max="6794" width="12.85546875" style="44" customWidth="1"/>
    <col min="6795" max="6795" width="10.42578125" style="44" bestFit="1" customWidth="1"/>
    <col min="6796" max="6796" width="10.5703125" style="44" customWidth="1"/>
    <col min="6797" max="6797" width="12.85546875" style="44" customWidth="1"/>
    <col min="6798" max="6798" width="10" style="44" customWidth="1"/>
    <col min="6799" max="6799" width="8.5703125" style="44" customWidth="1"/>
    <col min="6800" max="6800" width="4.28515625" style="44" customWidth="1"/>
    <col min="6801" max="6801" width="21.42578125" style="44" customWidth="1"/>
    <col min="6802" max="6803" width="14.28515625" style="44" customWidth="1"/>
    <col min="6804" max="6804" width="14.28515625" style="44" bestFit="1" customWidth="1"/>
    <col min="6805" max="6805" width="14.28515625" style="44" customWidth="1"/>
    <col min="6806" max="6806" width="2.85546875" style="44" customWidth="1"/>
    <col min="6807" max="6807" width="3.28515625" style="44" customWidth="1"/>
    <col min="6808" max="6808" width="26.5703125" style="44" customWidth="1"/>
    <col min="6809" max="6809" width="9.42578125" style="44" customWidth="1"/>
    <col min="6810" max="6811" width="9.7109375" style="44" customWidth="1"/>
    <col min="6812" max="6812" width="28.28515625" style="44" customWidth="1"/>
    <col min="6813" max="6849" width="9.140625" style="44"/>
    <col min="6850" max="6850" width="27.140625" style="44" customWidth="1"/>
    <col min="6851" max="6851" width="14.28515625" style="44" customWidth="1"/>
    <col min="6852" max="6852" width="12.5703125" style="44" customWidth="1"/>
    <col min="6853" max="6853" width="9.140625" style="44" customWidth="1"/>
    <col min="6854" max="6865" width="9.140625" style="44"/>
    <col min="6866" max="6866" width="27.140625" style="44" customWidth="1"/>
    <col min="6867" max="6867" width="13.28515625" style="44" bestFit="1" customWidth="1"/>
    <col min="6868" max="6905" width="9.140625" style="44"/>
    <col min="6906" max="6906" width="10.42578125" style="44" customWidth="1"/>
    <col min="6907" max="6922" width="0" style="44" hidden="1" customWidth="1"/>
    <col min="6923" max="7028" width="9.140625" style="44"/>
    <col min="7029" max="7029" width="9.140625" style="44" customWidth="1"/>
    <col min="7030" max="7030" width="4.7109375" style="44" customWidth="1"/>
    <col min="7031" max="7037" width="9.140625" style="44"/>
    <col min="7038" max="7039" width="10.85546875" style="44" customWidth="1"/>
    <col min="7040" max="7040" width="9.140625" style="44" customWidth="1"/>
    <col min="7041" max="7041" width="9.140625" style="44"/>
    <col min="7042" max="7046" width="10" style="44" customWidth="1"/>
    <col min="7047" max="7048" width="9.140625" style="44" customWidth="1"/>
    <col min="7049" max="7049" width="21.42578125" style="44" customWidth="1"/>
    <col min="7050" max="7050" width="12.85546875" style="44" customWidth="1"/>
    <col min="7051" max="7051" width="10.42578125" style="44" bestFit="1" customWidth="1"/>
    <col min="7052" max="7052" width="10.5703125" style="44" customWidth="1"/>
    <col min="7053" max="7053" width="12.85546875" style="44" customWidth="1"/>
    <col min="7054" max="7054" width="10" style="44" customWidth="1"/>
    <col min="7055" max="7055" width="8.5703125" style="44" customWidth="1"/>
    <col min="7056" max="7056" width="4.28515625" style="44" customWidth="1"/>
    <col min="7057" max="7057" width="21.42578125" style="44" customWidth="1"/>
    <col min="7058" max="7059" width="14.28515625" style="44" customWidth="1"/>
    <col min="7060" max="7060" width="14.28515625" style="44" bestFit="1" customWidth="1"/>
    <col min="7061" max="7061" width="14.28515625" style="44" customWidth="1"/>
    <col min="7062" max="7062" width="2.85546875" style="44" customWidth="1"/>
    <col min="7063" max="7063" width="3.28515625" style="44" customWidth="1"/>
    <col min="7064" max="7064" width="26.5703125" style="44" customWidth="1"/>
    <col min="7065" max="7065" width="9.42578125" style="44" customWidth="1"/>
    <col min="7066" max="7067" width="9.7109375" style="44" customWidth="1"/>
    <col min="7068" max="7068" width="28.28515625" style="44" customWidth="1"/>
    <col min="7069" max="7105" width="9.140625" style="44"/>
    <col min="7106" max="7106" width="27.140625" style="44" customWidth="1"/>
    <col min="7107" max="7107" width="14.28515625" style="44" customWidth="1"/>
    <col min="7108" max="7108" width="12.5703125" style="44" customWidth="1"/>
    <col min="7109" max="7109" width="9.140625" style="44" customWidth="1"/>
    <col min="7110" max="7121" width="9.140625" style="44"/>
    <col min="7122" max="7122" width="27.140625" style="44" customWidth="1"/>
    <col min="7123" max="7123" width="13.28515625" style="44" bestFit="1" customWidth="1"/>
    <col min="7124" max="7161" width="9.140625" style="44"/>
    <col min="7162" max="7162" width="10.42578125" style="44" customWidth="1"/>
    <col min="7163" max="7178" width="0" style="44" hidden="1" customWidth="1"/>
    <col min="7179" max="7284" width="9.140625" style="44"/>
    <col min="7285" max="7285" width="9.140625" style="44" customWidth="1"/>
    <col min="7286" max="7286" width="4.7109375" style="44" customWidth="1"/>
    <col min="7287" max="7293" width="9.140625" style="44"/>
    <col min="7294" max="7295" width="10.85546875" style="44" customWidth="1"/>
    <col min="7296" max="7296" width="9.140625" style="44" customWidth="1"/>
    <col min="7297" max="7297" width="9.140625" style="44"/>
    <col min="7298" max="7302" width="10" style="44" customWidth="1"/>
    <col min="7303" max="7304" width="9.140625" style="44" customWidth="1"/>
    <col min="7305" max="7305" width="21.42578125" style="44" customWidth="1"/>
    <col min="7306" max="7306" width="12.85546875" style="44" customWidth="1"/>
    <col min="7307" max="7307" width="10.42578125" style="44" bestFit="1" customWidth="1"/>
    <col min="7308" max="7308" width="10.5703125" style="44" customWidth="1"/>
    <col min="7309" max="7309" width="12.85546875" style="44" customWidth="1"/>
    <col min="7310" max="7310" width="10" style="44" customWidth="1"/>
    <col min="7311" max="7311" width="8.5703125" style="44" customWidth="1"/>
    <col min="7312" max="7312" width="4.28515625" style="44" customWidth="1"/>
    <col min="7313" max="7313" width="21.42578125" style="44" customWidth="1"/>
    <col min="7314" max="7315" width="14.28515625" style="44" customWidth="1"/>
    <col min="7316" max="7316" width="14.28515625" style="44" bestFit="1" customWidth="1"/>
    <col min="7317" max="7317" width="14.28515625" style="44" customWidth="1"/>
    <col min="7318" max="7318" width="2.85546875" style="44" customWidth="1"/>
    <col min="7319" max="7319" width="3.28515625" style="44" customWidth="1"/>
    <col min="7320" max="7320" width="26.5703125" style="44" customWidth="1"/>
    <col min="7321" max="7321" width="9.42578125" style="44" customWidth="1"/>
    <col min="7322" max="7323" width="9.7109375" style="44" customWidth="1"/>
    <col min="7324" max="7324" width="28.28515625" style="44" customWidth="1"/>
    <col min="7325" max="7361" width="9.140625" style="44"/>
    <col min="7362" max="7362" width="27.140625" style="44" customWidth="1"/>
    <col min="7363" max="7363" width="14.28515625" style="44" customWidth="1"/>
    <col min="7364" max="7364" width="12.5703125" style="44" customWidth="1"/>
    <col min="7365" max="7365" width="9.140625" style="44" customWidth="1"/>
    <col min="7366" max="7377" width="9.140625" style="44"/>
    <col min="7378" max="7378" width="27.140625" style="44" customWidth="1"/>
    <col min="7379" max="7379" width="13.28515625" style="44" bestFit="1" customWidth="1"/>
    <col min="7380" max="7417" width="9.140625" style="44"/>
    <col min="7418" max="7418" width="10.42578125" style="44" customWidth="1"/>
    <col min="7419" max="7434" width="0" style="44" hidden="1" customWidth="1"/>
    <col min="7435" max="7540" width="9.140625" style="44"/>
    <col min="7541" max="7541" width="9.140625" style="44" customWidth="1"/>
    <col min="7542" max="7542" width="4.7109375" style="44" customWidth="1"/>
    <col min="7543" max="7549" width="9.140625" style="44"/>
    <col min="7550" max="7551" width="10.85546875" style="44" customWidth="1"/>
    <col min="7552" max="7552" width="9.140625" style="44" customWidth="1"/>
    <col min="7553" max="7553" width="9.140625" style="44"/>
    <col min="7554" max="7558" width="10" style="44" customWidth="1"/>
    <col min="7559" max="7560" width="9.140625" style="44" customWidth="1"/>
    <col min="7561" max="7561" width="21.42578125" style="44" customWidth="1"/>
    <col min="7562" max="7562" width="12.85546875" style="44" customWidth="1"/>
    <col min="7563" max="7563" width="10.42578125" style="44" bestFit="1" customWidth="1"/>
    <col min="7564" max="7564" width="10.5703125" style="44" customWidth="1"/>
    <col min="7565" max="7565" width="12.85546875" style="44" customWidth="1"/>
    <col min="7566" max="7566" width="10" style="44" customWidth="1"/>
    <col min="7567" max="7567" width="8.5703125" style="44" customWidth="1"/>
    <col min="7568" max="7568" width="4.28515625" style="44" customWidth="1"/>
    <col min="7569" max="7569" width="21.42578125" style="44" customWidth="1"/>
    <col min="7570" max="7571" width="14.28515625" style="44" customWidth="1"/>
    <col min="7572" max="7572" width="14.28515625" style="44" bestFit="1" customWidth="1"/>
    <col min="7573" max="7573" width="14.28515625" style="44" customWidth="1"/>
    <col min="7574" max="7574" width="2.85546875" style="44" customWidth="1"/>
    <col min="7575" max="7575" width="3.28515625" style="44" customWidth="1"/>
    <col min="7576" max="7576" width="26.5703125" style="44" customWidth="1"/>
    <col min="7577" max="7577" width="9.42578125" style="44" customWidth="1"/>
    <col min="7578" max="7579" width="9.7109375" style="44" customWidth="1"/>
    <col min="7580" max="7580" width="28.28515625" style="44" customWidth="1"/>
    <col min="7581" max="7617" width="9.140625" style="44"/>
    <col min="7618" max="7618" width="27.140625" style="44" customWidth="1"/>
    <col min="7619" max="7619" width="14.28515625" style="44" customWidth="1"/>
    <col min="7620" max="7620" width="12.5703125" style="44" customWidth="1"/>
    <col min="7621" max="7621" width="9.140625" style="44" customWidth="1"/>
    <col min="7622" max="7633" width="9.140625" style="44"/>
    <col min="7634" max="7634" width="27.140625" style="44" customWidth="1"/>
    <col min="7635" max="7635" width="13.28515625" style="44" bestFit="1" customWidth="1"/>
    <col min="7636" max="7673" width="9.140625" style="44"/>
    <col min="7674" max="7674" width="10.42578125" style="44" customWidth="1"/>
    <col min="7675" max="7690" width="0" style="44" hidden="1" customWidth="1"/>
    <col min="7691" max="7796" width="9.140625" style="44"/>
    <col min="7797" max="7797" width="9.140625" style="44" customWidth="1"/>
    <col min="7798" max="7798" width="4.7109375" style="44" customWidth="1"/>
    <col min="7799" max="7805" width="9.140625" style="44"/>
    <col min="7806" max="7807" width="10.85546875" style="44" customWidth="1"/>
    <col min="7808" max="7808" width="9.140625" style="44" customWidth="1"/>
    <col min="7809" max="7809" width="9.140625" style="44"/>
    <col min="7810" max="7814" width="10" style="44" customWidth="1"/>
    <col min="7815" max="7816" width="9.140625" style="44" customWidth="1"/>
    <col min="7817" max="7817" width="21.42578125" style="44" customWidth="1"/>
    <col min="7818" max="7818" width="12.85546875" style="44" customWidth="1"/>
    <col min="7819" max="7819" width="10.42578125" style="44" bestFit="1" customWidth="1"/>
    <col min="7820" max="7820" width="10.5703125" style="44" customWidth="1"/>
    <col min="7821" max="7821" width="12.85546875" style="44" customWidth="1"/>
    <col min="7822" max="7822" width="10" style="44" customWidth="1"/>
    <col min="7823" max="7823" width="8.5703125" style="44" customWidth="1"/>
    <col min="7824" max="7824" width="4.28515625" style="44" customWidth="1"/>
    <col min="7825" max="7825" width="21.42578125" style="44" customWidth="1"/>
    <col min="7826" max="7827" width="14.28515625" style="44" customWidth="1"/>
    <col min="7828" max="7828" width="14.28515625" style="44" bestFit="1" customWidth="1"/>
    <col min="7829" max="7829" width="14.28515625" style="44" customWidth="1"/>
    <col min="7830" max="7830" width="2.85546875" style="44" customWidth="1"/>
    <col min="7831" max="7831" width="3.28515625" style="44" customWidth="1"/>
    <col min="7832" max="7832" width="26.5703125" style="44" customWidth="1"/>
    <col min="7833" max="7833" width="9.42578125" style="44" customWidth="1"/>
    <col min="7834" max="7835" width="9.7109375" style="44" customWidth="1"/>
    <col min="7836" max="7836" width="28.28515625" style="44" customWidth="1"/>
    <col min="7837" max="7873" width="9.140625" style="44"/>
    <col min="7874" max="7874" width="27.140625" style="44" customWidth="1"/>
    <col min="7875" max="7875" width="14.28515625" style="44" customWidth="1"/>
    <col min="7876" max="7876" width="12.5703125" style="44" customWidth="1"/>
    <col min="7877" max="7877" width="9.140625" style="44" customWidth="1"/>
    <col min="7878" max="7889" width="9.140625" style="44"/>
    <col min="7890" max="7890" width="27.140625" style="44" customWidth="1"/>
    <col min="7891" max="7891" width="13.28515625" style="44" bestFit="1" customWidth="1"/>
    <col min="7892" max="7929" width="9.140625" style="44"/>
    <col min="7930" max="7930" width="10.42578125" style="44" customWidth="1"/>
    <col min="7931" max="7946" width="0" style="44" hidden="1" customWidth="1"/>
    <col min="7947" max="8052" width="9.140625" style="44"/>
    <col min="8053" max="8053" width="9.140625" style="44" customWidth="1"/>
    <col min="8054" max="8054" width="4.7109375" style="44" customWidth="1"/>
    <col min="8055" max="8061" width="9.140625" style="44"/>
    <col min="8062" max="8063" width="10.85546875" style="44" customWidth="1"/>
    <col min="8064" max="8064" width="9.140625" style="44" customWidth="1"/>
    <col min="8065" max="8065" width="9.140625" style="44"/>
    <col min="8066" max="8070" width="10" style="44" customWidth="1"/>
    <col min="8071" max="8072" width="9.140625" style="44" customWidth="1"/>
    <col min="8073" max="8073" width="21.42578125" style="44" customWidth="1"/>
    <col min="8074" max="8074" width="12.85546875" style="44" customWidth="1"/>
    <col min="8075" max="8075" width="10.42578125" style="44" bestFit="1" customWidth="1"/>
    <col min="8076" max="8076" width="10.5703125" style="44" customWidth="1"/>
    <col min="8077" max="8077" width="12.85546875" style="44" customWidth="1"/>
    <col min="8078" max="8078" width="10" style="44" customWidth="1"/>
    <col min="8079" max="8079" width="8.5703125" style="44" customWidth="1"/>
    <col min="8080" max="8080" width="4.28515625" style="44" customWidth="1"/>
    <col min="8081" max="8081" width="21.42578125" style="44" customWidth="1"/>
    <col min="8082" max="8083" width="14.28515625" style="44" customWidth="1"/>
    <col min="8084" max="8084" width="14.28515625" style="44" bestFit="1" customWidth="1"/>
    <col min="8085" max="8085" width="14.28515625" style="44" customWidth="1"/>
    <col min="8086" max="8086" width="2.85546875" style="44" customWidth="1"/>
    <col min="8087" max="8087" width="3.28515625" style="44" customWidth="1"/>
    <col min="8088" max="8088" width="26.5703125" style="44" customWidth="1"/>
    <col min="8089" max="8089" width="9.42578125" style="44" customWidth="1"/>
    <col min="8090" max="8091" width="9.7109375" style="44" customWidth="1"/>
    <col min="8092" max="8092" width="28.28515625" style="44" customWidth="1"/>
    <col min="8093" max="8129" width="9.140625" style="44"/>
    <col min="8130" max="8130" width="27.140625" style="44" customWidth="1"/>
    <col min="8131" max="8131" width="14.28515625" style="44" customWidth="1"/>
    <col min="8132" max="8132" width="12.5703125" style="44" customWidth="1"/>
    <col min="8133" max="8133" width="9.140625" style="44" customWidth="1"/>
    <col min="8134" max="8145" width="9.140625" style="44"/>
    <col min="8146" max="8146" width="27.140625" style="44" customWidth="1"/>
    <col min="8147" max="8147" width="13.28515625" style="44" bestFit="1" customWidth="1"/>
    <col min="8148" max="8185" width="9.140625" style="44"/>
    <col min="8186" max="8186" width="10.42578125" style="44" customWidth="1"/>
    <col min="8187" max="8202" width="0" style="44" hidden="1" customWidth="1"/>
    <col min="8203" max="8308" width="9.140625" style="44"/>
    <col min="8309" max="8309" width="9.140625" style="44" customWidth="1"/>
    <col min="8310" max="8310" width="4.7109375" style="44" customWidth="1"/>
    <col min="8311" max="8317" width="9.140625" style="44"/>
    <col min="8318" max="8319" width="10.85546875" style="44" customWidth="1"/>
    <col min="8320" max="8320" width="9.140625" style="44" customWidth="1"/>
    <col min="8321" max="8321" width="9.140625" style="44"/>
    <col min="8322" max="8326" width="10" style="44" customWidth="1"/>
    <col min="8327" max="8328" width="9.140625" style="44" customWidth="1"/>
    <col min="8329" max="8329" width="21.42578125" style="44" customWidth="1"/>
    <col min="8330" max="8330" width="12.85546875" style="44" customWidth="1"/>
    <col min="8331" max="8331" width="10.42578125" style="44" bestFit="1" customWidth="1"/>
    <col min="8332" max="8332" width="10.5703125" style="44" customWidth="1"/>
    <col min="8333" max="8333" width="12.85546875" style="44" customWidth="1"/>
    <col min="8334" max="8334" width="10" style="44" customWidth="1"/>
    <col min="8335" max="8335" width="8.5703125" style="44" customWidth="1"/>
    <col min="8336" max="8336" width="4.28515625" style="44" customWidth="1"/>
    <col min="8337" max="8337" width="21.42578125" style="44" customWidth="1"/>
    <col min="8338" max="8339" width="14.28515625" style="44" customWidth="1"/>
    <col min="8340" max="8340" width="14.28515625" style="44" bestFit="1" customWidth="1"/>
    <col min="8341" max="8341" width="14.28515625" style="44" customWidth="1"/>
    <col min="8342" max="8342" width="2.85546875" style="44" customWidth="1"/>
    <col min="8343" max="8343" width="3.28515625" style="44" customWidth="1"/>
    <col min="8344" max="8344" width="26.5703125" style="44" customWidth="1"/>
    <col min="8345" max="8345" width="9.42578125" style="44" customWidth="1"/>
    <col min="8346" max="8347" width="9.7109375" style="44" customWidth="1"/>
    <col min="8348" max="8348" width="28.28515625" style="44" customWidth="1"/>
    <col min="8349" max="8385" width="9.140625" style="44"/>
    <col min="8386" max="8386" width="27.140625" style="44" customWidth="1"/>
    <col min="8387" max="8387" width="14.28515625" style="44" customWidth="1"/>
    <col min="8388" max="8388" width="12.5703125" style="44" customWidth="1"/>
    <col min="8389" max="8389" width="9.140625" style="44" customWidth="1"/>
    <col min="8390" max="8401" width="9.140625" style="44"/>
    <col min="8402" max="8402" width="27.140625" style="44" customWidth="1"/>
    <col min="8403" max="8403" width="13.28515625" style="44" bestFit="1" customWidth="1"/>
    <col min="8404" max="8441" width="9.140625" style="44"/>
    <col min="8442" max="8442" width="10.42578125" style="44" customWidth="1"/>
    <col min="8443" max="8458" width="0" style="44" hidden="1" customWidth="1"/>
    <col min="8459" max="8564" width="9.140625" style="44"/>
    <col min="8565" max="8565" width="9.140625" style="44" customWidth="1"/>
    <col min="8566" max="8566" width="4.7109375" style="44" customWidth="1"/>
    <col min="8567" max="8573" width="9.140625" style="44"/>
    <col min="8574" max="8575" width="10.85546875" style="44" customWidth="1"/>
    <col min="8576" max="8576" width="9.140625" style="44" customWidth="1"/>
    <col min="8577" max="8577" width="9.140625" style="44"/>
    <col min="8578" max="8582" width="10" style="44" customWidth="1"/>
    <col min="8583" max="8584" width="9.140625" style="44" customWidth="1"/>
    <col min="8585" max="8585" width="21.42578125" style="44" customWidth="1"/>
    <col min="8586" max="8586" width="12.85546875" style="44" customWidth="1"/>
    <col min="8587" max="8587" width="10.42578125" style="44" bestFit="1" customWidth="1"/>
    <col min="8588" max="8588" width="10.5703125" style="44" customWidth="1"/>
    <col min="8589" max="8589" width="12.85546875" style="44" customWidth="1"/>
    <col min="8590" max="8590" width="10" style="44" customWidth="1"/>
    <col min="8591" max="8591" width="8.5703125" style="44" customWidth="1"/>
    <col min="8592" max="8592" width="4.28515625" style="44" customWidth="1"/>
    <col min="8593" max="8593" width="21.42578125" style="44" customWidth="1"/>
    <col min="8594" max="8595" width="14.28515625" style="44" customWidth="1"/>
    <col min="8596" max="8596" width="14.28515625" style="44" bestFit="1" customWidth="1"/>
    <col min="8597" max="8597" width="14.28515625" style="44" customWidth="1"/>
    <col min="8598" max="8598" width="2.85546875" style="44" customWidth="1"/>
    <col min="8599" max="8599" width="3.28515625" style="44" customWidth="1"/>
    <col min="8600" max="8600" width="26.5703125" style="44" customWidth="1"/>
    <col min="8601" max="8601" width="9.42578125" style="44" customWidth="1"/>
    <col min="8602" max="8603" width="9.7109375" style="44" customWidth="1"/>
    <col min="8604" max="8604" width="28.28515625" style="44" customWidth="1"/>
    <col min="8605" max="8641" width="9.140625" style="44"/>
    <col min="8642" max="8642" width="27.140625" style="44" customWidth="1"/>
    <col min="8643" max="8643" width="14.28515625" style="44" customWidth="1"/>
    <col min="8644" max="8644" width="12.5703125" style="44" customWidth="1"/>
    <col min="8645" max="8645" width="9.140625" style="44" customWidth="1"/>
    <col min="8646" max="8657" width="9.140625" style="44"/>
    <col min="8658" max="8658" width="27.140625" style="44" customWidth="1"/>
    <col min="8659" max="8659" width="13.28515625" style="44" bestFit="1" customWidth="1"/>
    <col min="8660" max="8697" width="9.140625" style="44"/>
    <col min="8698" max="8698" width="10.42578125" style="44" customWidth="1"/>
    <col min="8699" max="8714" width="0" style="44" hidden="1" customWidth="1"/>
    <col min="8715" max="8820" width="9.140625" style="44"/>
    <col min="8821" max="8821" width="9.140625" style="44" customWidth="1"/>
    <col min="8822" max="8822" width="4.7109375" style="44" customWidth="1"/>
    <col min="8823" max="8829" width="9.140625" style="44"/>
    <col min="8830" max="8831" width="10.85546875" style="44" customWidth="1"/>
    <col min="8832" max="8832" width="9.140625" style="44" customWidth="1"/>
    <col min="8833" max="8833" width="9.140625" style="44"/>
    <col min="8834" max="8838" width="10" style="44" customWidth="1"/>
    <col min="8839" max="8840" width="9.140625" style="44" customWidth="1"/>
    <col min="8841" max="8841" width="21.42578125" style="44" customWidth="1"/>
    <col min="8842" max="8842" width="12.85546875" style="44" customWidth="1"/>
    <col min="8843" max="8843" width="10.42578125" style="44" bestFit="1" customWidth="1"/>
    <col min="8844" max="8844" width="10.5703125" style="44" customWidth="1"/>
    <col min="8845" max="8845" width="12.85546875" style="44" customWidth="1"/>
    <col min="8846" max="8846" width="10" style="44" customWidth="1"/>
    <col min="8847" max="8847" width="8.5703125" style="44" customWidth="1"/>
    <col min="8848" max="8848" width="4.28515625" style="44" customWidth="1"/>
    <col min="8849" max="8849" width="21.42578125" style="44" customWidth="1"/>
    <col min="8850" max="8851" width="14.28515625" style="44" customWidth="1"/>
    <col min="8852" max="8852" width="14.28515625" style="44" bestFit="1" customWidth="1"/>
    <col min="8853" max="8853" width="14.28515625" style="44" customWidth="1"/>
    <col min="8854" max="8854" width="2.85546875" style="44" customWidth="1"/>
    <col min="8855" max="8855" width="3.28515625" style="44" customWidth="1"/>
    <col min="8856" max="8856" width="26.5703125" style="44" customWidth="1"/>
    <col min="8857" max="8857" width="9.42578125" style="44" customWidth="1"/>
    <col min="8858" max="8859" width="9.7109375" style="44" customWidth="1"/>
    <col min="8860" max="8860" width="28.28515625" style="44" customWidth="1"/>
    <col min="8861" max="8897" width="9.140625" style="44"/>
    <col min="8898" max="8898" width="27.140625" style="44" customWidth="1"/>
    <col min="8899" max="8899" width="14.28515625" style="44" customWidth="1"/>
    <col min="8900" max="8900" width="12.5703125" style="44" customWidth="1"/>
    <col min="8901" max="8901" width="9.140625" style="44" customWidth="1"/>
    <col min="8902" max="8913" width="9.140625" style="44"/>
    <col min="8914" max="8914" width="27.140625" style="44" customWidth="1"/>
    <col min="8915" max="8915" width="13.28515625" style="44" bestFit="1" customWidth="1"/>
    <col min="8916" max="8953" width="9.140625" style="44"/>
    <col min="8954" max="8954" width="10.42578125" style="44" customWidth="1"/>
    <col min="8955" max="8970" width="0" style="44" hidden="1" customWidth="1"/>
    <col min="8971" max="9076" width="9.140625" style="44"/>
    <col min="9077" max="9077" width="9.140625" style="44" customWidth="1"/>
    <col min="9078" max="9078" width="4.7109375" style="44" customWidth="1"/>
    <col min="9079" max="9085" width="9.140625" style="44"/>
    <col min="9086" max="9087" width="10.85546875" style="44" customWidth="1"/>
    <col min="9088" max="9088" width="9.140625" style="44" customWidth="1"/>
    <col min="9089" max="9089" width="9.140625" style="44"/>
    <col min="9090" max="9094" width="10" style="44" customWidth="1"/>
    <col min="9095" max="9096" width="9.140625" style="44" customWidth="1"/>
    <col min="9097" max="9097" width="21.42578125" style="44" customWidth="1"/>
    <col min="9098" max="9098" width="12.85546875" style="44" customWidth="1"/>
    <col min="9099" max="9099" width="10.42578125" style="44" bestFit="1" customWidth="1"/>
    <col min="9100" max="9100" width="10.5703125" style="44" customWidth="1"/>
    <col min="9101" max="9101" width="12.85546875" style="44" customWidth="1"/>
    <col min="9102" max="9102" width="10" style="44" customWidth="1"/>
    <col min="9103" max="9103" width="8.5703125" style="44" customWidth="1"/>
    <col min="9104" max="9104" width="4.28515625" style="44" customWidth="1"/>
    <col min="9105" max="9105" width="21.42578125" style="44" customWidth="1"/>
    <col min="9106" max="9107" width="14.28515625" style="44" customWidth="1"/>
    <col min="9108" max="9108" width="14.28515625" style="44" bestFit="1" customWidth="1"/>
    <col min="9109" max="9109" width="14.28515625" style="44" customWidth="1"/>
    <col min="9110" max="9110" width="2.85546875" style="44" customWidth="1"/>
    <col min="9111" max="9111" width="3.28515625" style="44" customWidth="1"/>
    <col min="9112" max="9112" width="26.5703125" style="44" customWidth="1"/>
    <col min="9113" max="9113" width="9.42578125" style="44" customWidth="1"/>
    <col min="9114" max="9115" width="9.7109375" style="44" customWidth="1"/>
    <col min="9116" max="9116" width="28.28515625" style="44" customWidth="1"/>
    <col min="9117" max="9153" width="9.140625" style="44"/>
    <col min="9154" max="9154" width="27.140625" style="44" customWidth="1"/>
    <col min="9155" max="9155" width="14.28515625" style="44" customWidth="1"/>
    <col min="9156" max="9156" width="12.5703125" style="44" customWidth="1"/>
    <col min="9157" max="9157" width="9.140625" style="44" customWidth="1"/>
    <col min="9158" max="9169" width="9.140625" style="44"/>
    <col min="9170" max="9170" width="27.140625" style="44" customWidth="1"/>
    <col min="9171" max="9171" width="13.28515625" style="44" bestFit="1" customWidth="1"/>
    <col min="9172" max="9209" width="9.140625" style="44"/>
    <col min="9210" max="9210" width="10.42578125" style="44" customWidth="1"/>
    <col min="9211" max="9226" width="0" style="44" hidden="1" customWidth="1"/>
    <col min="9227" max="9332" width="9.140625" style="44"/>
    <col min="9333" max="9333" width="9.140625" style="44" customWidth="1"/>
    <col min="9334" max="9334" width="4.7109375" style="44" customWidth="1"/>
    <col min="9335" max="9341" width="9.140625" style="44"/>
    <col min="9342" max="9343" width="10.85546875" style="44" customWidth="1"/>
    <col min="9344" max="9344" width="9.140625" style="44" customWidth="1"/>
    <col min="9345" max="9345" width="9.140625" style="44"/>
    <col min="9346" max="9350" width="10" style="44" customWidth="1"/>
    <col min="9351" max="9352" width="9.140625" style="44" customWidth="1"/>
    <col min="9353" max="9353" width="21.42578125" style="44" customWidth="1"/>
    <col min="9354" max="9354" width="12.85546875" style="44" customWidth="1"/>
    <col min="9355" max="9355" width="10.42578125" style="44" bestFit="1" customWidth="1"/>
    <col min="9356" max="9356" width="10.5703125" style="44" customWidth="1"/>
    <col min="9357" max="9357" width="12.85546875" style="44" customWidth="1"/>
    <col min="9358" max="9358" width="10" style="44" customWidth="1"/>
    <col min="9359" max="9359" width="8.5703125" style="44" customWidth="1"/>
    <col min="9360" max="9360" width="4.28515625" style="44" customWidth="1"/>
    <col min="9361" max="9361" width="21.42578125" style="44" customWidth="1"/>
    <col min="9362" max="9363" width="14.28515625" style="44" customWidth="1"/>
    <col min="9364" max="9364" width="14.28515625" style="44" bestFit="1" customWidth="1"/>
    <col min="9365" max="9365" width="14.28515625" style="44" customWidth="1"/>
    <col min="9366" max="9366" width="2.85546875" style="44" customWidth="1"/>
    <col min="9367" max="9367" width="3.28515625" style="44" customWidth="1"/>
    <col min="9368" max="9368" width="26.5703125" style="44" customWidth="1"/>
    <col min="9369" max="9369" width="9.42578125" style="44" customWidth="1"/>
    <col min="9370" max="9371" width="9.7109375" style="44" customWidth="1"/>
    <col min="9372" max="9372" width="28.28515625" style="44" customWidth="1"/>
    <col min="9373" max="9409" width="9.140625" style="44"/>
    <col min="9410" max="9410" width="27.140625" style="44" customWidth="1"/>
    <col min="9411" max="9411" width="14.28515625" style="44" customWidth="1"/>
    <col min="9412" max="9412" width="12.5703125" style="44" customWidth="1"/>
    <col min="9413" max="9413" width="9.140625" style="44" customWidth="1"/>
    <col min="9414" max="9425" width="9.140625" style="44"/>
    <col min="9426" max="9426" width="27.140625" style="44" customWidth="1"/>
    <col min="9427" max="9427" width="13.28515625" style="44" bestFit="1" customWidth="1"/>
    <col min="9428" max="9465" width="9.140625" style="44"/>
    <col min="9466" max="9466" width="10.42578125" style="44" customWidth="1"/>
    <col min="9467" max="9482" width="0" style="44" hidden="1" customWidth="1"/>
    <col min="9483" max="9588" width="9.140625" style="44"/>
    <col min="9589" max="9589" width="9.140625" style="44" customWidth="1"/>
    <col min="9590" max="9590" width="4.7109375" style="44" customWidth="1"/>
    <col min="9591" max="9597" width="9.140625" style="44"/>
    <col min="9598" max="9599" width="10.85546875" style="44" customWidth="1"/>
    <col min="9600" max="9600" width="9.140625" style="44" customWidth="1"/>
    <col min="9601" max="9601" width="9.140625" style="44"/>
    <col min="9602" max="9606" width="10" style="44" customWidth="1"/>
    <col min="9607" max="9608" width="9.140625" style="44" customWidth="1"/>
    <col min="9609" max="9609" width="21.42578125" style="44" customWidth="1"/>
    <col min="9610" max="9610" width="12.85546875" style="44" customWidth="1"/>
    <col min="9611" max="9611" width="10.42578125" style="44" bestFit="1" customWidth="1"/>
    <col min="9612" max="9612" width="10.5703125" style="44" customWidth="1"/>
    <col min="9613" max="9613" width="12.85546875" style="44" customWidth="1"/>
    <col min="9614" max="9614" width="10" style="44" customWidth="1"/>
    <col min="9615" max="9615" width="8.5703125" style="44" customWidth="1"/>
    <col min="9616" max="9616" width="4.28515625" style="44" customWidth="1"/>
    <col min="9617" max="9617" width="21.42578125" style="44" customWidth="1"/>
    <col min="9618" max="9619" width="14.28515625" style="44" customWidth="1"/>
    <col min="9620" max="9620" width="14.28515625" style="44" bestFit="1" customWidth="1"/>
    <col min="9621" max="9621" width="14.28515625" style="44" customWidth="1"/>
    <col min="9622" max="9622" width="2.85546875" style="44" customWidth="1"/>
    <col min="9623" max="9623" width="3.28515625" style="44" customWidth="1"/>
    <col min="9624" max="9624" width="26.5703125" style="44" customWidth="1"/>
    <col min="9625" max="9625" width="9.42578125" style="44" customWidth="1"/>
    <col min="9626" max="9627" width="9.7109375" style="44" customWidth="1"/>
    <col min="9628" max="9628" width="28.28515625" style="44" customWidth="1"/>
    <col min="9629" max="9665" width="9.140625" style="44"/>
    <col min="9666" max="9666" width="27.140625" style="44" customWidth="1"/>
    <col min="9667" max="9667" width="14.28515625" style="44" customWidth="1"/>
    <col min="9668" max="9668" width="12.5703125" style="44" customWidth="1"/>
    <col min="9669" max="9669" width="9.140625" style="44" customWidth="1"/>
    <col min="9670" max="9681" width="9.140625" style="44"/>
    <col min="9682" max="9682" width="27.140625" style="44" customWidth="1"/>
    <col min="9683" max="9683" width="13.28515625" style="44" bestFit="1" customWidth="1"/>
    <col min="9684" max="9721" width="9.140625" style="44"/>
    <col min="9722" max="9722" width="10.42578125" style="44" customWidth="1"/>
    <col min="9723" max="9738" width="0" style="44" hidden="1" customWidth="1"/>
    <col min="9739" max="9844" width="9.140625" style="44"/>
    <col min="9845" max="9845" width="9.140625" style="44" customWidth="1"/>
    <col min="9846" max="9846" width="4.7109375" style="44" customWidth="1"/>
    <col min="9847" max="9853" width="9.140625" style="44"/>
    <col min="9854" max="9855" width="10.85546875" style="44" customWidth="1"/>
    <col min="9856" max="9856" width="9.140625" style="44" customWidth="1"/>
    <col min="9857" max="9857" width="9.140625" style="44"/>
    <col min="9858" max="9862" width="10" style="44" customWidth="1"/>
    <col min="9863" max="9864" width="9.140625" style="44" customWidth="1"/>
    <col min="9865" max="9865" width="21.42578125" style="44" customWidth="1"/>
    <col min="9866" max="9866" width="12.85546875" style="44" customWidth="1"/>
    <col min="9867" max="9867" width="10.42578125" style="44" bestFit="1" customWidth="1"/>
    <col min="9868" max="9868" width="10.5703125" style="44" customWidth="1"/>
    <col min="9869" max="9869" width="12.85546875" style="44" customWidth="1"/>
    <col min="9870" max="9870" width="10" style="44" customWidth="1"/>
    <col min="9871" max="9871" width="8.5703125" style="44" customWidth="1"/>
    <col min="9872" max="9872" width="4.28515625" style="44" customWidth="1"/>
    <col min="9873" max="9873" width="21.42578125" style="44" customWidth="1"/>
    <col min="9874" max="9875" width="14.28515625" style="44" customWidth="1"/>
    <col min="9876" max="9876" width="14.28515625" style="44" bestFit="1" customWidth="1"/>
    <col min="9877" max="9877" width="14.28515625" style="44" customWidth="1"/>
    <col min="9878" max="9878" width="2.85546875" style="44" customWidth="1"/>
    <col min="9879" max="9879" width="3.28515625" style="44" customWidth="1"/>
    <col min="9880" max="9880" width="26.5703125" style="44" customWidth="1"/>
    <col min="9881" max="9881" width="9.42578125" style="44" customWidth="1"/>
    <col min="9882" max="9883" width="9.7109375" style="44" customWidth="1"/>
    <col min="9884" max="9884" width="28.28515625" style="44" customWidth="1"/>
    <col min="9885" max="9921" width="9.140625" style="44"/>
    <col min="9922" max="9922" width="27.140625" style="44" customWidth="1"/>
    <col min="9923" max="9923" width="14.28515625" style="44" customWidth="1"/>
    <col min="9924" max="9924" width="12.5703125" style="44" customWidth="1"/>
    <col min="9925" max="9925" width="9.140625" style="44" customWidth="1"/>
    <col min="9926" max="9937" width="9.140625" style="44"/>
    <col min="9938" max="9938" width="27.140625" style="44" customWidth="1"/>
    <col min="9939" max="9939" width="13.28515625" style="44" bestFit="1" customWidth="1"/>
    <col min="9940" max="9977" width="9.140625" style="44"/>
    <col min="9978" max="9978" width="10.42578125" style="44" customWidth="1"/>
    <col min="9979" max="9994" width="0" style="44" hidden="1" customWidth="1"/>
    <col min="9995" max="10100" width="9.140625" style="44"/>
    <col min="10101" max="10101" width="9.140625" style="44" customWidth="1"/>
    <col min="10102" max="10102" width="4.7109375" style="44" customWidth="1"/>
    <col min="10103" max="10109" width="9.140625" style="44"/>
    <col min="10110" max="10111" width="10.85546875" style="44" customWidth="1"/>
    <col min="10112" max="10112" width="9.140625" style="44" customWidth="1"/>
    <col min="10113" max="10113" width="9.140625" style="44"/>
    <col min="10114" max="10118" width="10" style="44" customWidth="1"/>
    <col min="10119" max="10120" width="9.140625" style="44" customWidth="1"/>
    <col min="10121" max="10121" width="21.42578125" style="44" customWidth="1"/>
    <col min="10122" max="10122" width="12.85546875" style="44" customWidth="1"/>
    <col min="10123" max="10123" width="10.42578125" style="44" bestFit="1" customWidth="1"/>
    <col min="10124" max="10124" width="10.5703125" style="44" customWidth="1"/>
    <col min="10125" max="10125" width="12.85546875" style="44" customWidth="1"/>
    <col min="10126" max="10126" width="10" style="44" customWidth="1"/>
    <col min="10127" max="10127" width="8.5703125" style="44" customWidth="1"/>
    <col min="10128" max="10128" width="4.28515625" style="44" customWidth="1"/>
    <col min="10129" max="10129" width="21.42578125" style="44" customWidth="1"/>
    <col min="10130" max="10131" width="14.28515625" style="44" customWidth="1"/>
    <col min="10132" max="10132" width="14.28515625" style="44" bestFit="1" customWidth="1"/>
    <col min="10133" max="10133" width="14.28515625" style="44" customWidth="1"/>
    <col min="10134" max="10134" width="2.85546875" style="44" customWidth="1"/>
    <col min="10135" max="10135" width="3.28515625" style="44" customWidth="1"/>
    <col min="10136" max="10136" width="26.5703125" style="44" customWidth="1"/>
    <col min="10137" max="10137" width="9.42578125" style="44" customWidth="1"/>
    <col min="10138" max="10139" width="9.7109375" style="44" customWidth="1"/>
    <col min="10140" max="10140" width="28.28515625" style="44" customWidth="1"/>
    <col min="10141" max="10177" width="9.140625" style="44"/>
    <col min="10178" max="10178" width="27.140625" style="44" customWidth="1"/>
    <col min="10179" max="10179" width="14.28515625" style="44" customWidth="1"/>
    <col min="10180" max="10180" width="12.5703125" style="44" customWidth="1"/>
    <col min="10181" max="10181" width="9.140625" style="44" customWidth="1"/>
    <col min="10182" max="10193" width="9.140625" style="44"/>
    <col min="10194" max="10194" width="27.140625" style="44" customWidth="1"/>
    <col min="10195" max="10195" width="13.28515625" style="44" bestFit="1" customWidth="1"/>
    <col min="10196" max="10233" width="9.140625" style="44"/>
    <col min="10234" max="10234" width="10.42578125" style="44" customWidth="1"/>
    <col min="10235" max="10250" width="0" style="44" hidden="1" customWidth="1"/>
    <col min="10251" max="10356" width="9.140625" style="44"/>
    <col min="10357" max="10357" width="9.140625" style="44" customWidth="1"/>
    <col min="10358" max="10358" width="4.7109375" style="44" customWidth="1"/>
    <col min="10359" max="10365" width="9.140625" style="44"/>
    <col min="10366" max="10367" width="10.85546875" style="44" customWidth="1"/>
    <col min="10368" max="10368" width="9.140625" style="44" customWidth="1"/>
    <col min="10369" max="10369" width="9.140625" style="44"/>
    <col min="10370" max="10374" width="10" style="44" customWidth="1"/>
    <col min="10375" max="10376" width="9.140625" style="44" customWidth="1"/>
    <col min="10377" max="10377" width="21.42578125" style="44" customWidth="1"/>
    <col min="10378" max="10378" width="12.85546875" style="44" customWidth="1"/>
    <col min="10379" max="10379" width="10.42578125" style="44" bestFit="1" customWidth="1"/>
    <col min="10380" max="10380" width="10.5703125" style="44" customWidth="1"/>
    <col min="10381" max="10381" width="12.85546875" style="44" customWidth="1"/>
    <col min="10382" max="10382" width="10" style="44" customWidth="1"/>
    <col min="10383" max="10383" width="8.5703125" style="44" customWidth="1"/>
    <col min="10384" max="10384" width="4.28515625" style="44" customWidth="1"/>
    <col min="10385" max="10385" width="21.42578125" style="44" customWidth="1"/>
    <col min="10386" max="10387" width="14.28515625" style="44" customWidth="1"/>
    <col min="10388" max="10388" width="14.28515625" style="44" bestFit="1" customWidth="1"/>
    <col min="10389" max="10389" width="14.28515625" style="44" customWidth="1"/>
    <col min="10390" max="10390" width="2.85546875" style="44" customWidth="1"/>
    <col min="10391" max="10391" width="3.28515625" style="44" customWidth="1"/>
    <col min="10392" max="10392" width="26.5703125" style="44" customWidth="1"/>
    <col min="10393" max="10393" width="9.42578125" style="44" customWidth="1"/>
    <col min="10394" max="10395" width="9.7109375" style="44" customWidth="1"/>
    <col min="10396" max="10396" width="28.28515625" style="44" customWidth="1"/>
    <col min="10397" max="10433" width="9.140625" style="44"/>
    <col min="10434" max="10434" width="27.140625" style="44" customWidth="1"/>
    <col min="10435" max="10435" width="14.28515625" style="44" customWidth="1"/>
    <col min="10436" max="10436" width="12.5703125" style="44" customWidth="1"/>
    <col min="10437" max="10437" width="9.140625" style="44" customWidth="1"/>
    <col min="10438" max="10449" width="9.140625" style="44"/>
    <col min="10450" max="10450" width="27.140625" style="44" customWidth="1"/>
    <col min="10451" max="10451" width="13.28515625" style="44" bestFit="1" customWidth="1"/>
    <col min="10452" max="10489" width="9.140625" style="44"/>
    <col min="10490" max="10490" width="10.42578125" style="44" customWidth="1"/>
    <col min="10491" max="10506" width="0" style="44" hidden="1" customWidth="1"/>
    <col min="10507" max="10612" width="9.140625" style="44"/>
    <col min="10613" max="10613" width="9.140625" style="44" customWidth="1"/>
    <col min="10614" max="10614" width="4.7109375" style="44" customWidth="1"/>
    <col min="10615" max="10621" width="9.140625" style="44"/>
    <col min="10622" max="10623" width="10.85546875" style="44" customWidth="1"/>
    <col min="10624" max="10624" width="9.140625" style="44" customWidth="1"/>
    <col min="10625" max="10625" width="9.140625" style="44"/>
    <col min="10626" max="10630" width="10" style="44" customWidth="1"/>
    <col min="10631" max="10632" width="9.140625" style="44" customWidth="1"/>
    <col min="10633" max="10633" width="21.42578125" style="44" customWidth="1"/>
    <col min="10634" max="10634" width="12.85546875" style="44" customWidth="1"/>
    <col min="10635" max="10635" width="10.42578125" style="44" bestFit="1" customWidth="1"/>
    <col min="10636" max="10636" width="10.5703125" style="44" customWidth="1"/>
    <col min="10637" max="10637" width="12.85546875" style="44" customWidth="1"/>
    <col min="10638" max="10638" width="10" style="44" customWidth="1"/>
    <col min="10639" max="10639" width="8.5703125" style="44" customWidth="1"/>
    <col min="10640" max="10640" width="4.28515625" style="44" customWidth="1"/>
    <col min="10641" max="10641" width="21.42578125" style="44" customWidth="1"/>
    <col min="10642" max="10643" width="14.28515625" style="44" customWidth="1"/>
    <col min="10644" max="10644" width="14.28515625" style="44" bestFit="1" customWidth="1"/>
    <col min="10645" max="10645" width="14.28515625" style="44" customWidth="1"/>
    <col min="10646" max="10646" width="2.85546875" style="44" customWidth="1"/>
    <col min="10647" max="10647" width="3.28515625" style="44" customWidth="1"/>
    <col min="10648" max="10648" width="26.5703125" style="44" customWidth="1"/>
    <col min="10649" max="10649" width="9.42578125" style="44" customWidth="1"/>
    <col min="10650" max="10651" width="9.7109375" style="44" customWidth="1"/>
    <col min="10652" max="10652" width="28.28515625" style="44" customWidth="1"/>
    <col min="10653" max="10689" width="9.140625" style="44"/>
    <col min="10690" max="10690" width="27.140625" style="44" customWidth="1"/>
    <col min="10691" max="10691" width="14.28515625" style="44" customWidth="1"/>
    <col min="10692" max="10692" width="12.5703125" style="44" customWidth="1"/>
    <col min="10693" max="10693" width="9.140625" style="44" customWidth="1"/>
    <col min="10694" max="10705" width="9.140625" style="44"/>
    <col min="10706" max="10706" width="27.140625" style="44" customWidth="1"/>
    <col min="10707" max="10707" width="13.28515625" style="44" bestFit="1" customWidth="1"/>
    <col min="10708" max="10745" width="9.140625" style="44"/>
    <col min="10746" max="10746" width="10.42578125" style="44" customWidth="1"/>
    <col min="10747" max="10762" width="0" style="44" hidden="1" customWidth="1"/>
    <col min="10763" max="10868" width="9.140625" style="44"/>
    <col min="10869" max="10869" width="9.140625" style="44" customWidth="1"/>
    <col min="10870" max="10870" width="4.7109375" style="44" customWidth="1"/>
    <col min="10871" max="10877" width="9.140625" style="44"/>
    <col min="10878" max="10879" width="10.85546875" style="44" customWidth="1"/>
    <col min="10880" max="10880" width="9.140625" style="44" customWidth="1"/>
    <col min="10881" max="10881" width="9.140625" style="44"/>
    <col min="10882" max="10886" width="10" style="44" customWidth="1"/>
    <col min="10887" max="10888" width="9.140625" style="44" customWidth="1"/>
    <col min="10889" max="10889" width="21.42578125" style="44" customWidth="1"/>
    <col min="10890" max="10890" width="12.85546875" style="44" customWidth="1"/>
    <col min="10891" max="10891" width="10.42578125" style="44" bestFit="1" customWidth="1"/>
    <col min="10892" max="10892" width="10.5703125" style="44" customWidth="1"/>
    <col min="10893" max="10893" width="12.85546875" style="44" customWidth="1"/>
    <col min="10894" max="10894" width="10" style="44" customWidth="1"/>
    <col min="10895" max="10895" width="8.5703125" style="44" customWidth="1"/>
    <col min="10896" max="10896" width="4.28515625" style="44" customWidth="1"/>
    <col min="10897" max="10897" width="21.42578125" style="44" customWidth="1"/>
    <col min="10898" max="10899" width="14.28515625" style="44" customWidth="1"/>
    <col min="10900" max="10900" width="14.28515625" style="44" bestFit="1" customWidth="1"/>
    <col min="10901" max="10901" width="14.28515625" style="44" customWidth="1"/>
    <col min="10902" max="10902" width="2.85546875" style="44" customWidth="1"/>
    <col min="10903" max="10903" width="3.28515625" style="44" customWidth="1"/>
    <col min="10904" max="10904" width="26.5703125" style="44" customWidth="1"/>
    <col min="10905" max="10905" width="9.42578125" style="44" customWidth="1"/>
    <col min="10906" max="10907" width="9.7109375" style="44" customWidth="1"/>
    <col min="10908" max="10908" width="28.28515625" style="44" customWidth="1"/>
    <col min="10909" max="10945" width="9.140625" style="44"/>
    <col min="10946" max="10946" width="27.140625" style="44" customWidth="1"/>
    <col min="10947" max="10947" width="14.28515625" style="44" customWidth="1"/>
    <col min="10948" max="10948" width="12.5703125" style="44" customWidth="1"/>
    <col min="10949" max="10949" width="9.140625" style="44" customWidth="1"/>
    <col min="10950" max="10961" width="9.140625" style="44"/>
    <col min="10962" max="10962" width="27.140625" style="44" customWidth="1"/>
    <col min="10963" max="10963" width="13.28515625" style="44" bestFit="1" customWidth="1"/>
    <col min="10964" max="11001" width="9.140625" style="44"/>
    <col min="11002" max="11002" width="10.42578125" style="44" customWidth="1"/>
    <col min="11003" max="11018" width="0" style="44" hidden="1" customWidth="1"/>
    <col min="11019" max="11124" width="9.140625" style="44"/>
    <col min="11125" max="11125" width="9.140625" style="44" customWidth="1"/>
    <col min="11126" max="11126" width="4.7109375" style="44" customWidth="1"/>
    <col min="11127" max="11133" width="9.140625" style="44"/>
    <col min="11134" max="11135" width="10.85546875" style="44" customWidth="1"/>
    <col min="11136" max="11136" width="9.140625" style="44" customWidth="1"/>
    <col min="11137" max="11137" width="9.140625" style="44"/>
    <col min="11138" max="11142" width="10" style="44" customWidth="1"/>
    <col min="11143" max="11144" width="9.140625" style="44" customWidth="1"/>
    <col min="11145" max="11145" width="21.42578125" style="44" customWidth="1"/>
    <col min="11146" max="11146" width="12.85546875" style="44" customWidth="1"/>
    <col min="11147" max="11147" width="10.42578125" style="44" bestFit="1" customWidth="1"/>
    <col min="11148" max="11148" width="10.5703125" style="44" customWidth="1"/>
    <col min="11149" max="11149" width="12.85546875" style="44" customWidth="1"/>
    <col min="11150" max="11150" width="10" style="44" customWidth="1"/>
    <col min="11151" max="11151" width="8.5703125" style="44" customWidth="1"/>
    <col min="11152" max="11152" width="4.28515625" style="44" customWidth="1"/>
    <col min="11153" max="11153" width="21.42578125" style="44" customWidth="1"/>
    <col min="11154" max="11155" width="14.28515625" style="44" customWidth="1"/>
    <col min="11156" max="11156" width="14.28515625" style="44" bestFit="1" customWidth="1"/>
    <col min="11157" max="11157" width="14.28515625" style="44" customWidth="1"/>
    <col min="11158" max="11158" width="2.85546875" style="44" customWidth="1"/>
    <col min="11159" max="11159" width="3.28515625" style="44" customWidth="1"/>
    <col min="11160" max="11160" width="26.5703125" style="44" customWidth="1"/>
    <col min="11161" max="11161" width="9.42578125" style="44" customWidth="1"/>
    <col min="11162" max="11163" width="9.7109375" style="44" customWidth="1"/>
    <col min="11164" max="11164" width="28.28515625" style="44" customWidth="1"/>
    <col min="11165" max="11201" width="9.140625" style="44"/>
    <col min="11202" max="11202" width="27.140625" style="44" customWidth="1"/>
    <col min="11203" max="11203" width="14.28515625" style="44" customWidth="1"/>
    <col min="11204" max="11204" width="12.5703125" style="44" customWidth="1"/>
    <col min="11205" max="11205" width="9.140625" style="44" customWidth="1"/>
    <col min="11206" max="11217" width="9.140625" style="44"/>
    <col min="11218" max="11218" width="27.140625" style="44" customWidth="1"/>
    <col min="11219" max="11219" width="13.28515625" style="44" bestFit="1" customWidth="1"/>
    <col min="11220" max="11257" width="9.140625" style="44"/>
    <col min="11258" max="11258" width="10.42578125" style="44" customWidth="1"/>
    <col min="11259" max="11274" width="0" style="44" hidden="1" customWidth="1"/>
    <col min="11275" max="11380" width="9.140625" style="44"/>
    <col min="11381" max="11381" width="9.140625" style="44" customWidth="1"/>
    <col min="11382" max="11382" width="4.7109375" style="44" customWidth="1"/>
    <col min="11383" max="11389" width="9.140625" style="44"/>
    <col min="11390" max="11391" width="10.85546875" style="44" customWidth="1"/>
    <col min="11392" max="11392" width="9.140625" style="44" customWidth="1"/>
    <col min="11393" max="11393" width="9.140625" style="44"/>
    <col min="11394" max="11398" width="10" style="44" customWidth="1"/>
    <col min="11399" max="11400" width="9.140625" style="44" customWidth="1"/>
    <col min="11401" max="11401" width="21.42578125" style="44" customWidth="1"/>
    <col min="11402" max="11402" width="12.85546875" style="44" customWidth="1"/>
    <col min="11403" max="11403" width="10.42578125" style="44" bestFit="1" customWidth="1"/>
    <col min="11404" max="11404" width="10.5703125" style="44" customWidth="1"/>
    <col min="11405" max="11405" width="12.85546875" style="44" customWidth="1"/>
    <col min="11406" max="11406" width="10" style="44" customWidth="1"/>
    <col min="11407" max="11407" width="8.5703125" style="44" customWidth="1"/>
    <col min="11408" max="11408" width="4.28515625" style="44" customWidth="1"/>
    <col min="11409" max="11409" width="21.42578125" style="44" customWidth="1"/>
    <col min="11410" max="11411" width="14.28515625" style="44" customWidth="1"/>
    <col min="11412" max="11412" width="14.28515625" style="44" bestFit="1" customWidth="1"/>
    <col min="11413" max="11413" width="14.28515625" style="44" customWidth="1"/>
    <col min="11414" max="11414" width="2.85546875" style="44" customWidth="1"/>
    <col min="11415" max="11415" width="3.28515625" style="44" customWidth="1"/>
    <col min="11416" max="11416" width="26.5703125" style="44" customWidth="1"/>
    <col min="11417" max="11417" width="9.42578125" style="44" customWidth="1"/>
    <col min="11418" max="11419" width="9.7109375" style="44" customWidth="1"/>
    <col min="11420" max="11420" width="28.28515625" style="44" customWidth="1"/>
    <col min="11421" max="11457" width="9.140625" style="44"/>
    <col min="11458" max="11458" width="27.140625" style="44" customWidth="1"/>
    <col min="11459" max="11459" width="14.28515625" style="44" customWidth="1"/>
    <col min="11460" max="11460" width="12.5703125" style="44" customWidth="1"/>
    <col min="11461" max="11461" width="9.140625" style="44" customWidth="1"/>
    <col min="11462" max="11473" width="9.140625" style="44"/>
    <col min="11474" max="11474" width="27.140625" style="44" customWidth="1"/>
    <col min="11475" max="11475" width="13.28515625" style="44" bestFit="1" customWidth="1"/>
    <col min="11476" max="11513" width="9.140625" style="44"/>
    <col min="11514" max="11514" width="10.42578125" style="44" customWidth="1"/>
    <col min="11515" max="11530" width="0" style="44" hidden="1" customWidth="1"/>
    <col min="11531" max="11636" width="9.140625" style="44"/>
    <col min="11637" max="11637" width="9.140625" style="44" customWidth="1"/>
    <col min="11638" max="11638" width="4.7109375" style="44" customWidth="1"/>
    <col min="11639" max="11645" width="9.140625" style="44"/>
    <col min="11646" max="11647" width="10.85546875" style="44" customWidth="1"/>
    <col min="11648" max="11648" width="9.140625" style="44" customWidth="1"/>
    <col min="11649" max="11649" width="9.140625" style="44"/>
    <col min="11650" max="11654" width="10" style="44" customWidth="1"/>
    <col min="11655" max="11656" width="9.140625" style="44" customWidth="1"/>
    <col min="11657" max="11657" width="21.42578125" style="44" customWidth="1"/>
    <col min="11658" max="11658" width="12.85546875" style="44" customWidth="1"/>
    <col min="11659" max="11659" width="10.42578125" style="44" bestFit="1" customWidth="1"/>
    <col min="11660" max="11660" width="10.5703125" style="44" customWidth="1"/>
    <col min="11661" max="11661" width="12.85546875" style="44" customWidth="1"/>
    <col min="11662" max="11662" width="10" style="44" customWidth="1"/>
    <col min="11663" max="11663" width="8.5703125" style="44" customWidth="1"/>
    <col min="11664" max="11664" width="4.28515625" style="44" customWidth="1"/>
    <col min="11665" max="11665" width="21.42578125" style="44" customWidth="1"/>
    <col min="11666" max="11667" width="14.28515625" style="44" customWidth="1"/>
    <col min="11668" max="11668" width="14.28515625" style="44" bestFit="1" customWidth="1"/>
    <col min="11669" max="11669" width="14.28515625" style="44" customWidth="1"/>
    <col min="11670" max="11670" width="2.85546875" style="44" customWidth="1"/>
    <col min="11671" max="11671" width="3.28515625" style="44" customWidth="1"/>
    <col min="11672" max="11672" width="26.5703125" style="44" customWidth="1"/>
    <col min="11673" max="11673" width="9.42578125" style="44" customWidth="1"/>
    <col min="11674" max="11675" width="9.7109375" style="44" customWidth="1"/>
    <col min="11676" max="11676" width="28.28515625" style="44" customWidth="1"/>
    <col min="11677" max="11713" width="9.140625" style="44"/>
    <col min="11714" max="11714" width="27.140625" style="44" customWidth="1"/>
    <col min="11715" max="11715" width="14.28515625" style="44" customWidth="1"/>
    <col min="11716" max="11716" width="12.5703125" style="44" customWidth="1"/>
    <col min="11717" max="11717" width="9.140625" style="44" customWidth="1"/>
    <col min="11718" max="11729" width="9.140625" style="44"/>
    <col min="11730" max="11730" width="27.140625" style="44" customWidth="1"/>
    <col min="11731" max="11731" width="13.28515625" style="44" bestFit="1" customWidth="1"/>
    <col min="11732" max="11769" width="9.140625" style="44"/>
    <col min="11770" max="11770" width="10.42578125" style="44" customWidth="1"/>
    <col min="11771" max="11786" width="0" style="44" hidden="1" customWidth="1"/>
    <col min="11787" max="11892" width="9.140625" style="44"/>
    <col min="11893" max="11893" width="9.140625" style="44" customWidth="1"/>
    <col min="11894" max="11894" width="4.7109375" style="44" customWidth="1"/>
    <col min="11895" max="11901" width="9.140625" style="44"/>
    <col min="11902" max="11903" width="10.85546875" style="44" customWidth="1"/>
    <col min="11904" max="11904" width="9.140625" style="44" customWidth="1"/>
    <col min="11905" max="11905" width="9.140625" style="44"/>
    <col min="11906" max="11910" width="10" style="44" customWidth="1"/>
    <col min="11911" max="11912" width="9.140625" style="44" customWidth="1"/>
    <col min="11913" max="11913" width="21.42578125" style="44" customWidth="1"/>
    <col min="11914" max="11914" width="12.85546875" style="44" customWidth="1"/>
    <col min="11915" max="11915" width="10.42578125" style="44" bestFit="1" customWidth="1"/>
    <col min="11916" max="11916" width="10.5703125" style="44" customWidth="1"/>
    <col min="11917" max="11917" width="12.85546875" style="44" customWidth="1"/>
    <col min="11918" max="11918" width="10" style="44" customWidth="1"/>
    <col min="11919" max="11919" width="8.5703125" style="44" customWidth="1"/>
    <col min="11920" max="11920" width="4.28515625" style="44" customWidth="1"/>
    <col min="11921" max="11921" width="21.42578125" style="44" customWidth="1"/>
    <col min="11922" max="11923" width="14.28515625" style="44" customWidth="1"/>
    <col min="11924" max="11924" width="14.28515625" style="44" bestFit="1" customWidth="1"/>
    <col min="11925" max="11925" width="14.28515625" style="44" customWidth="1"/>
    <col min="11926" max="11926" width="2.85546875" style="44" customWidth="1"/>
    <col min="11927" max="11927" width="3.28515625" style="44" customWidth="1"/>
    <col min="11928" max="11928" width="26.5703125" style="44" customWidth="1"/>
    <col min="11929" max="11929" width="9.42578125" style="44" customWidth="1"/>
    <col min="11930" max="11931" width="9.7109375" style="44" customWidth="1"/>
    <col min="11932" max="11932" width="28.28515625" style="44" customWidth="1"/>
    <col min="11933" max="11969" width="9.140625" style="44"/>
    <col min="11970" max="11970" width="27.140625" style="44" customWidth="1"/>
    <col min="11971" max="11971" width="14.28515625" style="44" customWidth="1"/>
    <col min="11972" max="11972" width="12.5703125" style="44" customWidth="1"/>
    <col min="11973" max="11973" width="9.140625" style="44" customWidth="1"/>
    <col min="11974" max="11985" width="9.140625" style="44"/>
    <col min="11986" max="11986" width="27.140625" style="44" customWidth="1"/>
    <col min="11987" max="11987" width="13.28515625" style="44" bestFit="1" customWidth="1"/>
    <col min="11988" max="12025" width="9.140625" style="44"/>
    <col min="12026" max="12026" width="10.42578125" style="44" customWidth="1"/>
    <col min="12027" max="12042" width="0" style="44" hidden="1" customWidth="1"/>
    <col min="12043" max="12148" width="9.140625" style="44"/>
    <col min="12149" max="12149" width="9.140625" style="44" customWidth="1"/>
    <col min="12150" max="12150" width="4.7109375" style="44" customWidth="1"/>
    <col min="12151" max="12157" width="9.140625" style="44"/>
    <col min="12158" max="12159" width="10.85546875" style="44" customWidth="1"/>
    <col min="12160" max="12160" width="9.140625" style="44" customWidth="1"/>
    <col min="12161" max="12161" width="9.140625" style="44"/>
    <col min="12162" max="12166" width="10" style="44" customWidth="1"/>
    <col min="12167" max="12168" width="9.140625" style="44" customWidth="1"/>
    <col min="12169" max="12169" width="21.42578125" style="44" customWidth="1"/>
    <col min="12170" max="12170" width="12.85546875" style="44" customWidth="1"/>
    <col min="12171" max="12171" width="10.42578125" style="44" bestFit="1" customWidth="1"/>
    <col min="12172" max="12172" width="10.5703125" style="44" customWidth="1"/>
    <col min="12173" max="12173" width="12.85546875" style="44" customWidth="1"/>
    <col min="12174" max="12174" width="10" style="44" customWidth="1"/>
    <col min="12175" max="12175" width="8.5703125" style="44" customWidth="1"/>
    <col min="12176" max="12176" width="4.28515625" style="44" customWidth="1"/>
    <col min="12177" max="12177" width="21.42578125" style="44" customWidth="1"/>
    <col min="12178" max="12179" width="14.28515625" style="44" customWidth="1"/>
    <col min="12180" max="12180" width="14.28515625" style="44" bestFit="1" customWidth="1"/>
    <col min="12181" max="12181" width="14.28515625" style="44" customWidth="1"/>
    <col min="12182" max="12182" width="2.85546875" style="44" customWidth="1"/>
    <col min="12183" max="12183" width="3.28515625" style="44" customWidth="1"/>
    <col min="12184" max="12184" width="26.5703125" style="44" customWidth="1"/>
    <col min="12185" max="12185" width="9.42578125" style="44" customWidth="1"/>
    <col min="12186" max="12187" width="9.7109375" style="44" customWidth="1"/>
    <col min="12188" max="12188" width="28.28515625" style="44" customWidth="1"/>
    <col min="12189" max="12225" width="9.140625" style="44"/>
    <col min="12226" max="12226" width="27.140625" style="44" customWidth="1"/>
    <col min="12227" max="12227" width="14.28515625" style="44" customWidth="1"/>
    <col min="12228" max="12228" width="12.5703125" style="44" customWidth="1"/>
    <col min="12229" max="12229" width="9.140625" style="44" customWidth="1"/>
    <col min="12230" max="12241" width="9.140625" style="44"/>
    <col min="12242" max="12242" width="27.140625" style="44" customWidth="1"/>
    <col min="12243" max="12243" width="13.28515625" style="44" bestFit="1" customWidth="1"/>
    <col min="12244" max="12281" width="9.140625" style="44"/>
    <col min="12282" max="12282" width="10.42578125" style="44" customWidth="1"/>
    <col min="12283" max="12298" width="0" style="44" hidden="1" customWidth="1"/>
    <col min="12299" max="12404" width="9.140625" style="44"/>
    <col min="12405" max="12405" width="9.140625" style="44" customWidth="1"/>
    <col min="12406" max="12406" width="4.7109375" style="44" customWidth="1"/>
    <col min="12407" max="12413" width="9.140625" style="44"/>
    <col min="12414" max="12415" width="10.85546875" style="44" customWidth="1"/>
    <col min="12416" max="12416" width="9.140625" style="44" customWidth="1"/>
    <col min="12417" max="12417" width="9.140625" style="44"/>
    <col min="12418" max="12422" width="10" style="44" customWidth="1"/>
    <col min="12423" max="12424" width="9.140625" style="44" customWidth="1"/>
    <col min="12425" max="12425" width="21.42578125" style="44" customWidth="1"/>
    <col min="12426" max="12426" width="12.85546875" style="44" customWidth="1"/>
    <col min="12427" max="12427" width="10.42578125" style="44" bestFit="1" customWidth="1"/>
    <col min="12428" max="12428" width="10.5703125" style="44" customWidth="1"/>
    <col min="12429" max="12429" width="12.85546875" style="44" customWidth="1"/>
    <col min="12430" max="12430" width="10" style="44" customWidth="1"/>
    <col min="12431" max="12431" width="8.5703125" style="44" customWidth="1"/>
    <col min="12432" max="12432" width="4.28515625" style="44" customWidth="1"/>
    <col min="12433" max="12433" width="21.42578125" style="44" customWidth="1"/>
    <col min="12434" max="12435" width="14.28515625" style="44" customWidth="1"/>
    <col min="12436" max="12436" width="14.28515625" style="44" bestFit="1" customWidth="1"/>
    <col min="12437" max="12437" width="14.28515625" style="44" customWidth="1"/>
    <col min="12438" max="12438" width="2.85546875" style="44" customWidth="1"/>
    <col min="12439" max="12439" width="3.28515625" style="44" customWidth="1"/>
    <col min="12440" max="12440" width="26.5703125" style="44" customWidth="1"/>
    <col min="12441" max="12441" width="9.42578125" style="44" customWidth="1"/>
    <col min="12442" max="12443" width="9.7109375" style="44" customWidth="1"/>
    <col min="12444" max="12444" width="28.28515625" style="44" customWidth="1"/>
    <col min="12445" max="12481" width="9.140625" style="44"/>
    <col min="12482" max="12482" width="27.140625" style="44" customWidth="1"/>
    <col min="12483" max="12483" width="14.28515625" style="44" customWidth="1"/>
    <col min="12484" max="12484" width="12.5703125" style="44" customWidth="1"/>
    <col min="12485" max="12485" width="9.140625" style="44" customWidth="1"/>
    <col min="12486" max="12497" width="9.140625" style="44"/>
    <col min="12498" max="12498" width="27.140625" style="44" customWidth="1"/>
    <col min="12499" max="12499" width="13.28515625" style="44" bestFit="1" customWidth="1"/>
    <col min="12500" max="12537" width="9.140625" style="44"/>
    <col min="12538" max="12538" width="10.42578125" style="44" customWidth="1"/>
    <col min="12539" max="12554" width="0" style="44" hidden="1" customWidth="1"/>
    <col min="12555" max="12660" width="9.140625" style="44"/>
    <col min="12661" max="12661" width="9.140625" style="44" customWidth="1"/>
    <col min="12662" max="12662" width="4.7109375" style="44" customWidth="1"/>
    <col min="12663" max="12669" width="9.140625" style="44"/>
    <col min="12670" max="12671" width="10.85546875" style="44" customWidth="1"/>
    <col min="12672" max="12672" width="9.140625" style="44" customWidth="1"/>
    <col min="12673" max="12673" width="9.140625" style="44"/>
    <col min="12674" max="12678" width="10" style="44" customWidth="1"/>
    <col min="12679" max="12680" width="9.140625" style="44" customWidth="1"/>
    <col min="12681" max="12681" width="21.42578125" style="44" customWidth="1"/>
    <col min="12682" max="12682" width="12.85546875" style="44" customWidth="1"/>
    <col min="12683" max="12683" width="10.42578125" style="44" bestFit="1" customWidth="1"/>
    <col min="12684" max="12684" width="10.5703125" style="44" customWidth="1"/>
    <col min="12685" max="12685" width="12.85546875" style="44" customWidth="1"/>
    <col min="12686" max="12686" width="10" style="44" customWidth="1"/>
    <col min="12687" max="12687" width="8.5703125" style="44" customWidth="1"/>
    <col min="12688" max="12688" width="4.28515625" style="44" customWidth="1"/>
    <col min="12689" max="12689" width="21.42578125" style="44" customWidth="1"/>
    <col min="12690" max="12691" width="14.28515625" style="44" customWidth="1"/>
    <col min="12692" max="12692" width="14.28515625" style="44" bestFit="1" customWidth="1"/>
    <col min="12693" max="12693" width="14.28515625" style="44" customWidth="1"/>
    <col min="12694" max="12694" width="2.85546875" style="44" customWidth="1"/>
    <col min="12695" max="12695" width="3.28515625" style="44" customWidth="1"/>
    <col min="12696" max="12696" width="26.5703125" style="44" customWidth="1"/>
    <col min="12697" max="12697" width="9.42578125" style="44" customWidth="1"/>
    <col min="12698" max="12699" width="9.7109375" style="44" customWidth="1"/>
    <col min="12700" max="12700" width="28.28515625" style="44" customWidth="1"/>
    <col min="12701" max="12737" width="9.140625" style="44"/>
    <col min="12738" max="12738" width="27.140625" style="44" customWidth="1"/>
    <col min="12739" max="12739" width="14.28515625" style="44" customWidth="1"/>
    <col min="12740" max="12740" width="12.5703125" style="44" customWidth="1"/>
    <col min="12741" max="12741" width="9.140625" style="44" customWidth="1"/>
    <col min="12742" max="12753" width="9.140625" style="44"/>
    <col min="12754" max="12754" width="27.140625" style="44" customWidth="1"/>
    <col min="12755" max="12755" width="13.28515625" style="44" bestFit="1" customWidth="1"/>
    <col min="12756" max="12793" width="9.140625" style="44"/>
    <col min="12794" max="12794" width="10.42578125" style="44" customWidth="1"/>
    <col min="12795" max="12810" width="0" style="44" hidden="1" customWidth="1"/>
    <col min="12811" max="12916" width="9.140625" style="44"/>
    <col min="12917" max="12917" width="9.140625" style="44" customWidth="1"/>
    <col min="12918" max="12918" width="4.7109375" style="44" customWidth="1"/>
    <col min="12919" max="12925" width="9.140625" style="44"/>
    <col min="12926" max="12927" width="10.85546875" style="44" customWidth="1"/>
    <col min="12928" max="12928" width="9.140625" style="44" customWidth="1"/>
    <col min="12929" max="12929" width="9.140625" style="44"/>
    <col min="12930" max="12934" width="10" style="44" customWidth="1"/>
    <col min="12935" max="12936" width="9.140625" style="44" customWidth="1"/>
    <col min="12937" max="12937" width="21.42578125" style="44" customWidth="1"/>
    <col min="12938" max="12938" width="12.85546875" style="44" customWidth="1"/>
    <col min="12939" max="12939" width="10.42578125" style="44" bestFit="1" customWidth="1"/>
    <col min="12940" max="12940" width="10.5703125" style="44" customWidth="1"/>
    <col min="12941" max="12941" width="12.85546875" style="44" customWidth="1"/>
    <col min="12942" max="12942" width="10" style="44" customWidth="1"/>
    <col min="12943" max="12943" width="8.5703125" style="44" customWidth="1"/>
    <col min="12944" max="12944" width="4.28515625" style="44" customWidth="1"/>
    <col min="12945" max="12945" width="21.42578125" style="44" customWidth="1"/>
    <col min="12946" max="12947" width="14.28515625" style="44" customWidth="1"/>
    <col min="12948" max="12948" width="14.28515625" style="44" bestFit="1" customWidth="1"/>
    <col min="12949" max="12949" width="14.28515625" style="44" customWidth="1"/>
    <col min="12950" max="12950" width="2.85546875" style="44" customWidth="1"/>
    <col min="12951" max="12951" width="3.28515625" style="44" customWidth="1"/>
    <col min="12952" max="12952" width="26.5703125" style="44" customWidth="1"/>
    <col min="12953" max="12953" width="9.42578125" style="44" customWidth="1"/>
    <col min="12954" max="12955" width="9.7109375" style="44" customWidth="1"/>
    <col min="12956" max="12956" width="28.28515625" style="44" customWidth="1"/>
    <col min="12957" max="12993" width="9.140625" style="44"/>
    <col min="12994" max="12994" width="27.140625" style="44" customWidth="1"/>
    <col min="12995" max="12995" width="14.28515625" style="44" customWidth="1"/>
    <col min="12996" max="12996" width="12.5703125" style="44" customWidth="1"/>
    <col min="12997" max="12997" width="9.140625" style="44" customWidth="1"/>
    <col min="12998" max="13009" width="9.140625" style="44"/>
    <col min="13010" max="13010" width="27.140625" style="44" customWidth="1"/>
    <col min="13011" max="13011" width="13.28515625" style="44" bestFit="1" customWidth="1"/>
    <col min="13012" max="13049" width="9.140625" style="44"/>
    <col min="13050" max="13050" width="10.42578125" style="44" customWidth="1"/>
    <col min="13051" max="13066" width="0" style="44" hidden="1" customWidth="1"/>
    <col min="13067" max="13172" width="9.140625" style="44"/>
    <col min="13173" max="13173" width="9.140625" style="44" customWidth="1"/>
    <col min="13174" max="13174" width="4.7109375" style="44" customWidth="1"/>
    <col min="13175" max="13181" width="9.140625" style="44"/>
    <col min="13182" max="13183" width="10.85546875" style="44" customWidth="1"/>
    <col min="13184" max="13184" width="9.140625" style="44" customWidth="1"/>
    <col min="13185" max="13185" width="9.140625" style="44"/>
    <col min="13186" max="13190" width="10" style="44" customWidth="1"/>
    <col min="13191" max="13192" width="9.140625" style="44" customWidth="1"/>
    <col min="13193" max="13193" width="21.42578125" style="44" customWidth="1"/>
    <col min="13194" max="13194" width="12.85546875" style="44" customWidth="1"/>
    <col min="13195" max="13195" width="10.42578125" style="44" bestFit="1" customWidth="1"/>
    <col min="13196" max="13196" width="10.5703125" style="44" customWidth="1"/>
    <col min="13197" max="13197" width="12.85546875" style="44" customWidth="1"/>
    <col min="13198" max="13198" width="10" style="44" customWidth="1"/>
    <col min="13199" max="13199" width="8.5703125" style="44" customWidth="1"/>
    <col min="13200" max="13200" width="4.28515625" style="44" customWidth="1"/>
    <col min="13201" max="13201" width="21.42578125" style="44" customWidth="1"/>
    <col min="13202" max="13203" width="14.28515625" style="44" customWidth="1"/>
    <col min="13204" max="13204" width="14.28515625" style="44" bestFit="1" customWidth="1"/>
    <col min="13205" max="13205" width="14.28515625" style="44" customWidth="1"/>
    <col min="13206" max="13206" width="2.85546875" style="44" customWidth="1"/>
    <col min="13207" max="13207" width="3.28515625" style="44" customWidth="1"/>
    <col min="13208" max="13208" width="26.5703125" style="44" customWidth="1"/>
    <col min="13209" max="13209" width="9.42578125" style="44" customWidth="1"/>
    <col min="13210" max="13211" width="9.7109375" style="44" customWidth="1"/>
    <col min="13212" max="13212" width="28.28515625" style="44" customWidth="1"/>
    <col min="13213" max="13249" width="9.140625" style="44"/>
    <col min="13250" max="13250" width="27.140625" style="44" customWidth="1"/>
    <col min="13251" max="13251" width="14.28515625" style="44" customWidth="1"/>
    <col min="13252" max="13252" width="12.5703125" style="44" customWidth="1"/>
    <col min="13253" max="13253" width="9.140625" style="44" customWidth="1"/>
    <col min="13254" max="13265" width="9.140625" style="44"/>
    <col min="13266" max="13266" width="27.140625" style="44" customWidth="1"/>
    <col min="13267" max="13267" width="13.28515625" style="44" bestFit="1" customWidth="1"/>
    <col min="13268" max="13305" width="9.140625" style="44"/>
    <col min="13306" max="13306" width="10.42578125" style="44" customWidth="1"/>
    <col min="13307" max="13322" width="0" style="44" hidden="1" customWidth="1"/>
    <col min="13323" max="13428" width="9.140625" style="44"/>
    <col min="13429" max="13429" width="9.140625" style="44" customWidth="1"/>
    <col min="13430" max="13430" width="4.7109375" style="44" customWidth="1"/>
    <col min="13431" max="13437" width="9.140625" style="44"/>
    <col min="13438" max="13439" width="10.85546875" style="44" customWidth="1"/>
    <col min="13440" max="13440" width="9.140625" style="44" customWidth="1"/>
    <col min="13441" max="13441" width="9.140625" style="44"/>
    <col min="13442" max="13446" width="10" style="44" customWidth="1"/>
    <col min="13447" max="13448" width="9.140625" style="44" customWidth="1"/>
    <col min="13449" max="13449" width="21.42578125" style="44" customWidth="1"/>
    <col min="13450" max="13450" width="12.85546875" style="44" customWidth="1"/>
    <col min="13451" max="13451" width="10.42578125" style="44" bestFit="1" customWidth="1"/>
    <col min="13452" max="13452" width="10.5703125" style="44" customWidth="1"/>
    <col min="13453" max="13453" width="12.85546875" style="44" customWidth="1"/>
    <col min="13454" max="13454" width="10" style="44" customWidth="1"/>
    <col min="13455" max="13455" width="8.5703125" style="44" customWidth="1"/>
    <col min="13456" max="13456" width="4.28515625" style="44" customWidth="1"/>
    <col min="13457" max="13457" width="21.42578125" style="44" customWidth="1"/>
    <col min="13458" max="13459" width="14.28515625" style="44" customWidth="1"/>
    <col min="13460" max="13460" width="14.28515625" style="44" bestFit="1" customWidth="1"/>
    <col min="13461" max="13461" width="14.28515625" style="44" customWidth="1"/>
    <col min="13462" max="13462" width="2.85546875" style="44" customWidth="1"/>
    <col min="13463" max="13463" width="3.28515625" style="44" customWidth="1"/>
    <col min="13464" max="13464" width="26.5703125" style="44" customWidth="1"/>
    <col min="13465" max="13465" width="9.42578125" style="44" customWidth="1"/>
    <col min="13466" max="13467" width="9.7109375" style="44" customWidth="1"/>
    <col min="13468" max="13468" width="28.28515625" style="44" customWidth="1"/>
    <col min="13469" max="13505" width="9.140625" style="44"/>
    <col min="13506" max="13506" width="27.140625" style="44" customWidth="1"/>
    <col min="13507" max="13507" width="14.28515625" style="44" customWidth="1"/>
    <col min="13508" max="13508" width="12.5703125" style="44" customWidth="1"/>
    <col min="13509" max="13509" width="9.140625" style="44" customWidth="1"/>
    <col min="13510" max="13521" width="9.140625" style="44"/>
    <col min="13522" max="13522" width="27.140625" style="44" customWidth="1"/>
    <col min="13523" max="13523" width="13.28515625" style="44" bestFit="1" customWidth="1"/>
    <col min="13524" max="13561" width="9.140625" style="44"/>
    <col min="13562" max="13562" width="10.42578125" style="44" customWidth="1"/>
    <col min="13563" max="13578" width="0" style="44" hidden="1" customWidth="1"/>
    <col min="13579" max="13684" width="9.140625" style="44"/>
    <col min="13685" max="13685" width="9.140625" style="44" customWidth="1"/>
    <col min="13686" max="13686" width="4.7109375" style="44" customWidth="1"/>
    <col min="13687" max="13693" width="9.140625" style="44"/>
    <col min="13694" max="13695" width="10.85546875" style="44" customWidth="1"/>
    <col min="13696" max="13696" width="9.140625" style="44" customWidth="1"/>
    <col min="13697" max="13697" width="9.140625" style="44"/>
    <col min="13698" max="13702" width="10" style="44" customWidth="1"/>
    <col min="13703" max="13704" width="9.140625" style="44" customWidth="1"/>
    <col min="13705" max="13705" width="21.42578125" style="44" customWidth="1"/>
    <col min="13706" max="13706" width="12.85546875" style="44" customWidth="1"/>
    <col min="13707" max="13707" width="10.42578125" style="44" bestFit="1" customWidth="1"/>
    <col min="13708" max="13708" width="10.5703125" style="44" customWidth="1"/>
    <col min="13709" max="13709" width="12.85546875" style="44" customWidth="1"/>
    <col min="13710" max="13710" width="10" style="44" customWidth="1"/>
    <col min="13711" max="13711" width="8.5703125" style="44" customWidth="1"/>
    <col min="13712" max="13712" width="4.28515625" style="44" customWidth="1"/>
    <col min="13713" max="13713" width="21.42578125" style="44" customWidth="1"/>
    <col min="13714" max="13715" width="14.28515625" style="44" customWidth="1"/>
    <col min="13716" max="13716" width="14.28515625" style="44" bestFit="1" customWidth="1"/>
    <col min="13717" max="13717" width="14.28515625" style="44" customWidth="1"/>
    <col min="13718" max="13718" width="2.85546875" style="44" customWidth="1"/>
    <col min="13719" max="13719" width="3.28515625" style="44" customWidth="1"/>
    <col min="13720" max="13720" width="26.5703125" style="44" customWidth="1"/>
    <col min="13721" max="13721" width="9.42578125" style="44" customWidth="1"/>
    <col min="13722" max="13723" width="9.7109375" style="44" customWidth="1"/>
    <col min="13724" max="13724" width="28.28515625" style="44" customWidth="1"/>
    <col min="13725" max="13761" width="9.140625" style="44"/>
    <col min="13762" max="13762" width="27.140625" style="44" customWidth="1"/>
    <col min="13763" max="13763" width="14.28515625" style="44" customWidth="1"/>
    <col min="13764" max="13764" width="12.5703125" style="44" customWidth="1"/>
    <col min="13765" max="13765" width="9.140625" style="44" customWidth="1"/>
    <col min="13766" max="13777" width="9.140625" style="44"/>
    <col min="13778" max="13778" width="27.140625" style="44" customWidth="1"/>
    <col min="13779" max="13779" width="13.28515625" style="44" bestFit="1" customWidth="1"/>
    <col min="13780" max="13817" width="9.140625" style="44"/>
    <col min="13818" max="13818" width="10.42578125" style="44" customWidth="1"/>
    <col min="13819" max="13834" width="0" style="44" hidden="1" customWidth="1"/>
    <col min="13835" max="13940" width="9.140625" style="44"/>
    <col min="13941" max="13941" width="9.140625" style="44" customWidth="1"/>
    <col min="13942" max="13942" width="4.7109375" style="44" customWidth="1"/>
    <col min="13943" max="13949" width="9.140625" style="44"/>
    <col min="13950" max="13951" width="10.85546875" style="44" customWidth="1"/>
    <col min="13952" max="13952" width="9.140625" style="44" customWidth="1"/>
    <col min="13953" max="13953" width="9.140625" style="44"/>
    <col min="13954" max="13958" width="10" style="44" customWidth="1"/>
    <col min="13959" max="13960" width="9.140625" style="44" customWidth="1"/>
    <col min="13961" max="13961" width="21.42578125" style="44" customWidth="1"/>
    <col min="13962" max="13962" width="12.85546875" style="44" customWidth="1"/>
    <col min="13963" max="13963" width="10.42578125" style="44" bestFit="1" customWidth="1"/>
    <col min="13964" max="13964" width="10.5703125" style="44" customWidth="1"/>
    <col min="13965" max="13965" width="12.85546875" style="44" customWidth="1"/>
    <col min="13966" max="13966" width="10" style="44" customWidth="1"/>
    <col min="13967" max="13967" width="8.5703125" style="44" customWidth="1"/>
    <col min="13968" max="13968" width="4.28515625" style="44" customWidth="1"/>
    <col min="13969" max="13969" width="21.42578125" style="44" customWidth="1"/>
    <col min="13970" max="13971" width="14.28515625" style="44" customWidth="1"/>
    <col min="13972" max="13972" width="14.28515625" style="44" bestFit="1" customWidth="1"/>
    <col min="13973" max="13973" width="14.28515625" style="44" customWidth="1"/>
    <col min="13974" max="13974" width="2.85546875" style="44" customWidth="1"/>
    <col min="13975" max="13975" width="3.28515625" style="44" customWidth="1"/>
    <col min="13976" max="13976" width="26.5703125" style="44" customWidth="1"/>
    <col min="13977" max="13977" width="9.42578125" style="44" customWidth="1"/>
    <col min="13978" max="13979" width="9.7109375" style="44" customWidth="1"/>
    <col min="13980" max="13980" width="28.28515625" style="44" customWidth="1"/>
    <col min="13981" max="14017" width="9.140625" style="44"/>
    <col min="14018" max="14018" width="27.140625" style="44" customWidth="1"/>
    <col min="14019" max="14019" width="14.28515625" style="44" customWidth="1"/>
    <col min="14020" max="14020" width="12.5703125" style="44" customWidth="1"/>
    <col min="14021" max="14021" width="9.140625" style="44" customWidth="1"/>
    <col min="14022" max="14033" width="9.140625" style="44"/>
    <col min="14034" max="14034" width="27.140625" style="44" customWidth="1"/>
    <col min="14035" max="14035" width="13.28515625" style="44" bestFit="1" customWidth="1"/>
    <col min="14036" max="14073" width="9.140625" style="44"/>
    <col min="14074" max="14074" width="10.42578125" style="44" customWidth="1"/>
    <col min="14075" max="14090" width="0" style="44" hidden="1" customWidth="1"/>
    <col min="14091" max="14196" width="9.140625" style="44"/>
    <col min="14197" max="14197" width="9.140625" style="44" customWidth="1"/>
    <col min="14198" max="14198" width="4.7109375" style="44" customWidth="1"/>
    <col min="14199" max="14205" width="9.140625" style="44"/>
    <col min="14206" max="14207" width="10.85546875" style="44" customWidth="1"/>
    <col min="14208" max="14208" width="9.140625" style="44" customWidth="1"/>
    <col min="14209" max="14209" width="9.140625" style="44"/>
    <col min="14210" max="14214" width="10" style="44" customWidth="1"/>
    <col min="14215" max="14216" width="9.140625" style="44" customWidth="1"/>
    <col min="14217" max="14217" width="21.42578125" style="44" customWidth="1"/>
    <col min="14218" max="14218" width="12.85546875" style="44" customWidth="1"/>
    <col min="14219" max="14219" width="10.42578125" style="44" bestFit="1" customWidth="1"/>
    <col min="14220" max="14220" width="10.5703125" style="44" customWidth="1"/>
    <col min="14221" max="14221" width="12.85546875" style="44" customWidth="1"/>
    <col min="14222" max="14222" width="10" style="44" customWidth="1"/>
    <col min="14223" max="14223" width="8.5703125" style="44" customWidth="1"/>
    <col min="14224" max="14224" width="4.28515625" style="44" customWidth="1"/>
    <col min="14225" max="14225" width="21.42578125" style="44" customWidth="1"/>
    <col min="14226" max="14227" width="14.28515625" style="44" customWidth="1"/>
    <col min="14228" max="14228" width="14.28515625" style="44" bestFit="1" customWidth="1"/>
    <col min="14229" max="14229" width="14.28515625" style="44" customWidth="1"/>
    <col min="14230" max="14230" width="2.85546875" style="44" customWidth="1"/>
    <col min="14231" max="14231" width="3.28515625" style="44" customWidth="1"/>
    <col min="14232" max="14232" width="26.5703125" style="44" customWidth="1"/>
    <col min="14233" max="14233" width="9.42578125" style="44" customWidth="1"/>
    <col min="14234" max="14235" width="9.7109375" style="44" customWidth="1"/>
    <col min="14236" max="14236" width="28.28515625" style="44" customWidth="1"/>
    <col min="14237" max="14273" width="9.140625" style="44"/>
    <col min="14274" max="14274" width="27.140625" style="44" customWidth="1"/>
    <col min="14275" max="14275" width="14.28515625" style="44" customWidth="1"/>
    <col min="14276" max="14276" width="12.5703125" style="44" customWidth="1"/>
    <col min="14277" max="14277" width="9.140625" style="44" customWidth="1"/>
    <col min="14278" max="14289" width="9.140625" style="44"/>
    <col min="14290" max="14290" width="27.140625" style="44" customWidth="1"/>
    <col min="14291" max="14291" width="13.28515625" style="44" bestFit="1" customWidth="1"/>
    <col min="14292" max="14329" width="9.140625" style="44"/>
    <col min="14330" max="14330" width="10.42578125" style="44" customWidth="1"/>
    <col min="14331" max="14346" width="0" style="44" hidden="1" customWidth="1"/>
    <col min="14347" max="14452" width="9.140625" style="44"/>
    <col min="14453" max="14453" width="9.140625" style="44" customWidth="1"/>
    <col min="14454" max="14454" width="4.7109375" style="44" customWidth="1"/>
    <col min="14455" max="14461" width="9.140625" style="44"/>
    <col min="14462" max="14463" width="10.85546875" style="44" customWidth="1"/>
    <col min="14464" max="14464" width="9.140625" style="44" customWidth="1"/>
    <col min="14465" max="14465" width="9.140625" style="44"/>
    <col min="14466" max="14470" width="10" style="44" customWidth="1"/>
    <col min="14471" max="14472" width="9.140625" style="44" customWidth="1"/>
    <col min="14473" max="14473" width="21.42578125" style="44" customWidth="1"/>
    <col min="14474" max="14474" width="12.85546875" style="44" customWidth="1"/>
    <col min="14475" max="14475" width="10.42578125" style="44" bestFit="1" customWidth="1"/>
    <col min="14476" max="14476" width="10.5703125" style="44" customWidth="1"/>
    <col min="14477" max="14477" width="12.85546875" style="44" customWidth="1"/>
    <col min="14478" max="14478" width="10" style="44" customWidth="1"/>
    <col min="14479" max="14479" width="8.5703125" style="44" customWidth="1"/>
    <col min="14480" max="14480" width="4.28515625" style="44" customWidth="1"/>
    <col min="14481" max="14481" width="21.42578125" style="44" customWidth="1"/>
    <col min="14482" max="14483" width="14.28515625" style="44" customWidth="1"/>
    <col min="14484" max="14484" width="14.28515625" style="44" bestFit="1" customWidth="1"/>
    <col min="14485" max="14485" width="14.28515625" style="44" customWidth="1"/>
    <col min="14486" max="14486" width="2.85546875" style="44" customWidth="1"/>
    <col min="14487" max="14487" width="3.28515625" style="44" customWidth="1"/>
    <col min="14488" max="14488" width="26.5703125" style="44" customWidth="1"/>
    <col min="14489" max="14489" width="9.42578125" style="44" customWidth="1"/>
    <col min="14490" max="14491" width="9.7109375" style="44" customWidth="1"/>
    <col min="14492" max="14492" width="28.28515625" style="44" customWidth="1"/>
    <col min="14493" max="14529" width="9.140625" style="44"/>
    <col min="14530" max="14530" width="27.140625" style="44" customWidth="1"/>
    <col min="14531" max="14531" width="14.28515625" style="44" customWidth="1"/>
    <col min="14532" max="14532" width="12.5703125" style="44" customWidth="1"/>
    <col min="14533" max="14533" width="9.140625" style="44" customWidth="1"/>
    <col min="14534" max="14545" width="9.140625" style="44"/>
    <col min="14546" max="14546" width="27.140625" style="44" customWidth="1"/>
    <col min="14547" max="14547" width="13.28515625" style="44" bestFit="1" customWidth="1"/>
    <col min="14548" max="14585" width="9.140625" style="44"/>
    <col min="14586" max="14586" width="10.42578125" style="44" customWidth="1"/>
    <col min="14587" max="14602" width="0" style="44" hidden="1" customWidth="1"/>
    <col min="14603" max="14708" width="9.140625" style="44"/>
    <col min="14709" max="14709" width="9.140625" style="44" customWidth="1"/>
    <col min="14710" max="14710" width="4.7109375" style="44" customWidth="1"/>
    <col min="14711" max="14717" width="9.140625" style="44"/>
    <col min="14718" max="14719" width="10.85546875" style="44" customWidth="1"/>
    <col min="14720" max="14720" width="9.140625" style="44" customWidth="1"/>
    <col min="14721" max="14721" width="9.140625" style="44"/>
    <col min="14722" max="14726" width="10" style="44" customWidth="1"/>
    <col min="14727" max="14728" width="9.140625" style="44" customWidth="1"/>
    <col min="14729" max="14729" width="21.42578125" style="44" customWidth="1"/>
    <col min="14730" max="14730" width="12.85546875" style="44" customWidth="1"/>
    <col min="14731" max="14731" width="10.42578125" style="44" bestFit="1" customWidth="1"/>
    <col min="14732" max="14732" width="10.5703125" style="44" customWidth="1"/>
    <col min="14733" max="14733" width="12.85546875" style="44" customWidth="1"/>
    <col min="14734" max="14734" width="10" style="44" customWidth="1"/>
    <col min="14735" max="14735" width="8.5703125" style="44" customWidth="1"/>
    <col min="14736" max="14736" width="4.28515625" style="44" customWidth="1"/>
    <col min="14737" max="14737" width="21.42578125" style="44" customWidth="1"/>
    <col min="14738" max="14739" width="14.28515625" style="44" customWidth="1"/>
    <col min="14740" max="14740" width="14.28515625" style="44" bestFit="1" customWidth="1"/>
    <col min="14741" max="14741" width="14.28515625" style="44" customWidth="1"/>
    <col min="14742" max="14742" width="2.85546875" style="44" customWidth="1"/>
    <col min="14743" max="14743" width="3.28515625" style="44" customWidth="1"/>
    <col min="14744" max="14744" width="26.5703125" style="44" customWidth="1"/>
    <col min="14745" max="14745" width="9.42578125" style="44" customWidth="1"/>
    <col min="14746" max="14747" width="9.7109375" style="44" customWidth="1"/>
    <col min="14748" max="14748" width="28.28515625" style="44" customWidth="1"/>
    <col min="14749" max="14785" width="9.140625" style="44"/>
    <col min="14786" max="14786" width="27.140625" style="44" customWidth="1"/>
    <col min="14787" max="14787" width="14.28515625" style="44" customWidth="1"/>
    <col min="14788" max="14788" width="12.5703125" style="44" customWidth="1"/>
    <col min="14789" max="14789" width="9.140625" style="44" customWidth="1"/>
    <col min="14790" max="14801" width="9.140625" style="44"/>
    <col min="14802" max="14802" width="27.140625" style="44" customWidth="1"/>
    <col min="14803" max="14803" width="13.28515625" style="44" bestFit="1" customWidth="1"/>
    <col min="14804" max="14841" width="9.140625" style="44"/>
    <col min="14842" max="14842" width="10.42578125" style="44" customWidth="1"/>
    <col min="14843" max="14858" width="0" style="44" hidden="1" customWidth="1"/>
    <col min="14859" max="14964" width="9.140625" style="44"/>
    <col min="14965" max="14965" width="9.140625" style="44" customWidth="1"/>
    <col min="14966" max="14966" width="4.7109375" style="44" customWidth="1"/>
    <col min="14967" max="14973" width="9.140625" style="44"/>
    <col min="14974" max="14975" width="10.85546875" style="44" customWidth="1"/>
    <col min="14976" max="14976" width="9.140625" style="44" customWidth="1"/>
    <col min="14977" max="14977" width="9.140625" style="44"/>
    <col min="14978" max="14982" width="10" style="44" customWidth="1"/>
    <col min="14983" max="14984" width="9.140625" style="44" customWidth="1"/>
    <col min="14985" max="14985" width="21.42578125" style="44" customWidth="1"/>
    <col min="14986" max="14986" width="12.85546875" style="44" customWidth="1"/>
    <col min="14987" max="14987" width="10.42578125" style="44" bestFit="1" customWidth="1"/>
    <col min="14988" max="14988" width="10.5703125" style="44" customWidth="1"/>
    <col min="14989" max="14989" width="12.85546875" style="44" customWidth="1"/>
    <col min="14990" max="14990" width="10" style="44" customWidth="1"/>
    <col min="14991" max="14991" width="8.5703125" style="44" customWidth="1"/>
    <col min="14992" max="14992" width="4.28515625" style="44" customWidth="1"/>
    <col min="14993" max="14993" width="21.42578125" style="44" customWidth="1"/>
    <col min="14994" max="14995" width="14.28515625" style="44" customWidth="1"/>
    <col min="14996" max="14996" width="14.28515625" style="44" bestFit="1" customWidth="1"/>
    <col min="14997" max="14997" width="14.28515625" style="44" customWidth="1"/>
    <col min="14998" max="14998" width="2.85546875" style="44" customWidth="1"/>
    <col min="14999" max="14999" width="3.28515625" style="44" customWidth="1"/>
    <col min="15000" max="15000" width="26.5703125" style="44" customWidth="1"/>
    <col min="15001" max="15001" width="9.42578125" style="44" customWidth="1"/>
    <col min="15002" max="15003" width="9.7109375" style="44" customWidth="1"/>
    <col min="15004" max="15004" width="28.28515625" style="44" customWidth="1"/>
    <col min="15005" max="15041" width="9.140625" style="44"/>
    <col min="15042" max="15042" width="27.140625" style="44" customWidth="1"/>
    <col min="15043" max="15043" width="14.28515625" style="44" customWidth="1"/>
    <col min="15044" max="15044" width="12.5703125" style="44" customWidth="1"/>
    <col min="15045" max="15045" width="9.140625" style="44" customWidth="1"/>
    <col min="15046" max="15057" width="9.140625" style="44"/>
    <col min="15058" max="15058" width="27.140625" style="44" customWidth="1"/>
    <col min="15059" max="15059" width="13.28515625" style="44" bestFit="1" customWidth="1"/>
    <col min="15060" max="15097" width="9.140625" style="44"/>
    <col min="15098" max="15098" width="10.42578125" style="44" customWidth="1"/>
    <col min="15099" max="15114" width="0" style="44" hidden="1" customWidth="1"/>
    <col min="15115" max="15220" width="9.140625" style="44"/>
    <col min="15221" max="15221" width="9.140625" style="44" customWidth="1"/>
    <col min="15222" max="15222" width="4.7109375" style="44" customWidth="1"/>
    <col min="15223" max="15229" width="9.140625" style="44"/>
    <col min="15230" max="15231" width="10.85546875" style="44" customWidth="1"/>
    <col min="15232" max="15232" width="9.140625" style="44" customWidth="1"/>
    <col min="15233" max="15233" width="9.140625" style="44"/>
    <col min="15234" max="15238" width="10" style="44" customWidth="1"/>
    <col min="15239" max="15240" width="9.140625" style="44" customWidth="1"/>
    <col min="15241" max="15241" width="21.42578125" style="44" customWidth="1"/>
    <col min="15242" max="15242" width="12.85546875" style="44" customWidth="1"/>
    <col min="15243" max="15243" width="10.42578125" style="44" bestFit="1" customWidth="1"/>
    <col min="15244" max="15244" width="10.5703125" style="44" customWidth="1"/>
    <col min="15245" max="15245" width="12.85546875" style="44" customWidth="1"/>
    <col min="15246" max="15246" width="10" style="44" customWidth="1"/>
    <col min="15247" max="15247" width="8.5703125" style="44" customWidth="1"/>
    <col min="15248" max="15248" width="4.28515625" style="44" customWidth="1"/>
    <col min="15249" max="15249" width="21.42578125" style="44" customWidth="1"/>
    <col min="15250" max="15251" width="14.28515625" style="44" customWidth="1"/>
    <col min="15252" max="15252" width="14.28515625" style="44" bestFit="1" customWidth="1"/>
    <col min="15253" max="15253" width="14.28515625" style="44" customWidth="1"/>
    <col min="15254" max="15254" width="2.85546875" style="44" customWidth="1"/>
    <col min="15255" max="15255" width="3.28515625" style="44" customWidth="1"/>
    <col min="15256" max="15256" width="26.5703125" style="44" customWidth="1"/>
    <col min="15257" max="15257" width="9.42578125" style="44" customWidth="1"/>
    <col min="15258" max="15259" width="9.7109375" style="44" customWidth="1"/>
    <col min="15260" max="15260" width="28.28515625" style="44" customWidth="1"/>
    <col min="15261" max="15297" width="9.140625" style="44"/>
    <col min="15298" max="15298" width="27.140625" style="44" customWidth="1"/>
    <col min="15299" max="15299" width="14.28515625" style="44" customWidth="1"/>
    <col min="15300" max="15300" width="12.5703125" style="44" customWidth="1"/>
    <col min="15301" max="15301" width="9.140625" style="44" customWidth="1"/>
    <col min="15302" max="15313" width="9.140625" style="44"/>
    <col min="15314" max="15314" width="27.140625" style="44" customWidth="1"/>
    <col min="15315" max="15315" width="13.28515625" style="44" bestFit="1" customWidth="1"/>
    <col min="15316" max="15353" width="9.140625" style="44"/>
    <col min="15354" max="15354" width="10.42578125" style="44" customWidth="1"/>
    <col min="15355" max="15370" width="0" style="44" hidden="1" customWidth="1"/>
    <col min="15371" max="15476" width="9.140625" style="44"/>
    <col min="15477" max="15477" width="9.140625" style="44" customWidth="1"/>
    <col min="15478" max="15478" width="4.7109375" style="44" customWidth="1"/>
    <col min="15479" max="15485" width="9.140625" style="44"/>
    <col min="15486" max="15487" width="10.85546875" style="44" customWidth="1"/>
    <col min="15488" max="15488" width="9.140625" style="44" customWidth="1"/>
    <col min="15489" max="15489" width="9.140625" style="44"/>
    <col min="15490" max="15494" width="10" style="44" customWidth="1"/>
    <col min="15495" max="15496" width="9.140625" style="44" customWidth="1"/>
    <col min="15497" max="15497" width="21.42578125" style="44" customWidth="1"/>
    <col min="15498" max="15498" width="12.85546875" style="44" customWidth="1"/>
    <col min="15499" max="15499" width="10.42578125" style="44" bestFit="1" customWidth="1"/>
    <col min="15500" max="15500" width="10.5703125" style="44" customWidth="1"/>
    <col min="15501" max="15501" width="12.85546875" style="44" customWidth="1"/>
    <col min="15502" max="15502" width="10" style="44" customWidth="1"/>
    <col min="15503" max="15503" width="8.5703125" style="44" customWidth="1"/>
    <col min="15504" max="15504" width="4.28515625" style="44" customWidth="1"/>
    <col min="15505" max="15505" width="21.42578125" style="44" customWidth="1"/>
    <col min="15506" max="15507" width="14.28515625" style="44" customWidth="1"/>
    <col min="15508" max="15508" width="14.28515625" style="44" bestFit="1" customWidth="1"/>
    <col min="15509" max="15509" width="14.28515625" style="44" customWidth="1"/>
    <col min="15510" max="15510" width="2.85546875" style="44" customWidth="1"/>
    <col min="15511" max="15511" width="3.28515625" style="44" customWidth="1"/>
    <col min="15512" max="15512" width="26.5703125" style="44" customWidth="1"/>
    <col min="15513" max="15513" width="9.42578125" style="44" customWidth="1"/>
    <col min="15514" max="15515" width="9.7109375" style="44" customWidth="1"/>
    <col min="15516" max="15516" width="28.28515625" style="44" customWidth="1"/>
    <col min="15517" max="15553" width="9.140625" style="44"/>
    <col min="15554" max="15554" width="27.140625" style="44" customWidth="1"/>
    <col min="15555" max="15555" width="14.28515625" style="44" customWidth="1"/>
    <col min="15556" max="15556" width="12.5703125" style="44" customWidth="1"/>
    <col min="15557" max="15557" width="9.140625" style="44" customWidth="1"/>
    <col min="15558" max="15569" width="9.140625" style="44"/>
    <col min="15570" max="15570" width="27.140625" style="44" customWidth="1"/>
    <col min="15571" max="15571" width="13.28515625" style="44" bestFit="1" customWidth="1"/>
    <col min="15572" max="15609" width="9.140625" style="44"/>
    <col min="15610" max="15610" width="10.42578125" style="44" customWidth="1"/>
    <col min="15611" max="15626" width="0" style="44" hidden="1" customWidth="1"/>
    <col min="15627" max="15732" width="9.140625" style="44"/>
    <col min="15733" max="15733" width="9.140625" style="44" customWidth="1"/>
    <col min="15734" max="15734" width="4.7109375" style="44" customWidth="1"/>
    <col min="15735" max="15741" width="9.140625" style="44"/>
    <col min="15742" max="15743" width="10.85546875" style="44" customWidth="1"/>
    <col min="15744" max="15744" width="9.140625" style="44" customWidth="1"/>
    <col min="15745" max="15745" width="9.140625" style="44"/>
    <col min="15746" max="15750" width="10" style="44" customWidth="1"/>
    <col min="15751" max="15752" width="9.140625" style="44" customWidth="1"/>
    <col min="15753" max="15753" width="21.42578125" style="44" customWidth="1"/>
    <col min="15754" max="15754" width="12.85546875" style="44" customWidth="1"/>
    <col min="15755" max="15755" width="10.42578125" style="44" bestFit="1" customWidth="1"/>
    <col min="15756" max="15756" width="10.5703125" style="44" customWidth="1"/>
    <col min="15757" max="15757" width="12.85546875" style="44" customWidth="1"/>
    <col min="15758" max="15758" width="10" style="44" customWidth="1"/>
    <col min="15759" max="15759" width="8.5703125" style="44" customWidth="1"/>
    <col min="15760" max="15760" width="4.28515625" style="44" customWidth="1"/>
    <col min="15761" max="15761" width="21.42578125" style="44" customWidth="1"/>
    <col min="15762" max="15763" width="14.28515625" style="44" customWidth="1"/>
    <col min="15764" max="15764" width="14.28515625" style="44" bestFit="1" customWidth="1"/>
    <col min="15765" max="15765" width="14.28515625" style="44" customWidth="1"/>
    <col min="15766" max="15766" width="2.85546875" style="44" customWidth="1"/>
    <col min="15767" max="15767" width="3.28515625" style="44" customWidth="1"/>
    <col min="15768" max="15768" width="26.5703125" style="44" customWidth="1"/>
    <col min="15769" max="15769" width="9.42578125" style="44" customWidth="1"/>
    <col min="15770" max="15771" width="9.7109375" style="44" customWidth="1"/>
    <col min="15772" max="15772" width="28.28515625" style="44" customWidth="1"/>
    <col min="15773" max="15809" width="9.140625" style="44"/>
    <col min="15810" max="15810" width="27.140625" style="44" customWidth="1"/>
    <col min="15811" max="15811" width="14.28515625" style="44" customWidth="1"/>
    <col min="15812" max="15812" width="12.5703125" style="44" customWidth="1"/>
    <col min="15813" max="15813" width="9.140625" style="44" customWidth="1"/>
    <col min="15814" max="15825" width="9.140625" style="44"/>
    <col min="15826" max="15826" width="27.140625" style="44" customWidth="1"/>
    <col min="15827" max="15827" width="13.28515625" style="44" bestFit="1" customWidth="1"/>
    <col min="15828" max="15865" width="9.140625" style="44"/>
    <col min="15866" max="15866" width="10.42578125" style="44" customWidth="1"/>
    <col min="15867" max="15882" width="0" style="44" hidden="1" customWidth="1"/>
    <col min="15883" max="15988" width="9.140625" style="44"/>
    <col min="15989" max="15989" width="9.140625" style="44" customWidth="1"/>
    <col min="15990" max="15990" width="4.7109375" style="44" customWidth="1"/>
    <col min="15991" max="15997" width="9.140625" style="44"/>
    <col min="15998" max="15999" width="10.85546875" style="44" customWidth="1"/>
    <col min="16000" max="16000" width="9.140625" style="44" customWidth="1"/>
    <col min="16001" max="16001" width="9.140625" style="44"/>
    <col min="16002" max="16006" width="10" style="44" customWidth="1"/>
    <col min="16007" max="16008" width="9.140625" style="44" customWidth="1"/>
    <col min="16009" max="16009" width="21.42578125" style="44" customWidth="1"/>
    <col min="16010" max="16010" width="12.85546875" style="44" customWidth="1"/>
    <col min="16011" max="16011" width="10.42578125" style="44" bestFit="1" customWidth="1"/>
    <col min="16012" max="16012" width="10.5703125" style="44" customWidth="1"/>
    <col min="16013" max="16013" width="12.85546875" style="44" customWidth="1"/>
    <col min="16014" max="16014" width="10" style="44" customWidth="1"/>
    <col min="16015" max="16015" width="8.5703125" style="44" customWidth="1"/>
    <col min="16016" max="16016" width="4.28515625" style="44" customWidth="1"/>
    <col min="16017" max="16017" width="21.42578125" style="44" customWidth="1"/>
    <col min="16018" max="16019" width="14.28515625" style="44" customWidth="1"/>
    <col min="16020" max="16020" width="14.28515625" style="44" bestFit="1" customWidth="1"/>
    <col min="16021" max="16021" width="14.28515625" style="44" customWidth="1"/>
    <col min="16022" max="16022" width="2.85546875" style="44" customWidth="1"/>
    <col min="16023" max="16023" width="3.28515625" style="44" customWidth="1"/>
    <col min="16024" max="16024" width="26.5703125" style="44" customWidth="1"/>
    <col min="16025" max="16025" width="9.42578125" style="44" customWidth="1"/>
    <col min="16026" max="16027" width="9.7109375" style="44" customWidth="1"/>
    <col min="16028" max="16028" width="28.28515625" style="44" customWidth="1"/>
    <col min="16029" max="16065" width="9.140625" style="44"/>
    <col min="16066" max="16066" width="27.140625" style="44" customWidth="1"/>
    <col min="16067" max="16067" width="14.28515625" style="44" customWidth="1"/>
    <col min="16068" max="16068" width="12.5703125" style="44" customWidth="1"/>
    <col min="16069" max="16069" width="9.140625" style="44" customWidth="1"/>
    <col min="16070" max="16081" width="9.140625" style="44"/>
    <col min="16082" max="16082" width="27.140625" style="44" customWidth="1"/>
    <col min="16083" max="16083" width="13.28515625" style="44" bestFit="1" customWidth="1"/>
    <col min="16084" max="16121" width="9.140625" style="44"/>
    <col min="16122" max="16122" width="10.42578125" style="44" customWidth="1"/>
    <col min="16123" max="16138" width="0" style="44" hidden="1" customWidth="1"/>
    <col min="16139" max="16384" width="9.140625" style="44"/>
  </cols>
  <sheetData>
    <row r="1" spans="11:28" ht="15" customHeight="1" x14ac:dyDescent="0.3">
      <c r="T1" s="46"/>
      <c r="U1" s="46"/>
      <c r="V1" s="46"/>
      <c r="W1" s="46"/>
      <c r="X1" s="46"/>
      <c r="Y1" s="46"/>
      <c r="Z1" s="46"/>
      <c r="AA1" s="46"/>
      <c r="AB1" s="46"/>
    </row>
    <row r="2" spans="11:28" ht="15" customHeight="1" x14ac:dyDescent="0.3">
      <c r="L2" s="45"/>
      <c r="M2" s="47"/>
      <c r="N2" s="47"/>
      <c r="O2" s="47"/>
      <c r="P2" s="47"/>
      <c r="Q2" s="47"/>
      <c r="T2" s="46"/>
      <c r="U2" s="46"/>
      <c r="V2" s="46"/>
      <c r="W2" s="46"/>
      <c r="X2" s="46"/>
      <c r="Y2" s="46"/>
      <c r="Z2" s="46"/>
      <c r="AA2" s="46"/>
      <c r="AB2" s="46"/>
    </row>
    <row r="3" spans="11:28" ht="15" customHeight="1" x14ac:dyDescent="0.3">
      <c r="T3" s="46"/>
      <c r="U3" s="46"/>
      <c r="V3" s="46"/>
      <c r="W3" s="46"/>
      <c r="X3" s="46"/>
      <c r="Y3" s="46"/>
      <c r="Z3" s="46"/>
      <c r="AA3" s="46"/>
      <c r="AB3" s="46"/>
    </row>
    <row r="4" spans="11:28" ht="15" customHeight="1" x14ac:dyDescent="0.3"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1:28" ht="15" customHeight="1" x14ac:dyDescent="0.3"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1:28" ht="18" customHeight="1" x14ac:dyDescent="0.3"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</row>
    <row r="7" spans="11:28" ht="15" customHeight="1" x14ac:dyDescent="0.3"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</row>
    <row r="8" spans="11:28" ht="15" customHeight="1" x14ac:dyDescent="0.3"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8"/>
      <c r="AA8" s="48"/>
      <c r="AB8" s="48"/>
    </row>
    <row r="9" spans="11:28" ht="15" customHeight="1" x14ac:dyDescent="0.3"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</row>
    <row r="10" spans="11:28" ht="15" customHeight="1" x14ac:dyDescent="0.3"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</row>
    <row r="11" spans="11:28" ht="15.75" customHeight="1" x14ac:dyDescent="0.3"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</row>
    <row r="12" spans="11:28" ht="15" customHeight="1" x14ac:dyDescent="0.3"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</row>
    <row r="13" spans="11:28" ht="15" customHeight="1" x14ac:dyDescent="0.3"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</row>
    <row r="14" spans="11:28" ht="15" customHeight="1" x14ac:dyDescent="0.3"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</row>
    <row r="15" spans="11:28" ht="15" customHeight="1" x14ac:dyDescent="0.3"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</row>
    <row r="16" spans="11:28" ht="15" customHeight="1" x14ac:dyDescent="0.3"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</row>
    <row r="17" spans="11:28" ht="15" customHeight="1" x14ac:dyDescent="0.3"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</row>
    <row r="18" spans="11:28" ht="15" customHeight="1" x14ac:dyDescent="0.3"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</row>
    <row r="19" spans="11:28" ht="16.5" customHeight="1" x14ac:dyDescent="0.3"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</row>
    <row r="20" spans="11:28" ht="15" customHeight="1" x14ac:dyDescent="0.3"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</row>
    <row r="21" spans="11:28" ht="15" customHeight="1" x14ac:dyDescent="0.3"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</row>
    <row r="22" spans="11:28" ht="15" customHeight="1" x14ac:dyDescent="0.3"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</row>
    <row r="23" spans="11:28" ht="15" customHeight="1" x14ac:dyDescent="0.3"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</row>
    <row r="24" spans="11:28" ht="15" customHeight="1" x14ac:dyDescent="0.3"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</row>
    <row r="25" spans="11:28" x14ac:dyDescent="0.3"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</row>
    <row r="26" spans="11:28" ht="15" customHeight="1" x14ac:dyDescent="0.3"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</row>
    <row r="27" spans="11:28" ht="15" customHeight="1" x14ac:dyDescent="0.3"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</row>
    <row r="28" spans="11:28" ht="15" customHeight="1" x14ac:dyDescent="0.3"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</row>
    <row r="29" spans="11:28" ht="15.75" customHeight="1" x14ac:dyDescent="0.3"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1:28" ht="15" customHeight="1" x14ac:dyDescent="0.3"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</row>
    <row r="31" spans="11:28" ht="15" customHeight="1" x14ac:dyDescent="0.3"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</row>
    <row r="32" spans="11:28" ht="15" customHeight="1" x14ac:dyDescent="0.3"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</row>
    <row r="33" spans="2:28" ht="15.75" customHeight="1" x14ac:dyDescent="0.3"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</row>
    <row r="34" spans="2:28" ht="15" customHeight="1" x14ac:dyDescent="0.3"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</row>
    <row r="35" spans="2:28" x14ac:dyDescent="0.3"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</row>
    <row r="36" spans="2:28" ht="15" customHeight="1" x14ac:dyDescent="0.3"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</row>
    <row r="37" spans="2:28" ht="15.75" customHeight="1" x14ac:dyDescent="0.3"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</row>
    <row r="38" spans="2:28" x14ac:dyDescent="0.3"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</row>
    <row r="39" spans="2:28" ht="15" customHeight="1" x14ac:dyDescent="0.3"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</row>
    <row r="40" spans="2:28" ht="15" customHeight="1" x14ac:dyDescent="0.3"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</row>
    <row r="41" spans="2:28" ht="15" customHeight="1" x14ac:dyDescent="0.3"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</row>
    <row r="42" spans="2:28" ht="15" customHeight="1" x14ac:dyDescent="0.3"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</row>
    <row r="43" spans="2:28" ht="15.75" customHeight="1" x14ac:dyDescent="0.3"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</row>
    <row r="44" spans="2:28" x14ac:dyDescent="0.3"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2:28" x14ac:dyDescent="0.3"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</row>
    <row r="46" spans="2:28" x14ac:dyDescent="0.3"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</row>
    <row r="47" spans="2:28" x14ac:dyDescent="0.3">
      <c r="B47" s="361" t="str">
        <f>VLOOKUP(Dados_Clientes!F2,Dados_Clientes!F3:G102,2,FALSE)</f>
        <v>INSTITUTO DE PREVIDÊNCIA MUNICIPAL DE ITAPEVA</v>
      </c>
      <c r="C47" s="361"/>
      <c r="D47" s="361"/>
      <c r="E47" s="361"/>
      <c r="F47" s="361"/>
      <c r="G47" s="361"/>
      <c r="H47" s="361"/>
      <c r="I47" s="361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</row>
    <row r="48" spans="2:28" x14ac:dyDescent="0.3">
      <c r="B48" s="361"/>
      <c r="C48" s="361"/>
      <c r="D48" s="361"/>
      <c r="E48" s="361"/>
      <c r="F48" s="361"/>
      <c r="G48" s="361"/>
      <c r="H48" s="361"/>
      <c r="I48" s="361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</row>
    <row r="49" spans="2:9" x14ac:dyDescent="0.3">
      <c r="B49" s="361"/>
      <c r="C49" s="361"/>
      <c r="D49" s="361"/>
      <c r="E49" s="361"/>
      <c r="F49" s="361"/>
      <c r="G49" s="361"/>
      <c r="H49" s="361"/>
      <c r="I49" s="361"/>
    </row>
    <row r="50" spans="2:9" ht="18" x14ac:dyDescent="0.35">
      <c r="F50" s="362" t="str">
        <f>VLOOKUP(Dados_Clientes!C10,Dados_Clientes!A10:B21,2,FALSE)</f>
        <v>Março/2016</v>
      </c>
      <c r="G50" s="362"/>
      <c r="H50" s="362"/>
    </row>
    <row r="129" ht="15" customHeight="1" x14ac:dyDescent="0.3"/>
    <row r="292" ht="15" customHeight="1" x14ac:dyDescent="0.3"/>
    <row r="302" ht="15" customHeight="1" x14ac:dyDescent="0.3"/>
    <row r="317" ht="15" customHeight="1" x14ac:dyDescent="0.3"/>
    <row r="357" ht="15" customHeight="1" x14ac:dyDescent="0.3"/>
    <row r="364" ht="15" customHeight="1" x14ac:dyDescent="0.3"/>
    <row r="425" ht="15" customHeight="1" x14ac:dyDescent="0.3"/>
    <row r="444" ht="15" customHeight="1" x14ac:dyDescent="0.3"/>
    <row r="547" ht="15" customHeight="1" x14ac:dyDescent="0.3"/>
    <row r="550" ht="15" customHeight="1" x14ac:dyDescent="0.3"/>
  </sheetData>
  <sheetProtection password="F591" sheet="1" objects="1" scenarios="1" formatCells="0" formatColumns="0" formatRows="0" insertColumns="0" insertRows="0" insertHyperlinks="0" deleteColumns="0" deleteRows="0" selectLockedCells="1" sort="0" autoFilter="0" pivotTables="0"/>
  <mergeCells count="2">
    <mergeCell ref="B47:I49"/>
    <mergeCell ref="F50:H50"/>
  </mergeCells>
  <pageMargins left="0.78740157480314965" right="0.78740157480314965" top="1.02" bottom="1.1399999999999999" header="0.51181102362204722" footer="1.1000000000000001"/>
  <pageSetup paperSize="9" scale="94" orientation="portrait" r:id="rId1"/>
  <headerFooter differentFirst="1" alignWithMargins="0">
    <oddHeader>&amp;C&amp;G</oddHeader>
    <oddFooter>&amp;C&amp;G&amp;R&amp;P</odd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Equation.3" shapeId="2049" r:id="rId5">
          <objectPr defaultSize="0" autoPict="0" r:id="rId6">
            <anchor moveWithCells="1" sizeWithCells="1">
              <from>
                <xdr:col>10</xdr:col>
                <xdr:colOff>0</xdr:colOff>
                <xdr:row>13</xdr:row>
                <xdr:rowOff>38100</xdr:rowOff>
              </from>
              <to>
                <xdr:col>10</xdr:col>
                <xdr:colOff>0</xdr:colOff>
                <xdr:row>15</xdr:row>
                <xdr:rowOff>0</xdr:rowOff>
              </to>
            </anchor>
          </objectPr>
        </oleObject>
      </mc:Choice>
      <mc:Fallback>
        <oleObject progId="Equation.3" shapeId="2049" r:id="rId5"/>
      </mc:Fallback>
    </mc:AlternateContent>
    <mc:AlternateContent xmlns:mc="http://schemas.openxmlformats.org/markup-compatibility/2006">
      <mc:Choice Requires="x14">
        <oleObject progId="Equation.3" shapeId="2050" r:id="rId7">
          <objectPr defaultSize="0" autoPict="0" r:id="rId8">
            <anchor moveWithCells="1" sizeWithCells="1">
              <from>
                <xdr:col>10</xdr:col>
                <xdr:colOff>0</xdr:colOff>
                <xdr:row>39</xdr:row>
                <xdr:rowOff>152400</xdr:rowOff>
              </from>
              <to>
                <xdr:col>10</xdr:col>
                <xdr:colOff>0</xdr:colOff>
                <xdr:row>42</xdr:row>
                <xdr:rowOff>19050</xdr:rowOff>
              </to>
            </anchor>
          </objectPr>
        </oleObject>
      </mc:Choice>
      <mc:Fallback>
        <oleObject progId="Equation.3" shapeId="2050" r:id="rId7"/>
      </mc:Fallback>
    </mc:AlternateContent>
    <mc:AlternateContent xmlns:mc="http://schemas.openxmlformats.org/markup-compatibility/2006">
      <mc:Choice Requires="x14">
        <oleObject progId="Equation.3" shapeId="2051" r:id="rId9">
          <objectPr defaultSize="0" autoPict="0" r:id="rId10">
            <anchor moveWithCells="1" sizeWithCells="1">
              <from>
                <xdr:col>10</xdr:col>
                <xdr:colOff>0</xdr:colOff>
                <xdr:row>5</xdr:row>
                <xdr:rowOff>76200</xdr:rowOff>
              </from>
              <to>
                <xdr:col>10</xdr:col>
                <xdr:colOff>0</xdr:colOff>
                <xdr:row>8</xdr:row>
                <xdr:rowOff>76200</xdr:rowOff>
              </to>
            </anchor>
          </objectPr>
        </oleObject>
      </mc:Choice>
      <mc:Fallback>
        <oleObject progId="Equation.3" shapeId="2051" r:id="rId9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2">
    <tabColor rgb="FFFFFF00"/>
  </sheetPr>
  <dimension ref="A1:FI36"/>
  <sheetViews>
    <sheetView showGridLines="0" view="pageLayout" topLeftCell="FB1" workbookViewId="0">
      <selection activeCell="CI11" sqref="CI11"/>
    </sheetView>
  </sheetViews>
  <sheetFormatPr defaultRowHeight="15" x14ac:dyDescent="0.3"/>
  <cols>
    <col min="17" max="17" width="9.140625" customWidth="1"/>
    <col min="20" max="20" width="9.5703125" bestFit="1" customWidth="1"/>
    <col min="31" max="31" width="2.5703125" customWidth="1"/>
    <col min="32" max="32" width="26.7109375" customWidth="1"/>
    <col min="33" max="33" width="14.28515625" bestFit="1" customWidth="1"/>
    <col min="34" max="35" width="14.28515625" customWidth="1"/>
    <col min="36" max="36" width="8.7109375" style="25" customWidth="1"/>
    <col min="37" max="38" width="14.28515625" customWidth="1"/>
    <col min="39" max="39" width="11.28515625" bestFit="1" customWidth="1"/>
    <col min="41" max="41" width="10.85546875" customWidth="1"/>
    <col min="42" max="42" width="2.140625" customWidth="1"/>
    <col min="43" max="43" width="14.140625" bestFit="1" customWidth="1"/>
    <col min="44" max="44" width="15" customWidth="1"/>
    <col min="45" max="45" width="17.7109375" bestFit="1" customWidth="1"/>
    <col min="46" max="47" width="15.140625" bestFit="1" customWidth="1"/>
    <col min="48" max="48" width="16.28515625" bestFit="1" customWidth="1"/>
    <col min="49" max="49" width="14.85546875" bestFit="1" customWidth="1"/>
    <col min="50" max="50" width="11.28515625" bestFit="1" customWidth="1"/>
    <col min="52" max="52" width="9.85546875" bestFit="1" customWidth="1"/>
    <col min="68" max="68" width="5.28515625" customWidth="1"/>
    <col min="69" max="69" width="4.28515625" style="25" customWidth="1"/>
    <col min="86" max="86" width="27.28515625" bestFit="1" customWidth="1"/>
    <col min="87" max="87" width="14.28515625" customWidth="1"/>
    <col min="88" max="88" width="16.42578125" bestFit="1" customWidth="1"/>
    <col min="89" max="90" width="17.5703125" bestFit="1" customWidth="1"/>
    <col min="91" max="91" width="18.42578125" bestFit="1" customWidth="1"/>
    <col min="96" max="96" width="10" customWidth="1"/>
    <col min="97" max="97" width="9.42578125" customWidth="1"/>
    <col min="109" max="109" width="4.7109375" customWidth="1"/>
    <col min="110" max="110" width="4.85546875" style="25" customWidth="1"/>
    <col min="123" max="123" width="15" customWidth="1"/>
    <col min="125" max="125" width="3.5703125" customWidth="1"/>
    <col min="126" max="126" width="16.85546875" customWidth="1"/>
    <col min="127" max="127" width="27.5703125" customWidth="1"/>
    <col min="128" max="128" width="14.7109375" bestFit="1" customWidth="1"/>
    <col min="130" max="130" width="25.7109375" customWidth="1"/>
    <col min="131" max="131" width="14.7109375" customWidth="1"/>
    <col min="150" max="150" width="5.5703125" customWidth="1"/>
    <col min="152" max="152" width="6.28515625" customWidth="1"/>
    <col min="153" max="153" width="24.28515625" customWidth="1"/>
    <col min="154" max="154" width="15" customWidth="1"/>
    <col min="155" max="155" width="9" customWidth="1"/>
    <col min="156" max="156" width="10.5703125" customWidth="1"/>
    <col min="157" max="157" width="47.85546875" customWidth="1"/>
    <col min="158" max="158" width="9.42578125" customWidth="1"/>
    <col min="162" max="162" width="46.42578125" customWidth="1"/>
    <col min="163" max="163" width="18" bestFit="1" customWidth="1"/>
    <col min="164" max="164" width="24.5703125" bestFit="1" customWidth="1"/>
    <col min="165" max="165" width="12.85546875" bestFit="1" customWidth="1"/>
  </cols>
  <sheetData>
    <row r="1" spans="1:165" x14ac:dyDescent="0.3">
      <c r="P1" s="25" t="s">
        <v>718</v>
      </c>
      <c r="AE1" s="25"/>
      <c r="AF1" s="49" t="s">
        <v>606</v>
      </c>
      <c r="AG1" s="25"/>
      <c r="AH1" s="25"/>
      <c r="AI1" s="25"/>
      <c r="AK1" s="25"/>
      <c r="AL1" s="25"/>
      <c r="AM1" s="25"/>
      <c r="AN1" s="25"/>
      <c r="AO1" s="25"/>
      <c r="AP1" s="25"/>
      <c r="CH1" s="49" t="s">
        <v>582</v>
      </c>
      <c r="DH1" s="49" t="s">
        <v>585</v>
      </c>
      <c r="DW1" s="49" t="s">
        <v>594</v>
      </c>
      <c r="EW1" s="49" t="s">
        <v>596</v>
      </c>
    </row>
    <row r="2" spans="1:165" ht="16.5" x14ac:dyDescent="0.3">
      <c r="A2" s="376" t="s">
        <v>555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R2" s="367" t="s">
        <v>720</v>
      </c>
      <c r="S2" s="367"/>
      <c r="T2" s="119" t="str">
        <f>Entrada!D4</f>
        <v>INPC</v>
      </c>
      <c r="U2" s="120"/>
      <c r="V2" s="120"/>
      <c r="W2" s="121" t="s">
        <v>719</v>
      </c>
      <c r="X2" s="122">
        <f>Entrada!B4</f>
        <v>0.06</v>
      </c>
      <c r="AF2" s="49"/>
      <c r="AG2" s="223"/>
      <c r="AH2" s="223"/>
      <c r="AI2" s="223"/>
      <c r="AJ2" s="223"/>
      <c r="AK2" s="223"/>
      <c r="AL2" s="223"/>
      <c r="AM2" s="223"/>
      <c r="AN2" s="223"/>
      <c r="AO2" s="223"/>
      <c r="AR2" s="49" t="s">
        <v>608</v>
      </c>
      <c r="AW2" s="25" t="s">
        <v>539</v>
      </c>
      <c r="BS2" s="49" t="s">
        <v>575</v>
      </c>
      <c r="CH2" s="49"/>
      <c r="CI2" s="223"/>
      <c r="CJ2" s="223"/>
      <c r="CK2" s="223"/>
      <c r="CL2" s="223"/>
      <c r="CM2" s="223"/>
      <c r="CR2" s="49" t="s">
        <v>584</v>
      </c>
      <c r="EW2" s="49"/>
      <c r="EX2" s="223"/>
      <c r="EY2" s="223"/>
      <c r="EZ2" s="223"/>
      <c r="FA2" s="223"/>
      <c r="FB2" s="223"/>
      <c r="FF2" s="25" t="s">
        <v>624</v>
      </c>
    </row>
    <row r="3" spans="1:165" ht="15" customHeight="1" x14ac:dyDescent="0.3">
      <c r="AF3" s="80" t="s">
        <v>73</v>
      </c>
      <c r="AG3" s="80" t="s">
        <v>2</v>
      </c>
      <c r="AH3" s="80" t="s">
        <v>3</v>
      </c>
      <c r="AI3" s="80" t="s">
        <v>4</v>
      </c>
      <c r="AJ3" s="80" t="s">
        <v>806</v>
      </c>
      <c r="AK3" s="80" t="s">
        <v>5</v>
      </c>
      <c r="AL3" s="80" t="s">
        <v>559</v>
      </c>
      <c r="AM3" s="80" t="s">
        <v>560</v>
      </c>
      <c r="AN3" s="80" t="s">
        <v>569</v>
      </c>
      <c r="AO3" s="80" t="s">
        <v>570</v>
      </c>
      <c r="AW3" s="25" t="s">
        <v>631</v>
      </c>
      <c r="CH3" s="80" t="s">
        <v>73</v>
      </c>
      <c r="CI3" s="80" t="s">
        <v>583</v>
      </c>
      <c r="CJ3" s="80" t="s">
        <v>615</v>
      </c>
      <c r="CK3" s="80" t="s">
        <v>614</v>
      </c>
      <c r="CL3" s="80" t="s">
        <v>617</v>
      </c>
      <c r="CM3" s="80" t="s">
        <v>616</v>
      </c>
      <c r="DG3" s="25" t="s">
        <v>586</v>
      </c>
      <c r="DW3" s="375"/>
      <c r="DX3" s="375"/>
      <c r="DY3" s="375"/>
      <c r="DZ3" s="375"/>
      <c r="EA3" s="375"/>
      <c r="EB3" s="375"/>
      <c r="EC3" s="375"/>
      <c r="ED3" s="375"/>
      <c r="EE3" s="50"/>
      <c r="EF3" s="50"/>
      <c r="EG3" s="50"/>
      <c r="EW3" s="371" t="s">
        <v>73</v>
      </c>
      <c r="EX3" s="363" t="s">
        <v>573</v>
      </c>
      <c r="EY3" s="363" t="s">
        <v>541</v>
      </c>
      <c r="EZ3" s="363" t="s">
        <v>558</v>
      </c>
      <c r="FA3" s="363" t="s">
        <v>494</v>
      </c>
      <c r="FB3" s="363" t="s">
        <v>543</v>
      </c>
    </row>
    <row r="4" spans="1:165" ht="15" customHeight="1" x14ac:dyDescent="0.3">
      <c r="B4" s="25" t="s">
        <v>556</v>
      </c>
      <c r="Q4" s="25" t="s">
        <v>602</v>
      </c>
      <c r="AF4" t="str">
        <f>IF(AND(Carteira!C3="",Carteira!C2&lt;&gt;""),"Carteira",Carteira!C3)</f>
        <v>BB IRF-M</v>
      </c>
      <c r="AG4" s="34">
        <f>IF(AF4="","",IF(AF4="Carteira",Retorno!$C$4,Retorno!C7))</f>
        <v>3282733.81</v>
      </c>
      <c r="AH4" s="105">
        <f>IF(AF4="","",IF(AF4="Carteira",Retorno!$D$4,Retorno!D7))</f>
        <v>0</v>
      </c>
      <c r="AI4" s="105">
        <f>IF(AF4="","",IF(AF4="Carteira",Retorno!$E$4,Retorno!E7))</f>
        <v>3378168.77</v>
      </c>
      <c r="AJ4" s="105">
        <f>IF(AF4="","",IF(AF4="Carteira",Retorno!$F$4,Retorno!F7))</f>
        <v>0</v>
      </c>
      <c r="AK4" s="34">
        <f>IF(AF4="","",IF(AF4="Carteira",Retorno!$G$4,Retorno!G7))</f>
        <v>0</v>
      </c>
      <c r="AL4" s="105">
        <f>IF(AF4="","",IF(AF4="Carteira",Retorno!$H$4,Retorno!H7))</f>
        <v>95434.959999999963</v>
      </c>
      <c r="AM4" s="33">
        <f>IF(AF4="","",IF(AF4="Carteira",Retorno!$I$4,Retorno!I7))</f>
        <v>2.907179367065402E-2</v>
      </c>
      <c r="AN4" s="60">
        <f>IF(AF4="","",Retorno!$O$3)</f>
        <v>9.2889677878305044E-3</v>
      </c>
      <c r="AO4" s="33">
        <f>IF(AF4="","",AM4/AN4)</f>
        <v>3.1297119695840734</v>
      </c>
      <c r="BE4" s="79"/>
      <c r="BF4" s="79"/>
      <c r="BG4" s="79"/>
      <c r="BH4" s="79"/>
      <c r="BI4" s="79"/>
      <c r="BJ4" s="79"/>
      <c r="BR4" s="365" t="s">
        <v>576</v>
      </c>
      <c r="BS4" s="365"/>
      <c r="BT4" s="365"/>
      <c r="BU4" s="365"/>
      <c r="BV4" s="365"/>
      <c r="BW4" s="365"/>
      <c r="BX4" s="365"/>
      <c r="BY4" s="365"/>
      <c r="BZ4" s="365"/>
      <c r="CA4" s="365"/>
      <c r="CB4" s="365"/>
      <c r="CC4" s="365"/>
      <c r="CD4" s="365"/>
      <c r="CE4" s="365"/>
      <c r="CF4" s="365"/>
      <c r="CH4" s="1" t="str">
        <f>VaR_Calculo!B156</f>
        <v>BB IRF-M</v>
      </c>
      <c r="CI4" s="34" t="str">
        <f>VaR_Calculo!C156</f>
        <v/>
      </c>
      <c r="CJ4" s="167">
        <f>VaR_Calculo!D156</f>
        <v>0</v>
      </c>
      <c r="CK4" s="34">
        <f>VaR_Calculo!E156</f>
        <v>0</v>
      </c>
      <c r="CL4" s="167">
        <f>VaR_Calculo!F156</f>
        <v>0</v>
      </c>
      <c r="CM4" s="34">
        <f>VaR_Calculo!G156</f>
        <v>0</v>
      </c>
      <c r="CQ4" s="365" t="s">
        <v>618</v>
      </c>
      <c r="CR4" s="365"/>
      <c r="CS4" s="365"/>
      <c r="CT4" s="365"/>
      <c r="CU4" s="365"/>
      <c r="CV4" s="365"/>
      <c r="CW4" s="365"/>
      <c r="CX4" s="365"/>
      <c r="CY4" s="365"/>
      <c r="CZ4" s="365"/>
      <c r="DA4" s="365"/>
      <c r="DB4" s="365"/>
      <c r="DC4" s="365"/>
      <c r="DD4" s="365"/>
      <c r="DE4" s="365"/>
      <c r="DF4" s="113"/>
      <c r="DW4" s="375"/>
      <c r="DX4" s="375"/>
      <c r="DY4" s="375"/>
      <c r="DZ4" s="375"/>
      <c r="EA4" s="375"/>
      <c r="EB4" s="375"/>
      <c r="EC4" s="375"/>
      <c r="ED4" s="375"/>
      <c r="EE4" s="50"/>
      <c r="EF4" s="50"/>
      <c r="EG4" s="50"/>
      <c r="EH4" s="25"/>
      <c r="EW4" s="371"/>
      <c r="EX4" s="363"/>
      <c r="EY4" s="363"/>
      <c r="EZ4" s="363"/>
      <c r="FA4" s="363"/>
      <c r="FB4" s="363"/>
      <c r="FF4" s="80" t="s">
        <v>494</v>
      </c>
      <c r="FG4" s="80" t="s">
        <v>625</v>
      </c>
      <c r="FH4" s="80" t="s">
        <v>626</v>
      </c>
      <c r="FI4" s="80" t="s">
        <v>627</v>
      </c>
    </row>
    <row r="5" spans="1:165" ht="15" customHeight="1" x14ac:dyDescent="0.3">
      <c r="AF5" s="25" t="str">
        <f>IF(AND(Carteira!C4="",Carteira!C3&lt;&gt;""),"Carteira",Carteira!C4)</f>
        <v>BB Perfil</v>
      </c>
      <c r="AG5" s="34">
        <f>IF(AF5="","",IF(AF5="Carteira",Retorno!$C$4,Retorno!C8))</f>
        <v>363984.75</v>
      </c>
      <c r="AH5" s="105">
        <f>IF(AF5="","",IF(AF5="Carteira",Retorno!$D$4,Retorno!D8))</f>
        <v>0</v>
      </c>
      <c r="AI5" s="105">
        <f>IF(AF5="","",IF(AF5="Carteira",Retorno!$E$4,Retorno!E8))</f>
        <v>0</v>
      </c>
      <c r="AJ5" s="105">
        <f>IF(AF5="","",IF(AF5="Carteira",Retorno!$F$4,Retorno!F8))</f>
        <v>0</v>
      </c>
      <c r="AK5" s="34">
        <f>IF(AF5="","",IF(AF5="Carteira",Retorno!$G$4,Retorno!G8))</f>
        <v>368033.64</v>
      </c>
      <c r="AL5" s="34">
        <f>IF(AF5="","",IF(AF5="Carteira",Retorno!$H$4,Retorno!H8))</f>
        <v>4048.890000000014</v>
      </c>
      <c r="AM5" s="33">
        <f>IF(AF5="","",IF(AF5="Carteira",Retorno!$I$4,Retorno!I8))</f>
        <v>1.1123790213738388E-2</v>
      </c>
      <c r="AN5" s="60">
        <f>IF(AF5="","",Retorno!$O$3)</f>
        <v>9.2889677878305044E-3</v>
      </c>
      <c r="AO5" s="33">
        <f t="shared" ref="AO5:AO35" si="0">IF(AF5="","",AM5/AN5)</f>
        <v>1.1975270522857973</v>
      </c>
      <c r="AQ5" s="123" t="s">
        <v>571</v>
      </c>
      <c r="AR5" s="123" t="s">
        <v>572</v>
      </c>
      <c r="AS5" s="123" t="s">
        <v>3</v>
      </c>
      <c r="AT5" s="123" t="s">
        <v>4</v>
      </c>
      <c r="AU5" s="163" t="s">
        <v>806</v>
      </c>
      <c r="AV5" s="123" t="s">
        <v>573</v>
      </c>
      <c r="AW5" s="123" t="s">
        <v>559</v>
      </c>
      <c r="AX5" s="123" t="s">
        <v>560</v>
      </c>
      <c r="AY5" s="123" t="s">
        <v>569</v>
      </c>
      <c r="AZ5" s="123" t="s">
        <v>570</v>
      </c>
      <c r="BE5" s="79"/>
      <c r="BF5" s="79"/>
      <c r="BG5" s="79"/>
      <c r="BH5" s="79"/>
      <c r="BI5" s="79"/>
      <c r="BJ5" s="79"/>
      <c r="BR5" s="365"/>
      <c r="BS5" s="365"/>
      <c r="BT5" s="365"/>
      <c r="BU5" s="365"/>
      <c r="BV5" s="365"/>
      <c r="BW5" s="365"/>
      <c r="BX5" s="365"/>
      <c r="BY5" s="365"/>
      <c r="BZ5" s="365"/>
      <c r="CA5" s="365"/>
      <c r="CB5" s="365"/>
      <c r="CC5" s="365"/>
      <c r="CD5" s="365"/>
      <c r="CE5" s="365"/>
      <c r="CF5" s="365"/>
      <c r="CH5" s="1" t="str">
        <f>VaR_Calculo!B157</f>
        <v>BB Perfil</v>
      </c>
      <c r="CI5" s="201">
        <f>VaR_Calculo!C157</f>
        <v>368033.64</v>
      </c>
      <c r="CJ5" s="167">
        <f>VaR_Calculo!D157</f>
        <v>2.295148364817493E-6</v>
      </c>
      <c r="CK5" s="201">
        <f>VaR_Calculo!E157</f>
        <v>18.746166521399545</v>
      </c>
      <c r="CL5" s="167">
        <f>VaR_Calculo!F157</f>
        <v>1.0517691112930283E-5</v>
      </c>
      <c r="CM5" s="201">
        <f>VaR_Calculo!G157</f>
        <v>85.905727074560417</v>
      </c>
      <c r="CQ5" s="365"/>
      <c r="CR5" s="365"/>
      <c r="CS5" s="365"/>
      <c r="CT5" s="365"/>
      <c r="CU5" s="365"/>
      <c r="CV5" s="365"/>
      <c r="CW5" s="365"/>
      <c r="CX5" s="365"/>
      <c r="CY5" s="365"/>
      <c r="CZ5" s="365"/>
      <c r="DA5" s="365"/>
      <c r="DB5" s="365"/>
      <c r="DC5" s="365"/>
      <c r="DD5" s="365"/>
      <c r="DE5" s="365"/>
      <c r="DF5" s="113"/>
      <c r="DG5" s="365" t="s">
        <v>587</v>
      </c>
      <c r="DH5" s="365"/>
      <c r="DI5" s="365"/>
      <c r="DJ5" s="365"/>
      <c r="DK5" s="365"/>
      <c r="DL5" s="365"/>
      <c r="DM5" s="365"/>
      <c r="DN5" s="365"/>
      <c r="DO5" s="365"/>
      <c r="DP5" s="365"/>
      <c r="DQ5" s="365"/>
      <c r="DR5" s="365"/>
      <c r="DS5" s="365"/>
      <c r="DT5" s="365"/>
      <c r="DU5" s="365"/>
      <c r="DW5" s="375"/>
      <c r="DX5" s="375"/>
      <c r="DY5" s="375"/>
      <c r="DZ5" s="375"/>
      <c r="EA5" s="375"/>
      <c r="EB5" s="375"/>
      <c r="EC5" s="375"/>
      <c r="ED5" s="375"/>
      <c r="EE5" s="50"/>
      <c r="EF5" s="50"/>
      <c r="EG5" s="50"/>
      <c r="EW5" t="str">
        <f>Carteira!C3</f>
        <v>BB IRF-M</v>
      </c>
      <c r="EX5" s="34">
        <f>IF(EW5="","",Retorno!G7)</f>
        <v>0</v>
      </c>
      <c r="EY5" s="60">
        <f>IF(EW5="","",Retorno!K7)</f>
        <v>0</v>
      </c>
      <c r="EZ5" s="69">
        <f>Carteira!M3</f>
        <v>1</v>
      </c>
      <c r="FA5" s="1" t="str">
        <f>Carteira!L3</f>
        <v>FI 100% títulos TN - Art. 7º, I, "b"</v>
      </c>
      <c r="FB5" s="33">
        <f>IF(EW5="","",IF(Calculo_Indice_Sharpe!H4="",0,IF(Calculo_Indice_Sharpe!H4=0,0,EX5/Calculo_Indice_Sharpe!H4)))</f>
        <v>0</v>
      </c>
      <c r="FF5" s="73" t="s">
        <v>507</v>
      </c>
      <c r="FG5" s="74">
        <v>1</v>
      </c>
      <c r="FH5" s="74">
        <f>HLOOKUP(Dados_Clientes!$F$2,Dados_Clientes!$B$44:$AJ$61,3,FALSE)</f>
        <v>0</v>
      </c>
      <c r="FI5" s="75">
        <f>enquadramento!K4</f>
        <v>0</v>
      </c>
    </row>
    <row r="6" spans="1:165" ht="15" customHeight="1" x14ac:dyDescent="0.3">
      <c r="B6" s="365" t="s">
        <v>565</v>
      </c>
      <c r="C6" s="365"/>
      <c r="D6" s="365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AF6" s="25" t="str">
        <f>IF(AND(Carteira!C5="",Carteira!C4&lt;&gt;""),"Carteira",Carteira!C5)</f>
        <v>BB IX TP</v>
      </c>
      <c r="AG6" s="34">
        <f>IF(AF6="","",IF(AF6="Carteira",Retorno!$C$4,Retorno!C9))</f>
        <v>531483.21</v>
      </c>
      <c r="AH6" s="105">
        <f>IF(AF6="","",IF(AF6="Carteira",Retorno!$D$4,Retorno!D9))</f>
        <v>0</v>
      </c>
      <c r="AI6" s="105">
        <f>IF(AF6="","",IF(AF6="Carteira",Retorno!$E$4,Retorno!E9))</f>
        <v>0</v>
      </c>
      <c r="AJ6" s="105">
        <f>IF(AF6="","",IF(AF6="Carteira",Retorno!$F$4,Retorno!F9))</f>
        <v>0</v>
      </c>
      <c r="AK6" s="34">
        <f>IF(AF6="","",IF(AF6="Carteira",Retorno!$G$4,Retorno!G9))</f>
        <v>535928.17000000004</v>
      </c>
      <c r="AL6" s="34">
        <f>IF(AF6="","",IF(AF6="Carteira",Retorno!$H$4,Retorno!H9))</f>
        <v>4444.9600000000792</v>
      </c>
      <c r="AM6" s="33">
        <f>IF(AF6="","",IF(AF6="Carteira",Retorno!$I$4,Retorno!I9))</f>
        <v>8.3633121731165865E-3</v>
      </c>
      <c r="AN6" s="60">
        <f>IF(AF6="","",Retorno!$O$3)</f>
        <v>9.2889677878305044E-3</v>
      </c>
      <c r="AO6" s="33">
        <f t="shared" si="0"/>
        <v>0.90034892618245255</v>
      </c>
      <c r="AQ6" s="124" t="str">
        <f>IF(IF(Dados_Clientes!A10=Dados_Clientes!$C$10,Dados_Clientes!B10,IF(Dados_Clientes!A10=Dados_Clientes!$C$10+1,"Acumulado",IF(Dados_Clientes!A10&lt;Dados_Clientes!$C$10,Dados_Clientes!B10,"")))=0,"Acumulado",(IF(Dados_Clientes!A10=Dados_Clientes!$C$10,Dados_Clientes!B10,IF(Dados_Clientes!A10=Dados_Clientes!$C$10+1,"Acumulado",IF(Dados_Clientes!A10&lt;Dados_Clientes!$C$10,Dados_Clientes!B10,"")))))</f>
        <v>Janeiro/2016</v>
      </c>
      <c r="AR6" s="125">
        <f>historico!N3</f>
        <v>7530333.3899999997</v>
      </c>
      <c r="AS6" s="125">
        <f>historico!O3</f>
        <v>1500576.83</v>
      </c>
      <c r="AT6" s="125">
        <f>historico!P3</f>
        <v>1186467.6499999999</v>
      </c>
      <c r="AU6" s="125">
        <f>historico!Q3</f>
        <v>0</v>
      </c>
      <c r="AV6" s="125">
        <f>historico!R3</f>
        <v>7962133.5500000007</v>
      </c>
      <c r="AW6" s="125">
        <f>historico!S3</f>
        <v>117690.98000000138</v>
      </c>
      <c r="AX6" s="77">
        <f>historico!T3</f>
        <v>1.5003103018447032E-2</v>
      </c>
      <c r="AY6" s="77">
        <f>historico!U3</f>
        <v>2.0041050578879727E-2</v>
      </c>
      <c r="AZ6" s="77">
        <f>historico!V3</f>
        <v>0.74861858959919303</v>
      </c>
      <c r="BE6" s="79"/>
      <c r="BF6" s="79"/>
      <c r="BG6" s="79"/>
      <c r="BH6" s="79"/>
      <c r="BI6" s="79"/>
      <c r="BJ6" s="79"/>
      <c r="BR6" s="365"/>
      <c r="BS6" s="365"/>
      <c r="BT6" s="365"/>
      <c r="BU6" s="365"/>
      <c r="BV6" s="365"/>
      <c r="BW6" s="365"/>
      <c r="BX6" s="365"/>
      <c r="BY6" s="365"/>
      <c r="BZ6" s="365"/>
      <c r="CA6" s="365"/>
      <c r="CB6" s="365"/>
      <c r="CC6" s="365"/>
      <c r="CD6" s="365"/>
      <c r="CE6" s="365"/>
      <c r="CF6" s="365"/>
      <c r="CH6" s="1" t="str">
        <f>VaR_Calculo!B158</f>
        <v>BB IX TP</v>
      </c>
      <c r="CI6" s="201">
        <f>VaR_Calculo!C158</f>
        <v>535928.17000000004</v>
      </c>
      <c r="CJ6" s="167">
        <f>VaR_Calculo!D158</f>
        <v>8.3814416341363926E-5</v>
      </c>
      <c r="CK6" s="201">
        <f>VaR_Calculo!E158</f>
        <v>684.57404746209465</v>
      </c>
      <c r="CL6" s="167">
        <f>VaR_Calculo!F158</f>
        <v>3.8408590721284385E-4</v>
      </c>
      <c r="CM6" s="201">
        <f>VaR_Calculo!G158</f>
        <v>3137.1123912973403</v>
      </c>
      <c r="DG6" s="365"/>
      <c r="DH6" s="365"/>
      <c r="DI6" s="365"/>
      <c r="DJ6" s="365"/>
      <c r="DK6" s="365"/>
      <c r="DL6" s="365"/>
      <c r="DM6" s="365"/>
      <c r="DN6" s="365"/>
      <c r="DO6" s="365"/>
      <c r="DP6" s="365"/>
      <c r="DQ6" s="365"/>
      <c r="DR6" s="365"/>
      <c r="DS6" s="365"/>
      <c r="DT6" s="365"/>
      <c r="DU6" s="365"/>
      <c r="EW6" s="25" t="str">
        <f>Carteira!C4</f>
        <v>BB Perfil</v>
      </c>
      <c r="EX6" s="34">
        <f>IF(EW6="","",Retorno!G8)</f>
        <v>368033.64</v>
      </c>
      <c r="EY6" s="60">
        <f>IF(EW6="","",Retorno!K8)</f>
        <v>4.5059442210735635E-2</v>
      </c>
      <c r="EZ6" s="69">
        <f>Carteira!M4</f>
        <v>0.2</v>
      </c>
      <c r="FA6" s="1" t="str">
        <f>Carteira!L4</f>
        <v>FI de Renda Fixa - Art. 7º, IV</v>
      </c>
      <c r="FB6" s="33">
        <f>IF(EW6="","",IF(Calculo_Indice_Sharpe!H5="",0,IF(Calculo_Indice_Sharpe!H5=0,0,EX6/Calculo_Indice_Sharpe!H5)))</f>
        <v>5.6662010286147599E-5</v>
      </c>
      <c r="FF6" s="73" t="s">
        <v>497</v>
      </c>
      <c r="FG6" s="74">
        <v>1</v>
      </c>
      <c r="FH6" s="74">
        <f>HLOOKUP(Dados_Clientes!$F$2,Dados_Clientes!$B$44:$AJ$61,4,FALSE)</f>
        <v>1</v>
      </c>
      <c r="FI6" s="75">
        <f>enquadramento!K5</f>
        <v>0.87712229214413928</v>
      </c>
    </row>
    <row r="7" spans="1:165" x14ac:dyDescent="0.3"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AF7" s="25" t="str">
        <f>IF(AND(Carteira!C6="",Carteira!C5&lt;&gt;""),"Carteira",Carteira!C6)</f>
        <v>BB IRF-M1</v>
      </c>
      <c r="AG7" s="34">
        <f>IF(AF7="","",IF(AF7="Carteira",Retorno!$C$4,Retorno!C10))</f>
        <v>0</v>
      </c>
      <c r="AH7" s="34">
        <f>IF(AF7="","",IF(AF7="Carteira",Retorno!$D$4,Retorno!D10))</f>
        <v>3378168.77</v>
      </c>
      <c r="AI7" s="34">
        <f>IF(AF7="","",IF(AF7="Carteira",Retorno!$E$4,Retorno!E10))</f>
        <v>0</v>
      </c>
      <c r="AJ7" s="105">
        <f>IF(AF7="","",IF(AF7="Carteira",Retorno!$F$4,Retorno!F10))</f>
        <v>0</v>
      </c>
      <c r="AK7" s="34">
        <f>IF(AF7="","",IF(AF7="Carteira",Retorno!$G$4,Retorno!G10))</f>
        <v>3391984.3</v>
      </c>
      <c r="AL7" s="34">
        <f>IF(AF7="","",IF(AF7="Carteira",Retorno!$H$4,Retorno!H10))</f>
        <v>13815.529999999795</v>
      </c>
      <c r="AM7" s="33">
        <f>IF(AF7="","",IF(AF7="Carteira",Retorno!$I$4,Retorno!I10))</f>
        <v>4.0896506186100922E-3</v>
      </c>
      <c r="AN7" s="60">
        <f>IF(AF7="","",Retorno!$O$3)</f>
        <v>9.2889677878305044E-3</v>
      </c>
      <c r="AO7" s="33">
        <f t="shared" si="0"/>
        <v>0.44026965234694343</v>
      </c>
      <c r="AQ7" s="124" t="str">
        <f>IF(IF(Dados_Clientes!A11=Dados_Clientes!$C$10,Dados_Clientes!B11,IF(Dados_Clientes!A11=Dados_Clientes!$C$10+1,"Acumulado",IF(Dados_Clientes!A11&lt;Dados_Clientes!$C$10,Dados_Clientes!B11,"")))=0,"Acumulado",(IF(Dados_Clientes!A11=Dados_Clientes!$C$10,Dados_Clientes!B11,IF(Dados_Clientes!A11=Dados_Clientes!$C$10+1,"Acumulado",IF(Dados_Clientes!A11&lt;Dados_Clientes!$C$10,Dados_Clientes!B11,"")))))</f>
        <v>Fevereiro/2016</v>
      </c>
      <c r="AR7" s="125">
        <f>historico!N4</f>
        <v>7962133.5500000007</v>
      </c>
      <c r="AS7" s="125">
        <f>historico!O4</f>
        <v>4175278.71</v>
      </c>
      <c r="AT7" s="125">
        <f>historico!P4</f>
        <v>4223423.1399999997</v>
      </c>
      <c r="AU7" s="125">
        <f>historico!Q4</f>
        <v>46170.46</v>
      </c>
      <c r="AV7" s="125">
        <f>historico!R4</f>
        <v>7955238.4399999995</v>
      </c>
      <c r="AW7" s="125">
        <f>historico!S4</f>
        <v>87419.779999997496</v>
      </c>
      <c r="AX7" s="77">
        <f>historico!T4</f>
        <v>1.0979441559354087E-2</v>
      </c>
      <c r="AY7" s="77">
        <f>historico!U4</f>
        <v>1.4413792295713934E-2</v>
      </c>
      <c r="AZ7" s="77">
        <f>historico!V4</f>
        <v>0.76173163412510936</v>
      </c>
      <c r="BE7" s="25"/>
      <c r="BF7" s="25"/>
      <c r="BG7" s="25"/>
      <c r="BH7" s="25"/>
      <c r="BI7" s="25"/>
      <c r="BJ7" s="25"/>
      <c r="CH7" s="1" t="str">
        <f>VaR_Calculo!B159</f>
        <v>BB IRF-M1</v>
      </c>
      <c r="CI7" s="201">
        <f>VaR_Calculo!C159</f>
        <v>3391984.3</v>
      </c>
      <c r="CJ7" s="167">
        <f>VaR_Calculo!D159</f>
        <v>1.9435894850779165E-4</v>
      </c>
      <c r="CK7" s="201">
        <f>VaR_Calculo!E159</f>
        <v>1587.4726311825627</v>
      </c>
      <c r="CL7" s="167">
        <f>VaR_Calculo!F159</f>
        <v>8.9066459352897965E-4</v>
      </c>
      <c r="CM7" s="201">
        <f>VaR_Calculo!G159</f>
        <v>7274.7134960648082</v>
      </c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EW7" s="25" t="str">
        <f>Carteira!C5</f>
        <v>BB IX TP</v>
      </c>
      <c r="EX7" s="34">
        <f>IF(EW7="","",Retorno!G9)</f>
        <v>535928.17000000004</v>
      </c>
      <c r="EY7" s="60">
        <f>IF(EW7="","",Retorno!K9)</f>
        <v>6.561526387973747E-2</v>
      </c>
      <c r="EZ7" s="69">
        <f>Carteira!M5</f>
        <v>1</v>
      </c>
      <c r="FA7" s="1" t="str">
        <f>Carteira!L5</f>
        <v>FI 100% títulos TN - Art. 7º, I, "b"</v>
      </c>
      <c r="FB7" s="33">
        <f>IF(EW7="","",IF(Calculo_Indice_Sharpe!H6="",0,IF(Calculo_Indice_Sharpe!H6=0,0,EX7/Calculo_Indice_Sharpe!H6)))</f>
        <v>2.3775467278348004E-4</v>
      </c>
      <c r="FF7" s="73" t="s">
        <v>508</v>
      </c>
      <c r="FG7" s="74">
        <v>0.15</v>
      </c>
      <c r="FH7" s="74">
        <f>HLOOKUP(Dados_Clientes!$F$2,Dados_Clientes!$B$44:$AJ$61,5,FALSE)</f>
        <v>0</v>
      </c>
      <c r="FI7" s="75">
        <f>enquadramento!K6</f>
        <v>0</v>
      </c>
    </row>
    <row r="8" spans="1:165" ht="15" customHeight="1" x14ac:dyDescent="0.3">
      <c r="AF8" s="25" t="str">
        <f>IF(AND(Carteira!C7="",Carteira!C6&lt;&gt;""),"Carteira",Carteira!C7)</f>
        <v>Caixa 2016 I TP RF</v>
      </c>
      <c r="AG8" s="34">
        <f>IF(AF8="","",IF(AF8="Carteira",Retorno!$C$4,Retorno!C11))</f>
        <v>1076412</v>
      </c>
      <c r="AH8" s="34">
        <f>IF(AF8="","",IF(AF8="Carteira",Retorno!$D$4,Retorno!D11))</f>
        <v>0</v>
      </c>
      <c r="AI8" s="34">
        <f>IF(AF8="","",IF(AF8="Carteira",Retorno!$E$4,Retorno!E11))</f>
        <v>0</v>
      </c>
      <c r="AJ8" s="105">
        <f>IF(AF8="","",IF(AF8="Carteira",Retorno!$F$4,Retorno!F11))</f>
        <v>0</v>
      </c>
      <c r="AK8" s="34">
        <f>IF(AF8="","",IF(AF8="Carteira",Retorno!$G$4,Retorno!G11))</f>
        <v>1086173</v>
      </c>
      <c r="AL8" s="34">
        <f>IF(AF8="","",IF(AF8="Carteira",Retorno!$H$4,Retorno!H11))</f>
        <v>9761</v>
      </c>
      <c r="AM8" s="33">
        <f>IF(AF8="","",IF(AF8="Carteira",Retorno!$I$4,Retorno!I11))</f>
        <v>9.068089170317685E-3</v>
      </c>
      <c r="AN8" s="60">
        <f>IF(AF8="","",Retorno!$O$3)</f>
        <v>9.2889677878305044E-3</v>
      </c>
      <c r="AO8" s="33">
        <f t="shared" si="0"/>
        <v>0.97622140343707586</v>
      </c>
      <c r="AQ8" s="124" t="str">
        <f>IF(IF(Dados_Clientes!A12=Dados_Clientes!$C$10,Dados_Clientes!B12,IF(Dados_Clientes!A12=Dados_Clientes!$C$10+1,"Acumulado",IF(Dados_Clientes!A12&lt;Dados_Clientes!$C$10,Dados_Clientes!B12,"")))=0,"Acumulado",(IF(Dados_Clientes!A12=Dados_Clientes!$C$10,Dados_Clientes!B12,IF(Dados_Clientes!A12=Dados_Clientes!$C$10+1,"Acumulado",IF(Dados_Clientes!A12&lt;Dados_Clientes!$C$10,Dados_Clientes!B12,"")))))</f>
        <v>Março/2016</v>
      </c>
      <c r="AR8" s="125">
        <f>historico!N5</f>
        <v>7955238.4399999995</v>
      </c>
      <c r="AS8" s="125">
        <f>historico!O5</f>
        <v>5519280.0800000001</v>
      </c>
      <c r="AT8" s="125">
        <f>historico!P5</f>
        <v>5519280.0800000001</v>
      </c>
      <c r="AU8" s="125">
        <f>historico!Q5</f>
        <v>0</v>
      </c>
      <c r="AV8" s="125">
        <f>historico!R5</f>
        <v>8167736.2599999998</v>
      </c>
      <c r="AW8" s="125">
        <f>historico!S5</f>
        <v>212497.8200000003</v>
      </c>
      <c r="AX8" s="77">
        <f>historico!T5</f>
        <v>2.671168458402616E-2</v>
      </c>
      <c r="AY8" s="77">
        <f>historico!U5</f>
        <v>9.2889677878305044E-3</v>
      </c>
      <c r="AZ8" s="77">
        <f>historico!V5</f>
        <v>2.8756353982647234</v>
      </c>
      <c r="BE8" s="25"/>
      <c r="BF8" s="25"/>
      <c r="BG8" s="25"/>
      <c r="BH8" s="25"/>
      <c r="BI8" s="25"/>
      <c r="BJ8" s="25"/>
      <c r="BR8" s="365" t="s">
        <v>577</v>
      </c>
      <c r="BS8" s="365"/>
      <c r="BT8" s="365"/>
      <c r="BU8" s="365"/>
      <c r="BV8" s="365"/>
      <c r="BW8" s="365"/>
      <c r="BX8" s="365"/>
      <c r="BY8" s="365"/>
      <c r="BZ8" s="365"/>
      <c r="CA8" s="365"/>
      <c r="CB8" s="365"/>
      <c r="CC8" s="365"/>
      <c r="CD8" s="365"/>
      <c r="CE8" s="365"/>
      <c r="CF8" s="365"/>
      <c r="CH8" s="1" t="str">
        <f>VaR_Calculo!B160</f>
        <v>Caixa 2016 I TP RF</v>
      </c>
      <c r="CI8" s="201">
        <f>VaR_Calculo!C160</f>
        <v>1086173</v>
      </c>
      <c r="CJ8" s="167">
        <f>VaR_Calculo!D160</f>
        <v>6.3327363691091632E-4</v>
      </c>
      <c r="CK8" s="201">
        <f>VaR_Calculo!E160</f>
        <v>5172.4120466993654</v>
      </c>
      <c r="CL8" s="167">
        <f>VaR_Calculo!F160</f>
        <v>2.9020243767642548E-3</v>
      </c>
      <c r="CM8" s="201">
        <f>VaR_Calculo!G160</f>
        <v>23702.969729501303</v>
      </c>
      <c r="DW8" s="80" t="s">
        <v>740</v>
      </c>
      <c r="DX8" s="80" t="s">
        <v>557</v>
      </c>
      <c r="DZ8" s="80" t="str">
        <f>IF(DZ9="","","Nome dos Fundos")</f>
        <v/>
      </c>
      <c r="EA8" s="80" t="str">
        <f>IF(EA9="","","Índice Sharpe")</f>
        <v/>
      </c>
      <c r="EW8" s="25" t="str">
        <f>Carteira!C6</f>
        <v>BB IRF-M1</v>
      </c>
      <c r="EX8" s="34">
        <f>IF(EW8="","",Retorno!G10)</f>
        <v>3391984.3</v>
      </c>
      <c r="EY8" s="60">
        <f>IF(EW8="","",Retorno!K10)</f>
        <v>0.41529062545905465</v>
      </c>
      <c r="EZ8" s="69">
        <f>Carteira!M6</f>
        <v>1</v>
      </c>
      <c r="FA8" s="1" t="str">
        <f>Carteira!L6</f>
        <v>FI 100% títulos TN - Art. 7º, I, "b"</v>
      </c>
      <c r="FB8" s="33">
        <f>IF(EW8="","",IF(Calculo_Indice_Sharpe!H7="",0,IF(Calculo_Indice_Sharpe!H7=0,0,EX8/Calculo_Indice_Sharpe!H7)))</f>
        <v>4.3598621460382649E-4</v>
      </c>
      <c r="FF8" s="73" t="s">
        <v>495</v>
      </c>
      <c r="FG8" s="74">
        <v>0.8</v>
      </c>
      <c r="FH8" s="74">
        <f>HLOOKUP(Dados_Clientes!$F$2,Dados_Clientes!$B$44:$AJ$61,6,FALSE)</f>
        <v>0.2</v>
      </c>
      <c r="FI8" s="75">
        <f>enquadramento!K7</f>
        <v>0</v>
      </c>
    </row>
    <row r="9" spans="1:165" x14ac:dyDescent="0.3">
      <c r="B9" s="25" t="s">
        <v>566</v>
      </c>
      <c r="AF9" s="25" t="str">
        <f>IF(AND(Carteira!C8="",Carteira!C7&lt;&gt;""),"Carteira",Carteira!C8)</f>
        <v>Caixa Ref. DI LP</v>
      </c>
      <c r="AG9" s="34">
        <f>IF(AF9="","",IF(AF9="Carteira",Retorno!$C$4,Retorno!C12))</f>
        <v>628197.5</v>
      </c>
      <c r="AH9" s="34">
        <f>IF(AF9="","",IF(AF9="Carteira",Retorno!$D$4,Retorno!D12))</f>
        <v>0</v>
      </c>
      <c r="AI9" s="34">
        <f>IF(AF9="","",IF(AF9="Carteira",Retorno!$E$4,Retorno!E12))</f>
        <v>0</v>
      </c>
      <c r="AJ9" s="105">
        <f>IF(AF9="","",IF(AF9="Carteira",Retorno!$F$4,Retorno!F12))</f>
        <v>0</v>
      </c>
      <c r="AK9" s="34">
        <f>IF(AF9="","",IF(AF9="Carteira",Retorno!$G$4,Retorno!G12))</f>
        <v>635599.06999999995</v>
      </c>
      <c r="AL9" s="34">
        <f>IF(AF9="","",IF(AF9="Carteira",Retorno!$H$4,Retorno!H12))</f>
        <v>7401.5699999999488</v>
      </c>
      <c r="AM9" s="33">
        <f>IF(AF9="","",IF(AF9="Carteira",Retorno!$I$4,Retorno!I12))</f>
        <v>1.1782234090393464E-2</v>
      </c>
      <c r="AN9" s="60">
        <f>IF(AF9="","",Retorno!$O$3)</f>
        <v>9.2889677878305044E-3</v>
      </c>
      <c r="AO9" s="33">
        <f t="shared" si="0"/>
        <v>1.2684115565380034</v>
      </c>
      <c r="AQ9" s="124" t="str">
        <f>IF(IF(Dados_Clientes!A13=Dados_Clientes!$C$10,Dados_Clientes!B13,IF(Dados_Clientes!A13=Dados_Clientes!$C$10+1,"Acumulado",IF(Dados_Clientes!A13&lt;Dados_Clientes!$C$10,Dados_Clientes!B13,"")))=0,"Acumulado",(IF(Dados_Clientes!A13=Dados_Clientes!$C$10,Dados_Clientes!B13,IF(Dados_Clientes!A13=Dados_Clientes!$C$10+1,"Acumulado",IF(Dados_Clientes!A13&lt;Dados_Clientes!$C$10,Dados_Clientes!B13,"")))))</f>
        <v>Acumulado</v>
      </c>
      <c r="AR9" s="125">
        <f>historico!N15</f>
        <v>7530333.3899999997</v>
      </c>
      <c r="AS9" s="125">
        <f>historico!O15</f>
        <v>11195135.620000001</v>
      </c>
      <c r="AT9" s="125">
        <f>historico!P15</f>
        <v>10929170.869999999</v>
      </c>
      <c r="AU9" s="125">
        <f>historico!Q15</f>
        <v>46170.46</v>
      </c>
      <c r="AV9" s="125">
        <f>historico!R15</f>
        <v>8167736.2599999998</v>
      </c>
      <c r="AW9" s="125">
        <f>historico!S15</f>
        <v>417608.57999999914</v>
      </c>
      <c r="AX9" s="125">
        <f>historico!T15</f>
        <v>5.3557392490828581E-2</v>
      </c>
      <c r="AY9" s="77">
        <f>historico!U15</f>
        <v>4.4355411409730872E-2</v>
      </c>
      <c r="AZ9" s="77">
        <f>historico!V15</f>
        <v>1.2074601675113523</v>
      </c>
      <c r="BC9" s="25"/>
      <c r="BE9" s="25"/>
      <c r="BF9" s="25"/>
      <c r="BG9" s="25"/>
      <c r="BH9" s="25"/>
      <c r="BI9" s="25"/>
      <c r="BJ9" s="25"/>
      <c r="BR9" s="365"/>
      <c r="BS9" s="365"/>
      <c r="BT9" s="365"/>
      <c r="BU9" s="365"/>
      <c r="BV9" s="365"/>
      <c r="BW9" s="365"/>
      <c r="BX9" s="365"/>
      <c r="BY9" s="365"/>
      <c r="BZ9" s="365"/>
      <c r="CA9" s="365"/>
      <c r="CB9" s="365"/>
      <c r="CC9" s="365"/>
      <c r="CD9" s="365"/>
      <c r="CE9" s="365"/>
      <c r="CF9" s="365"/>
      <c r="CH9" s="1" t="str">
        <f>VaR_Calculo!B161</f>
        <v>Caixa Ref. DI LP</v>
      </c>
      <c r="CI9" s="201">
        <f>VaR_Calculo!C161</f>
        <v>635599.06999999995</v>
      </c>
      <c r="CJ9" s="167">
        <f>VaR_Calculo!D161</f>
        <v>4.1906504528015386E-6</v>
      </c>
      <c r="CK9" s="201">
        <f>VaR_Calculo!E161</f>
        <v>34.228127656332546</v>
      </c>
      <c r="CL9" s="167">
        <f>VaR_Calculo!F161</f>
        <v>1.9203972911064018E-5</v>
      </c>
      <c r="CM9" s="201">
        <f>VaR_Calculo!G161</f>
        <v>156.85298588175533</v>
      </c>
      <c r="DW9" s="71" t="str">
        <f>Calculo_Indice_Sharpe!B4</f>
        <v>BB IRF-M</v>
      </c>
      <c r="DX9" s="72">
        <f>IF(AND(Calculo_Indice_Sharpe!E4&lt;&gt;"",Calculo_Indice_Sharpe!F4=""),0,IF(Calculo_Indice_Sharpe!F4&lt;0,0,Calculo_Indice_Sharpe!F4))</f>
        <v>5.6099999999999997E-2</v>
      </c>
      <c r="DZ9" s="71" t="str">
        <f>Calculo_Indice_Sharpe!B24</f>
        <v/>
      </c>
      <c r="EA9" s="72" t="str">
        <f>IF(AND(Calculo_Indice_Sharpe!E24&lt;&gt;"",Calculo_Indice_Sharpe!F24=""),0,IF(Calculo_Indice_Sharpe!F24&lt;0,0,Calculo_Indice_Sharpe!F24))</f>
        <v/>
      </c>
      <c r="EW9" s="25" t="str">
        <f>Carteira!C7</f>
        <v>Caixa 2016 I TP RF</v>
      </c>
      <c r="EX9" s="34">
        <f>IF(EW9="","",Retorno!G11)</f>
        <v>1086173</v>
      </c>
      <c r="EY9" s="60">
        <f>IF(EW9="","",Retorno!K11)</f>
        <v>0.13298335859831009</v>
      </c>
      <c r="EZ9" s="69">
        <f>Carteira!M7</f>
        <v>1</v>
      </c>
      <c r="FA9" s="1" t="str">
        <f>Carteira!L7</f>
        <v>FI 100% títulos TN - Art. 7º, I, "b"</v>
      </c>
      <c r="FB9" s="33">
        <f>IF(EW9="","",IF(Calculo_Indice_Sharpe!H8="",0,IF(Calculo_Indice_Sharpe!H8=0,0,EX9/Calculo_Indice_Sharpe!H8)))</f>
        <v>7.4058677255630073E-4</v>
      </c>
      <c r="FF9" s="73" t="s">
        <v>496</v>
      </c>
      <c r="FG9" s="74">
        <v>0.3</v>
      </c>
      <c r="FH9" s="74">
        <f>HLOOKUP(Dados_Clientes!$F$2,Dados_Clientes!$B$44:$AJ$61,7,FALSE)</f>
        <v>0.3</v>
      </c>
      <c r="FI9" s="75">
        <f>enquadramento!K8</f>
        <v>0.12287770785586066</v>
      </c>
    </row>
    <row r="10" spans="1:165" ht="15" customHeight="1" x14ac:dyDescent="0.3">
      <c r="Y10" s="25"/>
      <c r="AF10" s="25" t="str">
        <f>IF(AND(Carteira!C9="",Carteira!C8&lt;&gt;""),"Carteira",Carteira!C9)</f>
        <v>Caixa IRF-M1</v>
      </c>
      <c r="AG10" s="34">
        <f>IF(AF10="","",IF(AF10="Carteira",Retorno!$C$4,Retorno!C13))</f>
        <v>0</v>
      </c>
      <c r="AH10" s="34">
        <f>IF(AF10="","",IF(AF10="Carteira",Retorno!$D$4,Retorno!D13))</f>
        <v>2141111.31</v>
      </c>
      <c r="AI10" s="34">
        <f>IF(AF10="","",IF(AF10="Carteira",Retorno!$E$4,Retorno!E13))</f>
        <v>0</v>
      </c>
      <c r="AJ10" s="105">
        <f>IF(AF10="","",IF(AF10="Carteira",Retorno!$F$4,Retorno!F13))</f>
        <v>0</v>
      </c>
      <c r="AK10" s="34">
        <f>IF(AF10="","",IF(AF10="Carteira",Retorno!$G$4,Retorno!G13))</f>
        <v>2150018.08</v>
      </c>
      <c r="AL10" s="34">
        <f>IF(AF10="","",IF(AF10="Carteira",Retorno!$H$4,Retorno!H13))</f>
        <v>8906.7700000000186</v>
      </c>
      <c r="AM10" s="33">
        <f>IF(AF10="","",IF(AF10="Carteira",Retorno!$I$4,Retorno!I13))</f>
        <v>4.1598818138978578E-3</v>
      </c>
      <c r="AN10" s="60">
        <f>IF(AF10="","",Retorno!$O$3)</f>
        <v>9.2889677878305044E-3</v>
      </c>
      <c r="AO10" s="33">
        <f t="shared" si="0"/>
        <v>0.44783036273930538</v>
      </c>
      <c r="AQ10" s="124"/>
      <c r="AR10" s="125"/>
      <c r="AS10" s="125"/>
      <c r="AT10" s="125"/>
      <c r="AU10" s="125"/>
      <c r="AV10" s="125"/>
      <c r="AW10" s="125"/>
      <c r="AX10" s="77"/>
      <c r="AY10" s="77"/>
      <c r="AZ10" s="77"/>
      <c r="BE10" s="25"/>
      <c r="BF10" s="25"/>
      <c r="BG10" s="79"/>
      <c r="BH10" s="79"/>
      <c r="BI10" s="25"/>
      <c r="BJ10" s="25"/>
      <c r="BR10" s="365"/>
      <c r="BS10" s="365"/>
      <c r="BT10" s="365"/>
      <c r="BU10" s="365"/>
      <c r="BV10" s="365"/>
      <c r="BW10" s="365"/>
      <c r="BX10" s="365"/>
      <c r="BY10" s="365"/>
      <c r="BZ10" s="365"/>
      <c r="CA10" s="365"/>
      <c r="CB10" s="365"/>
      <c r="CC10" s="365"/>
      <c r="CD10" s="365"/>
      <c r="CE10" s="365"/>
      <c r="CF10" s="365"/>
      <c r="CH10" s="1" t="str">
        <f>VaR_Calculo!B162</f>
        <v>Caixa IRF-M1</v>
      </c>
      <c r="CI10" s="201">
        <f>VaR_Calculo!C162</f>
        <v>2150018.08</v>
      </c>
      <c r="CJ10" s="167">
        <f>VaR_Calculo!D162</f>
        <v>1.2437107238860576E-4</v>
      </c>
      <c r="CK10" s="201">
        <f>VaR_Calculo!E162</f>
        <v>1015.8301176435001</v>
      </c>
      <c r="CL10" s="167">
        <f>VaR_Calculo!F162</f>
        <v>5.6993985348361819E-4</v>
      </c>
      <c r="CM10" s="201">
        <f>VaR_Calculo!G162</f>
        <v>4655.1184073172353</v>
      </c>
      <c r="DW10" s="71" t="str">
        <f>Calculo_Indice_Sharpe!B5</f>
        <v>BB Perfil</v>
      </c>
      <c r="DX10" s="72">
        <f>IF(AND(Calculo_Indice_Sharpe!E5&lt;&gt;"",Calculo_Indice_Sharpe!F5=""),0,IF(Calculo_Indice_Sharpe!F5&lt;0,0,Calculo_Indice_Sharpe!F5))</f>
        <v>0</v>
      </c>
      <c r="DZ10" s="71" t="str">
        <f>Calculo_Indice_Sharpe!B25</f>
        <v/>
      </c>
      <c r="EA10" s="72" t="str">
        <f>IF(AND(Calculo_Indice_Sharpe!E25&lt;&gt;"",Calculo_Indice_Sharpe!F25=""),0,IF(Calculo_Indice_Sharpe!F25&lt;0,0,Calculo_Indice_Sharpe!F25))</f>
        <v/>
      </c>
      <c r="EW10" s="25" t="str">
        <f>Carteira!C8</f>
        <v>Caixa Ref. DI LP</v>
      </c>
      <c r="EX10" s="34">
        <f>IF(EW10="","",Retorno!G12)</f>
        <v>635599.06999999995</v>
      </c>
      <c r="EY10" s="60">
        <f>IF(EW10="","",Retorno!K12)</f>
        <v>7.781826564512502E-2</v>
      </c>
      <c r="EZ10" s="69">
        <f>Carteira!M8</f>
        <v>0.2</v>
      </c>
      <c r="FA10" s="1" t="str">
        <f>Carteira!L8</f>
        <v>FI de Renda Fixa - Art. 7º, IV</v>
      </c>
      <c r="FB10" s="33">
        <f>IF(EW10="","",IF(Calculo_Indice_Sharpe!H9="",0,IF(Calculo_Indice_Sharpe!H9=0,0,EX10/Calculo_Indice_Sharpe!H9)))</f>
        <v>1.4551989179380903E-4</v>
      </c>
      <c r="FF10" s="73" t="s">
        <v>509</v>
      </c>
      <c r="FG10" s="74">
        <v>0.2</v>
      </c>
      <c r="FH10" s="74">
        <f>HLOOKUP(Dados_Clientes!$F$2,Dados_Clientes!$B$44:$AJ$61,8,FALSE)</f>
        <v>0</v>
      </c>
      <c r="FI10" s="75">
        <f>enquadramento!K9</f>
        <v>0</v>
      </c>
    </row>
    <row r="11" spans="1:165" ht="15" customHeight="1" x14ac:dyDescent="0.3">
      <c r="B11" s="365" t="s">
        <v>567</v>
      </c>
      <c r="C11" s="365"/>
      <c r="D11" s="365"/>
      <c r="E11" s="365"/>
      <c r="F11" s="365"/>
      <c r="G11" s="365"/>
      <c r="H11" s="365"/>
      <c r="I11" s="365"/>
      <c r="J11" s="365"/>
      <c r="K11" s="365"/>
      <c r="L11" s="365"/>
      <c r="M11" s="365"/>
      <c r="N11" s="365"/>
      <c r="O11" s="365"/>
      <c r="Q11" s="25" t="s">
        <v>603</v>
      </c>
      <c r="S11" s="25"/>
      <c r="AF11" s="25" t="str">
        <f>IF(AND(Carteira!C10="",Carteira!C9&lt;&gt;""),"Carteira",Carteira!C10)</f>
        <v>Caixa IRF-M1+</v>
      </c>
      <c r="AG11" s="34">
        <f>IF(AF11="","",IF(AF11="Carteira",Retorno!$C$4,Retorno!C14))</f>
        <v>2072427.17</v>
      </c>
      <c r="AH11" s="34">
        <f>IF(AF11="","",IF(AF11="Carteira",Retorno!$D$4,Retorno!D14))</f>
        <v>0</v>
      </c>
      <c r="AI11" s="34">
        <f>IF(AF11="","",IF(AF11="Carteira",Retorno!$E$4,Retorno!E14))</f>
        <v>2141111.31</v>
      </c>
      <c r="AJ11" s="105">
        <f>IF(AF11="","",IF(AF11="Carteira",Retorno!$F$4,Retorno!F14))</f>
        <v>0</v>
      </c>
      <c r="AK11" s="34">
        <f>IF(AF11="","",IF(AF11="Carteira",Retorno!$G$4,Retorno!G14))</f>
        <v>0</v>
      </c>
      <c r="AL11" s="34">
        <f>IF(AF11="","",IF(AF11="Carteira",Retorno!$H$4,Retorno!H14))</f>
        <v>68684.14000000013</v>
      </c>
      <c r="AM11" s="33">
        <f>IF(AF11="","",IF(AF11="Carteira",Retorno!$I$4,Retorno!I14))</f>
        <v>3.3141883581848684E-2</v>
      </c>
      <c r="AN11" s="60">
        <f>IF(AF11="","",Retorno!$O$3)</f>
        <v>9.2889677878305044E-3</v>
      </c>
      <c r="AO11" s="33">
        <f t="shared" si="0"/>
        <v>3.5678758220335238</v>
      </c>
      <c r="AQ11" s="124"/>
      <c r="AR11" s="125"/>
      <c r="AS11" s="125"/>
      <c r="AT11" s="125"/>
      <c r="AU11" s="125"/>
      <c r="AV11" s="125"/>
      <c r="AW11" s="125"/>
      <c r="AX11" s="77"/>
      <c r="AY11" s="77"/>
      <c r="AZ11" s="77"/>
      <c r="BE11" s="25"/>
      <c r="BF11" s="25"/>
      <c r="BG11" s="79"/>
      <c r="BH11" s="79"/>
      <c r="BI11" s="25"/>
      <c r="BJ11" s="25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H11" s="1" t="str">
        <f>VaR_Calculo!B163</f>
        <v>Caixa IRF-M1+</v>
      </c>
      <c r="CI11" s="339" t="str">
        <f>VaR_Calculo!C163</f>
        <v/>
      </c>
      <c r="CJ11" s="167">
        <f>VaR_Calculo!D163</f>
        <v>0</v>
      </c>
      <c r="CK11" s="201">
        <f>VaR_Calculo!E163</f>
        <v>0</v>
      </c>
      <c r="CL11" s="167">
        <f>VaR_Calculo!F163</f>
        <v>0</v>
      </c>
      <c r="CM11" s="201">
        <f>VaR_Calculo!G163</f>
        <v>0</v>
      </c>
      <c r="CQ11" s="365" t="s">
        <v>619</v>
      </c>
      <c r="CR11" s="365"/>
      <c r="CS11" s="365"/>
      <c r="CT11" s="365"/>
      <c r="CU11" s="365"/>
      <c r="CV11" s="365"/>
      <c r="CW11" s="365"/>
      <c r="CX11" s="365"/>
      <c r="CY11" s="365"/>
      <c r="CZ11" s="365"/>
      <c r="DA11" s="365"/>
      <c r="DB11" s="365"/>
      <c r="DC11" s="365"/>
      <c r="DD11" s="365"/>
      <c r="DE11" s="365"/>
      <c r="DF11" s="113"/>
      <c r="DW11" s="71" t="str">
        <f>Calculo_Indice_Sharpe!B6</f>
        <v>BB IX TP</v>
      </c>
      <c r="DX11" s="72">
        <f>IF(AND(Calculo_Indice_Sharpe!E6&lt;&gt;"",Calculo_Indice_Sharpe!F6=""),0,IF(Calculo_Indice_Sharpe!F6&lt;0,0,Calculo_Indice_Sharpe!F6))</f>
        <v>0</v>
      </c>
      <c r="DZ11" s="71" t="str">
        <f>Calculo_Indice_Sharpe!B26</f>
        <v/>
      </c>
      <c r="EA11" s="72" t="str">
        <f>IF(AND(Calculo_Indice_Sharpe!E26&lt;&gt;"",Calculo_Indice_Sharpe!F26=""),0,IF(Calculo_Indice_Sharpe!F26&lt;0,0,Calculo_Indice_Sharpe!F26))</f>
        <v/>
      </c>
      <c r="EW11" s="25" t="str">
        <f>Carteira!C9</f>
        <v>Caixa IRF-M1</v>
      </c>
      <c r="EX11" s="34">
        <f>IF(EW11="","",Retorno!G13)</f>
        <v>2150018.08</v>
      </c>
      <c r="EY11" s="60">
        <f>IF(EW11="","",Retorno!K13)</f>
        <v>0.26323304420703714</v>
      </c>
      <c r="EZ11" s="69">
        <f>Carteira!M9</f>
        <v>1</v>
      </c>
      <c r="FA11" s="1" t="str">
        <f>Carteira!L9</f>
        <v>FI 100% títulos TN - Art. 7º, I, "b"</v>
      </c>
      <c r="FB11" s="33">
        <f>IF(EW11="","",IF(Calculo_Indice_Sharpe!H10="",0,IF(Calculo_Indice_Sharpe!H10=0,0,EX11/Calculo_Indice_Sharpe!H10)))</f>
        <v>2.3077915583687701E-4</v>
      </c>
      <c r="FF11" s="73" t="s">
        <v>501</v>
      </c>
      <c r="FG11" s="74">
        <v>0.15</v>
      </c>
      <c r="FH11" s="74">
        <f>HLOOKUP(Dados_Clientes!$F$2,Dados_Clientes!$B$44:$AJ$61,9,FALSE)</f>
        <v>0.15</v>
      </c>
      <c r="FI11" s="75">
        <f>enquadramento!K10</f>
        <v>0</v>
      </c>
    </row>
    <row r="12" spans="1:165" ht="15" customHeight="1" x14ac:dyDescent="0.3">
      <c r="B12" s="365"/>
      <c r="C12" s="365"/>
      <c r="D12" s="365"/>
      <c r="E12" s="365"/>
      <c r="F12" s="365"/>
      <c r="G12" s="365"/>
      <c r="H12" s="365"/>
      <c r="I12" s="365"/>
      <c r="J12" s="365"/>
      <c r="K12" s="365"/>
      <c r="L12" s="365"/>
      <c r="M12" s="365"/>
      <c r="N12" s="365"/>
      <c r="O12" s="365"/>
      <c r="AF12" s="25" t="str">
        <f>IF(AND(Carteira!C11="",Carteira!C10&lt;&gt;""),"Carteira",Carteira!C11)</f>
        <v>Carteira</v>
      </c>
      <c r="AG12" s="34">
        <f>IF(AF12="","",IF(AF12="Carteira",Retorno!$C$4,Retorno!C15))</f>
        <v>7955238.4399999995</v>
      </c>
      <c r="AH12" s="34">
        <f>IF(AF12="","",IF(AF12="Carteira",Retorno!$D$4,Retorno!D15))</f>
        <v>5519280.0800000001</v>
      </c>
      <c r="AI12" s="34">
        <f>IF(AF12="","",IF(AF12="Carteira",Retorno!$E$4,Retorno!E15))</f>
        <v>5519280.0800000001</v>
      </c>
      <c r="AJ12" s="105">
        <f>IF(AF12="","",IF(AF12="Carteira",Retorno!$F$4,Retorno!F15))</f>
        <v>0</v>
      </c>
      <c r="AK12" s="34">
        <f>IF(AF12="","",IF(AF12="Carteira",Retorno!$G$4,Retorno!G15))</f>
        <v>8167736.2599999998</v>
      </c>
      <c r="AL12" s="34">
        <f>IF(AF12="","",IF(AF12="Carteira",Retorno!$H$4,Retorno!H15))</f>
        <v>212497.8200000003</v>
      </c>
      <c r="AM12" s="33">
        <f>IF(AF12="","",IF(AF12="Carteira",Retorno!$I$4,Retorno!I15))</f>
        <v>2.671168458402616E-2</v>
      </c>
      <c r="AN12" s="60">
        <f>IF(AF12="","",Retorno!$O$3)</f>
        <v>9.2889677878305044E-3</v>
      </c>
      <c r="AO12" s="33">
        <f t="shared" si="0"/>
        <v>2.8756353982647234</v>
      </c>
      <c r="AQ12" s="124"/>
      <c r="AR12" s="125"/>
      <c r="AS12" s="125"/>
      <c r="AT12" s="125"/>
      <c r="AU12" s="125"/>
      <c r="AV12" s="125"/>
      <c r="AW12" s="125"/>
      <c r="AX12" s="77"/>
      <c r="AY12" s="77"/>
      <c r="AZ12" s="77"/>
      <c r="BE12" s="25"/>
      <c r="BF12" s="25"/>
      <c r="BG12" s="79"/>
      <c r="BH12" s="79"/>
      <c r="BI12" s="25"/>
      <c r="BJ12" s="25"/>
      <c r="BR12" s="365" t="s">
        <v>578</v>
      </c>
      <c r="BS12" s="365"/>
      <c r="BT12" s="365"/>
      <c r="BU12" s="365"/>
      <c r="BV12" s="365"/>
      <c r="BW12" s="365"/>
      <c r="BX12" s="365"/>
      <c r="BY12" s="365"/>
      <c r="BZ12" s="365"/>
      <c r="CA12" s="365"/>
      <c r="CB12" s="365"/>
      <c r="CC12" s="365"/>
      <c r="CD12" s="365"/>
      <c r="CE12" s="365"/>
      <c r="CF12" s="365"/>
      <c r="CH12" s="1" t="str">
        <f>VaR_Calculo!B164</f>
        <v/>
      </c>
      <c r="CI12" s="201" t="str">
        <f>VaR_Calculo!C164</f>
        <v/>
      </c>
      <c r="CJ12" s="167"/>
      <c r="CK12" s="201"/>
      <c r="CL12" s="167"/>
      <c r="CM12" s="201"/>
      <c r="CQ12" s="365"/>
      <c r="CR12" s="365"/>
      <c r="CS12" s="365"/>
      <c r="CT12" s="365"/>
      <c r="CU12" s="365"/>
      <c r="CV12" s="365"/>
      <c r="CW12" s="365"/>
      <c r="CX12" s="365"/>
      <c r="CY12" s="365"/>
      <c r="CZ12" s="365"/>
      <c r="DA12" s="365"/>
      <c r="DB12" s="365"/>
      <c r="DC12" s="365"/>
      <c r="DD12" s="365"/>
      <c r="DE12" s="365"/>
      <c r="DF12" s="113"/>
      <c r="DW12" s="71" t="str">
        <f>Calculo_Indice_Sharpe!B7</f>
        <v>BB IRF-M1</v>
      </c>
      <c r="DX12" s="72">
        <f>IF(AND(Calculo_Indice_Sharpe!E7&lt;&gt;"",Calculo_Indice_Sharpe!F7=""),0,IF(Calculo_Indice_Sharpe!F7&lt;0,0,Calculo_Indice_Sharpe!F7))</f>
        <v>1.7000000000000001E-2</v>
      </c>
      <c r="DZ12" s="71" t="str">
        <f>Calculo_Indice_Sharpe!B27</f>
        <v/>
      </c>
      <c r="EA12" s="72" t="str">
        <f>IF(AND(Calculo_Indice_Sharpe!E27&lt;&gt;"",Calculo_Indice_Sharpe!F27=""),0,IF(Calculo_Indice_Sharpe!F27&lt;0,0,Calculo_Indice_Sharpe!F27))</f>
        <v/>
      </c>
      <c r="EW12" s="25" t="str">
        <f>Carteira!C10</f>
        <v>Caixa IRF-M1+</v>
      </c>
      <c r="EX12" s="34">
        <f>IF(EW12="","",Retorno!G14)</f>
        <v>0</v>
      </c>
      <c r="EY12" s="60">
        <f>IF(EW12="","",Retorno!K14)</f>
        <v>0</v>
      </c>
      <c r="EZ12" s="69">
        <f>Carteira!M10</f>
        <v>1</v>
      </c>
      <c r="FA12" s="1" t="str">
        <f>Carteira!L10</f>
        <v>FI 100% títulos TN - Art. 7º, I, "b"</v>
      </c>
      <c r="FB12" s="33">
        <f>IF(EW12="","",IF(Calculo_Indice_Sharpe!H11="",0,IF(Calculo_Indice_Sharpe!H11=0,0,EX12/Calculo_Indice_Sharpe!H11)))</f>
        <v>0</v>
      </c>
      <c r="FF12" s="73" t="s">
        <v>504</v>
      </c>
      <c r="FG12" s="74">
        <v>0.05</v>
      </c>
      <c r="FH12" s="74">
        <f>HLOOKUP(Dados_Clientes!$F$2,Dados_Clientes!$B$44:$AJ$61,10,FALSE)</f>
        <v>0</v>
      </c>
      <c r="FI12" s="75">
        <f>enquadramento!K11</f>
        <v>0</v>
      </c>
    </row>
    <row r="13" spans="1:165" ht="15" customHeight="1" x14ac:dyDescent="0.3">
      <c r="W13" s="374">
        <f>Retorno!O3</f>
        <v>9.2889677878305044E-3</v>
      </c>
      <c r="X13" s="374"/>
      <c r="AF13" s="25" t="str">
        <f>IF(AND(Carteira!C12="",Carteira!C11&lt;&gt;""),"Carteira",Carteira!C12)</f>
        <v/>
      </c>
      <c r="AG13" s="34" t="str">
        <f>IF(AF13="","",IF(AF13="Carteira",Retorno!$C$4,Retorno!C16))</f>
        <v/>
      </c>
      <c r="AH13" s="34" t="str">
        <f>IF(AF13="","",IF(AF13="Carteira",Retorno!$D$4,Retorno!D16))</f>
        <v/>
      </c>
      <c r="AI13" s="34" t="str">
        <f>IF(AF13="","",IF(AF13="Carteira",Retorno!$E$4,Retorno!E16))</f>
        <v/>
      </c>
      <c r="AJ13" s="105" t="str">
        <f>IF(AF13="","",IF(AF13="Carteira",Retorno!$F$4,Retorno!F16))</f>
        <v/>
      </c>
      <c r="AK13" s="34" t="str">
        <f>IF(AF13="","",IF(AF13="Carteira",Retorno!$G$4,Retorno!G16))</f>
        <v/>
      </c>
      <c r="AL13" s="34" t="str">
        <f>IF(AF13="","",IF(AF13="Carteira",Retorno!$H$4,Retorno!H16))</f>
        <v/>
      </c>
      <c r="AM13" s="33" t="str">
        <f>IF(AF13="","",IF(AF13="Carteira",Retorno!$I$4,Retorno!I16))</f>
        <v/>
      </c>
      <c r="AN13" s="60" t="str">
        <f>IF(AF13="","",Retorno!$O$3)</f>
        <v/>
      </c>
      <c r="AO13" s="33" t="str">
        <f t="shared" si="0"/>
        <v/>
      </c>
      <c r="AQ13" s="124"/>
      <c r="AR13" s="125"/>
      <c r="AS13" s="125"/>
      <c r="AT13" s="125"/>
      <c r="AU13" s="125"/>
      <c r="AV13" s="125"/>
      <c r="AW13" s="125"/>
      <c r="AX13" s="77"/>
      <c r="AY13" s="77"/>
      <c r="AZ13" s="77"/>
      <c r="BE13" s="25"/>
      <c r="BF13" s="25"/>
      <c r="BG13" s="25"/>
      <c r="BH13" s="25"/>
      <c r="BI13" s="25"/>
      <c r="BJ13" s="25"/>
      <c r="BR13" s="365"/>
      <c r="BS13" s="365"/>
      <c r="BT13" s="365"/>
      <c r="BU13" s="365"/>
      <c r="BV13" s="365"/>
      <c r="BW13" s="365"/>
      <c r="BX13" s="365"/>
      <c r="BY13" s="365"/>
      <c r="BZ13" s="365"/>
      <c r="CA13" s="365"/>
      <c r="CB13" s="365"/>
      <c r="CC13" s="365"/>
      <c r="CD13" s="365"/>
      <c r="CE13" s="365"/>
      <c r="CF13" s="365"/>
      <c r="CH13" s="1" t="str">
        <f>VaR_Calculo!B165</f>
        <v/>
      </c>
      <c r="CI13" s="201" t="str">
        <f>VaR_Calculo!C165</f>
        <v/>
      </c>
      <c r="CJ13" s="167"/>
      <c r="CK13" s="201"/>
      <c r="CL13" s="167"/>
      <c r="CM13" s="201"/>
      <c r="CQ13" s="365"/>
      <c r="CR13" s="365"/>
      <c r="CS13" s="365"/>
      <c r="CT13" s="365"/>
      <c r="CU13" s="365"/>
      <c r="CV13" s="365"/>
      <c r="CW13" s="365"/>
      <c r="CX13" s="365"/>
      <c r="CY13" s="365"/>
      <c r="CZ13" s="365"/>
      <c r="DA13" s="365"/>
      <c r="DB13" s="365"/>
      <c r="DC13" s="365"/>
      <c r="DD13" s="365"/>
      <c r="DE13" s="365"/>
      <c r="DF13" s="113"/>
      <c r="DG13" s="366"/>
      <c r="DH13" s="366"/>
      <c r="DI13" s="366"/>
      <c r="DJ13" s="366"/>
      <c r="DK13" s="366"/>
      <c r="DL13" s="366"/>
      <c r="DM13" s="366"/>
      <c r="DN13" s="366"/>
      <c r="DO13" s="366"/>
      <c r="DP13" s="366"/>
      <c r="DQ13" s="366"/>
      <c r="DR13" s="366"/>
      <c r="DS13" s="366"/>
      <c r="DT13" s="366"/>
      <c r="DU13" s="366"/>
      <c r="DW13" s="71" t="str">
        <f>Calculo_Indice_Sharpe!B8</f>
        <v>Caixa 2016 I TP RF</v>
      </c>
      <c r="DX13" s="72">
        <f>IF(AND(Calculo_Indice_Sharpe!E8&lt;&gt;"",Calculo_Indice_Sharpe!F8=""),0,IF(Calculo_Indice_Sharpe!F8&lt;0,0,Calculo_Indice_Sharpe!F8))</f>
        <v>0</v>
      </c>
      <c r="DZ13" s="71" t="str">
        <f>Calculo_Indice_Sharpe!B28</f>
        <v/>
      </c>
      <c r="EA13" s="72" t="str">
        <f>IF(AND(Calculo_Indice_Sharpe!E28&lt;&gt;"",Calculo_Indice_Sharpe!F28=""),0,IF(Calculo_Indice_Sharpe!F28&lt;0,0,Calculo_Indice_Sharpe!F28))</f>
        <v/>
      </c>
      <c r="EW13" s="25" t="str">
        <f>Carteira!C11</f>
        <v/>
      </c>
      <c r="EX13" s="34" t="str">
        <f>IF(EW13="","",Retorno!G15)</f>
        <v/>
      </c>
      <c r="EY13" s="60" t="str">
        <f>IF(EW13="","",Retorno!K15)</f>
        <v/>
      </c>
      <c r="EZ13" s="69" t="str">
        <f>Carteira!M11</f>
        <v/>
      </c>
      <c r="FA13" s="1" t="str">
        <f>Carteira!L11</f>
        <v/>
      </c>
      <c r="FB13" s="33" t="str">
        <f>IF(EW13="","",IF(Calculo_Indice_Sharpe!H12="",0,IF(Calculo_Indice_Sharpe!H12=0,0,EX13/Calculo_Indice_Sharpe!H12)))</f>
        <v/>
      </c>
      <c r="FF13" s="73" t="s">
        <v>500</v>
      </c>
      <c r="FG13" s="74">
        <v>0.05</v>
      </c>
      <c r="FH13" s="74">
        <f>HLOOKUP(Dados_Clientes!$F$2,Dados_Clientes!$B$44:$AJ$61,11,FALSE)</f>
        <v>0</v>
      </c>
      <c r="FI13" s="75">
        <f>enquadramento!K12</f>
        <v>0</v>
      </c>
    </row>
    <row r="14" spans="1:165" x14ac:dyDescent="0.3">
      <c r="A14" s="25" t="s">
        <v>561</v>
      </c>
      <c r="W14" s="374"/>
      <c r="X14" s="374"/>
      <c r="AF14" s="25" t="str">
        <f>IF(AND(Carteira!C13="",Carteira!C12&lt;&gt;""),"Carteira",Carteira!C13)</f>
        <v/>
      </c>
      <c r="AG14" s="34" t="str">
        <f>IF(AF14="","",IF(AF14="Carteira",Retorno!$C$4,Retorno!C17))</f>
        <v/>
      </c>
      <c r="AH14" s="34" t="str">
        <f>IF(AF14="","",IF(AF14="Carteira",Retorno!$D$4,Retorno!D17))</f>
        <v/>
      </c>
      <c r="AI14" s="34" t="str">
        <f>IF(AF14="","",IF(AF14="Carteira",Retorno!$E$4,Retorno!E17))</f>
        <v/>
      </c>
      <c r="AJ14" s="105" t="str">
        <f>IF(AF14="","",IF(AF14="Carteira",Retorno!$F$4,Retorno!F17))</f>
        <v/>
      </c>
      <c r="AK14" s="34" t="str">
        <f>IF(AF14="","",IF(AF14="Carteira",Retorno!$G$4,Retorno!G17))</f>
        <v/>
      </c>
      <c r="AL14" s="34" t="str">
        <f>IF(AF14="","",IF(AF14="Carteira",Retorno!$H$4,Retorno!H17))</f>
        <v/>
      </c>
      <c r="AM14" s="33" t="str">
        <f>IF(AF14="","",IF(AF14="Carteira",Retorno!$I$4,Retorno!I17))</f>
        <v/>
      </c>
      <c r="AN14" s="60" t="str">
        <f>IF(AF14="","",Retorno!$O$3)</f>
        <v/>
      </c>
      <c r="AO14" s="33" t="str">
        <f t="shared" si="0"/>
        <v/>
      </c>
      <c r="AQ14" s="124"/>
      <c r="AR14" s="125"/>
      <c r="AS14" s="125"/>
      <c r="AT14" s="125"/>
      <c r="AU14" s="125"/>
      <c r="AV14" s="125"/>
      <c r="AW14" s="125"/>
      <c r="AX14" s="77"/>
      <c r="AY14" s="77"/>
      <c r="AZ14" s="77"/>
      <c r="BE14" s="25"/>
      <c r="BF14" s="25"/>
      <c r="BG14" s="25"/>
      <c r="BH14" s="25"/>
      <c r="BI14" s="25"/>
      <c r="BJ14" s="25"/>
      <c r="BR14" s="365"/>
      <c r="BS14" s="365"/>
      <c r="BT14" s="365"/>
      <c r="BU14" s="365"/>
      <c r="BV14" s="365"/>
      <c r="BW14" s="365"/>
      <c r="BX14" s="365"/>
      <c r="BY14" s="365"/>
      <c r="BZ14" s="365"/>
      <c r="CA14" s="365"/>
      <c r="CB14" s="365"/>
      <c r="CC14" s="365"/>
      <c r="CD14" s="365"/>
      <c r="CE14" s="365"/>
      <c r="CF14" s="365"/>
      <c r="CH14" s="1" t="str">
        <f>VaR_Calculo!B166</f>
        <v/>
      </c>
      <c r="CI14" s="201" t="str">
        <f>VaR_Calculo!C166</f>
        <v/>
      </c>
      <c r="CJ14" s="167"/>
      <c r="CK14" s="201"/>
      <c r="CL14" s="167"/>
      <c r="CM14" s="201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W14" s="71" t="str">
        <f>Calculo_Indice_Sharpe!B9</f>
        <v>Caixa Ref. DI LP</v>
      </c>
      <c r="DX14" s="72">
        <f>IF(AND(Calculo_Indice_Sharpe!E9&lt;&gt;"",Calculo_Indice_Sharpe!F9=""),0,IF(Calculo_Indice_Sharpe!F9&lt;0,0,Calculo_Indice_Sharpe!F9))</f>
        <v>2.7400000000000001E-2</v>
      </c>
      <c r="DZ14" s="71" t="str">
        <f>Calculo_Indice_Sharpe!B29</f>
        <v/>
      </c>
      <c r="EA14" s="72" t="str">
        <f>IF(AND(Calculo_Indice_Sharpe!E29&lt;&gt;"",Calculo_Indice_Sharpe!F29=""),0,IF(Calculo_Indice_Sharpe!F29&lt;0,0,Calculo_Indice_Sharpe!F29))</f>
        <v/>
      </c>
      <c r="EW14" s="25" t="str">
        <f>Carteira!C12</f>
        <v/>
      </c>
      <c r="EX14" s="34" t="str">
        <f>IF(EW14="","",Retorno!G16)</f>
        <v/>
      </c>
      <c r="EY14" s="60" t="str">
        <f>IF(EW14="","",Retorno!K16)</f>
        <v/>
      </c>
      <c r="EZ14" s="69" t="str">
        <f>Carteira!M12</f>
        <v/>
      </c>
      <c r="FA14" s="1" t="str">
        <f>Carteira!L12</f>
        <v/>
      </c>
      <c r="FB14" s="33" t="str">
        <f>IF(EW14="","",IF(Calculo_Indice_Sharpe!H13="",0,IF(Calculo_Indice_Sharpe!H13=0,0,EX14/Calculo_Indice_Sharpe!H13)))</f>
        <v/>
      </c>
      <c r="FF14" s="56"/>
      <c r="FG14" s="76"/>
      <c r="FH14" s="74"/>
      <c r="FI14" s="77"/>
    </row>
    <row r="15" spans="1:165" x14ac:dyDescent="0.3">
      <c r="W15" s="374"/>
      <c r="X15" s="374"/>
      <c r="AF15" s="25" t="str">
        <f>IF(AND(Carteira!C14="",Carteira!C13&lt;&gt;""),"Carteira",Carteira!C14)</f>
        <v/>
      </c>
      <c r="AG15" s="34" t="str">
        <f>IF(AF15="","",IF(AF15="Carteira",Retorno!$C$4,Retorno!C18))</f>
        <v/>
      </c>
      <c r="AH15" s="34" t="str">
        <f>IF(AF15="","",IF(AF15="Carteira",Retorno!$D$4,Retorno!D18))</f>
        <v/>
      </c>
      <c r="AI15" s="34" t="str">
        <f>IF(AF15="","",IF(AF15="Carteira",Retorno!$E$4,Retorno!E18))</f>
        <v/>
      </c>
      <c r="AJ15" s="105" t="str">
        <f>IF(AF15="","",IF(AF15="Carteira",Retorno!$F$4,Retorno!F18))</f>
        <v/>
      </c>
      <c r="AK15" s="34" t="str">
        <f>IF(AF15="","",IF(AF15="Carteira",Retorno!$G$4,Retorno!G18))</f>
        <v/>
      </c>
      <c r="AL15" s="34" t="str">
        <f>IF(AF15="","",IF(AF15="Carteira",Retorno!$H$4,Retorno!H18))</f>
        <v/>
      </c>
      <c r="AM15" s="33" t="str">
        <f>IF(AF15="","",IF(AF15="Carteira",Retorno!$I$4,Retorno!I18))</f>
        <v/>
      </c>
      <c r="AN15" s="60" t="str">
        <f>IF(AF15="","",Retorno!$O$3)</f>
        <v/>
      </c>
      <c r="AO15" s="33" t="str">
        <f t="shared" si="0"/>
        <v/>
      </c>
      <c r="AQ15" s="124"/>
      <c r="AR15" s="125"/>
      <c r="AS15" s="125"/>
      <c r="AT15" s="125"/>
      <c r="AU15" s="125"/>
      <c r="AV15" s="227"/>
      <c r="AW15" s="125"/>
      <c r="AX15" s="77"/>
      <c r="AY15" s="77"/>
      <c r="AZ15" s="77"/>
      <c r="BE15" s="25"/>
      <c r="BF15" s="25"/>
      <c r="BG15" s="25"/>
      <c r="BH15" s="25"/>
      <c r="BI15" s="25"/>
      <c r="BJ15" s="25"/>
      <c r="CH15" s="1" t="str">
        <f>VaR_Calculo!B167</f>
        <v/>
      </c>
      <c r="CI15" s="201" t="str">
        <f>VaR_Calculo!C167</f>
        <v/>
      </c>
      <c r="CJ15" s="167"/>
      <c r="CK15" s="201"/>
      <c r="CL15" s="167"/>
      <c r="CM15" s="201"/>
      <c r="CQ15" s="372" t="s">
        <v>620</v>
      </c>
      <c r="CR15" s="372"/>
      <c r="CS15" s="372"/>
      <c r="CT15" s="372"/>
      <c r="CU15" s="372"/>
      <c r="CV15" s="372"/>
      <c r="CW15" s="372"/>
      <c r="CX15" s="372"/>
      <c r="CY15" s="372"/>
      <c r="CZ15" s="372"/>
      <c r="DA15" s="372"/>
      <c r="DB15" s="372"/>
      <c r="DC15" s="372"/>
      <c r="DD15" s="372"/>
      <c r="DE15" s="372"/>
      <c r="DF15" s="114"/>
      <c r="DG15" s="369" t="s">
        <v>588</v>
      </c>
      <c r="DH15" s="369"/>
      <c r="DI15" s="369"/>
      <c r="DJ15" s="369"/>
      <c r="DK15" s="369"/>
      <c r="DL15" s="369"/>
      <c r="DM15" s="369"/>
      <c r="DN15" s="369"/>
      <c r="DO15" s="369"/>
      <c r="DP15" s="369"/>
      <c r="DQ15" s="369"/>
      <c r="DR15" s="369"/>
      <c r="DS15" s="369"/>
      <c r="DT15" s="369"/>
      <c r="DU15" s="369"/>
      <c r="DW15" s="71" t="str">
        <f>Calculo_Indice_Sharpe!B10</f>
        <v>Caixa IRF-M1</v>
      </c>
      <c r="DX15" s="72">
        <f>IF(AND(Calculo_Indice_Sharpe!E10&lt;&gt;"",Calculo_Indice_Sharpe!F10=""),0,IF(Calculo_Indice_Sharpe!F10&lt;0,0,Calculo_Indice_Sharpe!F10))</f>
        <v>2.1299999999999999E-2</v>
      </c>
      <c r="DZ15" s="71" t="str">
        <f>Calculo_Indice_Sharpe!B30</f>
        <v/>
      </c>
      <c r="EA15" s="72" t="str">
        <f>IF(AND(Calculo_Indice_Sharpe!E30&lt;&gt;"",Calculo_Indice_Sharpe!F30=""),0,IF(Calculo_Indice_Sharpe!F30&lt;0,0,Calculo_Indice_Sharpe!F30))</f>
        <v/>
      </c>
      <c r="EW15" s="25" t="str">
        <f>Carteira!C13</f>
        <v/>
      </c>
      <c r="EX15" s="34" t="str">
        <f>IF(EW15="","",Retorno!G17)</f>
        <v/>
      </c>
      <c r="EY15" s="60" t="str">
        <f>IF(EW15="","",Retorno!K17)</f>
        <v/>
      </c>
      <c r="EZ15" s="69" t="str">
        <f>Carteira!M13</f>
        <v/>
      </c>
      <c r="FA15" s="1" t="str">
        <f>Carteira!L13</f>
        <v/>
      </c>
      <c r="FB15" s="33" t="str">
        <f>IF(EW15="","",IF(Calculo_Indice_Sharpe!H14="",0,IF(Calculo_Indice_Sharpe!H14=0,0,EX15/Calculo_Indice_Sharpe!H14)))</f>
        <v/>
      </c>
      <c r="FF15" s="73" t="s">
        <v>502</v>
      </c>
      <c r="FG15" s="74">
        <v>0.3</v>
      </c>
      <c r="FH15" s="74">
        <f>HLOOKUP(Dados_Clientes!$F$2,Dados_Clientes!$B$44:$AJ$61,13,FALSE)</f>
        <v>0.05</v>
      </c>
      <c r="FI15" s="75">
        <f>enquadramento!K14</f>
        <v>0</v>
      </c>
    </row>
    <row r="16" spans="1:165" ht="15" customHeight="1" x14ac:dyDescent="0.3">
      <c r="B16" s="365" t="s">
        <v>562</v>
      </c>
      <c r="C16" s="365"/>
      <c r="D16" s="365"/>
      <c r="E16" s="365"/>
      <c r="F16" s="365"/>
      <c r="G16" s="365"/>
      <c r="H16" s="365"/>
      <c r="I16" s="365"/>
      <c r="J16" s="365"/>
      <c r="K16" s="365"/>
      <c r="L16" s="365"/>
      <c r="M16" s="365"/>
      <c r="N16" s="365"/>
      <c r="O16" s="365"/>
      <c r="AF16" s="25" t="str">
        <f>IF(AND(Carteira!C15="",Carteira!C14&lt;&gt;""),"Carteira",Carteira!C15)</f>
        <v/>
      </c>
      <c r="AG16" s="34" t="str">
        <f>IF(AF16="","",IF(AF16="Carteira",Retorno!$C$4,Retorno!C19))</f>
        <v/>
      </c>
      <c r="AH16" s="34" t="str">
        <f>IF(AF16="","",IF(AF16="Carteira",Retorno!$D$4,Retorno!D19))</f>
        <v/>
      </c>
      <c r="AI16" s="34" t="str">
        <f>IF(AF16="","",IF(AF16="Carteira",Retorno!$E$4,Retorno!E19))</f>
        <v/>
      </c>
      <c r="AJ16" s="105" t="str">
        <f>IF(AF16="","",IF(AF16="Carteira",Retorno!$F$4,Retorno!F19))</f>
        <v/>
      </c>
      <c r="AK16" s="34" t="str">
        <f>IF(AF16="","",IF(AF16="Carteira",Retorno!$G$4,Retorno!G19))</f>
        <v/>
      </c>
      <c r="AL16" s="34" t="str">
        <f>IF(AF16="","",IF(AF16="Carteira",Retorno!$H$4,Retorno!H19))</f>
        <v/>
      </c>
      <c r="AM16" s="33" t="str">
        <f>IF(AF16="","",IF(AF16="Carteira",Retorno!$I$4,Retorno!I19))</f>
        <v/>
      </c>
      <c r="AN16" s="60" t="str">
        <f>IF(AF16="","",Retorno!$O$3)</f>
        <v/>
      </c>
      <c r="AO16" s="33" t="str">
        <f t="shared" si="0"/>
        <v/>
      </c>
      <c r="AQ16" s="124"/>
      <c r="AR16" s="227"/>
      <c r="AS16" s="125"/>
      <c r="AT16" s="125"/>
      <c r="AU16" s="125"/>
      <c r="AV16" s="125"/>
      <c r="AW16" s="125"/>
      <c r="AX16" s="77"/>
      <c r="AY16" s="77"/>
      <c r="AZ16" s="77"/>
      <c r="BE16" s="79"/>
      <c r="BF16" s="79"/>
      <c r="BG16" s="79"/>
      <c r="BH16" s="79"/>
      <c r="BI16" s="79"/>
      <c r="BJ16" s="79"/>
      <c r="BR16" s="365" t="s">
        <v>579</v>
      </c>
      <c r="BS16" s="365"/>
      <c r="BT16" s="365"/>
      <c r="BU16" s="365"/>
      <c r="BV16" s="365"/>
      <c r="BW16" s="365"/>
      <c r="BX16" s="365"/>
      <c r="BY16" s="365"/>
      <c r="BZ16" s="365"/>
      <c r="CA16" s="365"/>
      <c r="CB16" s="365"/>
      <c r="CC16" s="365"/>
      <c r="CD16" s="365"/>
      <c r="CE16" s="365"/>
      <c r="CF16" s="365"/>
      <c r="CH16" s="1" t="str">
        <f>VaR_Calculo!B168</f>
        <v/>
      </c>
      <c r="CI16" s="201" t="str">
        <f>VaR_Calculo!C168</f>
        <v/>
      </c>
      <c r="CJ16" s="167"/>
      <c r="CK16" s="201"/>
      <c r="CL16" s="167"/>
      <c r="CM16" s="201"/>
      <c r="CQ16" s="372"/>
      <c r="CR16" s="372"/>
      <c r="CS16" s="372"/>
      <c r="CT16" s="372"/>
      <c r="CU16" s="372"/>
      <c r="CV16" s="372"/>
      <c r="CW16" s="372"/>
      <c r="CX16" s="372"/>
      <c r="CY16" s="372"/>
      <c r="CZ16" s="372"/>
      <c r="DA16" s="372"/>
      <c r="DB16" s="372"/>
      <c r="DC16" s="372"/>
      <c r="DD16" s="372"/>
      <c r="DE16" s="372"/>
      <c r="DF16" s="114"/>
      <c r="DG16" s="369"/>
      <c r="DH16" s="369"/>
      <c r="DI16" s="369"/>
      <c r="DJ16" s="369"/>
      <c r="DK16" s="369"/>
      <c r="DL16" s="369"/>
      <c r="DM16" s="369"/>
      <c r="DN16" s="369"/>
      <c r="DO16" s="369"/>
      <c r="DP16" s="369"/>
      <c r="DQ16" s="369"/>
      <c r="DR16" s="369"/>
      <c r="DS16" s="369"/>
      <c r="DT16" s="369"/>
      <c r="DU16" s="369"/>
      <c r="DW16" s="71" t="str">
        <f>Calculo_Indice_Sharpe!B11</f>
        <v>Caixa IRF-M1+</v>
      </c>
      <c r="DX16" s="72">
        <f>IF(AND(Calculo_Indice_Sharpe!E11&lt;&gt;"",Calculo_Indice_Sharpe!F11=""),0,IF(Calculo_Indice_Sharpe!F11&lt;0,0,Calculo_Indice_Sharpe!F11))</f>
        <v>6.4799999999999996E-2</v>
      </c>
      <c r="DZ16" s="71" t="str">
        <f>Calculo_Indice_Sharpe!B31</f>
        <v/>
      </c>
      <c r="EA16" s="72" t="str">
        <f>IF(AND(Calculo_Indice_Sharpe!E31&lt;&gt;"",Calculo_Indice_Sharpe!F31=""),0,IF(Calculo_Indice_Sharpe!F31&lt;0,0,Calculo_Indice_Sharpe!F31))</f>
        <v/>
      </c>
      <c r="EJ16" s="364" t="s">
        <v>511</v>
      </c>
      <c r="EK16" s="364"/>
      <c r="EL16" s="364"/>
      <c r="EM16" s="364"/>
      <c r="EN16" s="364"/>
      <c r="EO16" s="364"/>
      <c r="EP16" s="364"/>
      <c r="EQ16" s="364"/>
      <c r="ER16" s="364"/>
      <c r="EW16" s="25" t="str">
        <f>Carteira!C14</f>
        <v/>
      </c>
      <c r="EX16" s="34" t="str">
        <f>IF(EW16="","",Retorno!G18)</f>
        <v/>
      </c>
      <c r="EY16" s="60" t="str">
        <f>IF(EW16="","",Retorno!K18)</f>
        <v/>
      </c>
      <c r="EZ16" s="69" t="str">
        <f>Carteira!M14</f>
        <v/>
      </c>
      <c r="FA16" s="1" t="str">
        <f>Carteira!L14</f>
        <v/>
      </c>
      <c r="FB16" s="33" t="str">
        <f>IF(EW16="","",IF(Calculo_Indice_Sharpe!H15="",0,IF(Calculo_Indice_Sharpe!H15=0,0,EX16/Calculo_Indice_Sharpe!H15)))</f>
        <v/>
      </c>
      <c r="FF16" s="73" t="s">
        <v>503</v>
      </c>
      <c r="FG16" s="74">
        <v>0.2</v>
      </c>
      <c r="FH16" s="74">
        <f>HLOOKUP(Dados_Clientes!$F$2,Dados_Clientes!$B$44:$AJ$61,14,FALSE)</f>
        <v>0.05</v>
      </c>
      <c r="FI16" s="75">
        <f>enquadramento!K15</f>
        <v>0</v>
      </c>
    </row>
    <row r="17" spans="1:165" ht="15" customHeight="1" x14ac:dyDescent="0.3">
      <c r="B17" s="365"/>
      <c r="C17" s="365"/>
      <c r="D17" s="365"/>
      <c r="E17" s="365"/>
      <c r="F17" s="365"/>
      <c r="G17" s="365"/>
      <c r="H17" s="365"/>
      <c r="I17" s="365"/>
      <c r="J17" s="365"/>
      <c r="K17" s="365"/>
      <c r="L17" s="365"/>
      <c r="M17" s="365"/>
      <c r="N17" s="365"/>
      <c r="O17" s="365"/>
      <c r="AF17" s="25" t="str">
        <f>IF(AND(Carteira!C16="",Carteira!C15&lt;&gt;""),"Carteira",Carteira!C16)</f>
        <v/>
      </c>
      <c r="AG17" s="34" t="str">
        <f>IF(AF17="","",IF(AF17="Carteira",Retorno!$C$4,Retorno!C20))</f>
        <v/>
      </c>
      <c r="AH17" s="34" t="str">
        <f>IF(AF17="","",IF(AF17="Carteira",Retorno!$D$4,Retorno!D20))</f>
        <v/>
      </c>
      <c r="AI17" s="34" t="str">
        <f>IF(AF17="","",IF(AF17="Carteira",Retorno!$E$4,Retorno!E20))</f>
        <v/>
      </c>
      <c r="AJ17" s="105" t="str">
        <f>IF(AF17="","",IF(AF17="Carteira",Retorno!$F$4,Retorno!F20))</f>
        <v/>
      </c>
      <c r="AK17" s="34" t="str">
        <f>IF(AF17="","",IF(AF17="Carteira",Retorno!$G$4,Retorno!G20))</f>
        <v/>
      </c>
      <c r="AL17" s="34" t="str">
        <f>IF(AF17="","",IF(AF17="Carteira",Retorno!$H$4,Retorno!H20))</f>
        <v/>
      </c>
      <c r="AM17" s="33" t="str">
        <f>IF(AF17="","",IF(AF17="Carteira",Retorno!$I$4,Retorno!I20))</f>
        <v/>
      </c>
      <c r="AN17" s="60" t="str">
        <f>IF(AF17="","",Retorno!$O$3)</f>
        <v/>
      </c>
      <c r="AO17" s="33" t="str">
        <f t="shared" si="0"/>
        <v/>
      </c>
      <c r="AQ17" s="124"/>
      <c r="AR17" s="125"/>
      <c r="AS17" s="125"/>
      <c r="AT17" s="125"/>
      <c r="AU17" s="125"/>
      <c r="AV17" s="125"/>
      <c r="AW17" s="125"/>
      <c r="AX17" s="77"/>
      <c r="AY17" s="77"/>
      <c r="AZ17" s="77"/>
      <c r="BE17" s="364" t="s">
        <v>574</v>
      </c>
      <c r="BF17" s="364"/>
      <c r="BG17" s="364"/>
      <c r="BH17" s="364"/>
      <c r="BI17" s="364"/>
      <c r="BJ17" s="364"/>
      <c r="BK17" s="364"/>
      <c r="BL17" s="364"/>
      <c r="BM17" s="364"/>
      <c r="BR17" s="365"/>
      <c r="BS17" s="365"/>
      <c r="BT17" s="365"/>
      <c r="BU17" s="365"/>
      <c r="BV17" s="365"/>
      <c r="BW17" s="365"/>
      <c r="BX17" s="365"/>
      <c r="BY17" s="365"/>
      <c r="BZ17" s="365"/>
      <c r="CA17" s="365"/>
      <c r="CB17" s="365"/>
      <c r="CC17" s="365"/>
      <c r="CD17" s="365"/>
      <c r="CE17" s="365"/>
      <c r="CF17" s="365"/>
      <c r="CH17" s="1" t="str">
        <f>VaR_Calculo!B169</f>
        <v/>
      </c>
      <c r="CI17" s="201" t="str">
        <f>VaR_Calculo!C169</f>
        <v/>
      </c>
      <c r="CJ17" s="167"/>
      <c r="CK17" s="201"/>
      <c r="CL17" s="167"/>
      <c r="CM17" s="201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369"/>
      <c r="DH17" s="369"/>
      <c r="DI17" s="369"/>
      <c r="DJ17" s="369"/>
      <c r="DK17" s="369"/>
      <c r="DL17" s="369"/>
      <c r="DM17" s="369"/>
      <c r="DN17" s="369"/>
      <c r="DO17" s="369"/>
      <c r="DP17" s="369"/>
      <c r="DQ17" s="369"/>
      <c r="DR17" s="369"/>
      <c r="DS17" s="369"/>
      <c r="DT17" s="369"/>
      <c r="DU17" s="369"/>
      <c r="DW17" s="71" t="str">
        <f>Calculo_Indice_Sharpe!B12</f>
        <v/>
      </c>
      <c r="DX17" s="72" t="str">
        <f>IF(AND(Calculo_Indice_Sharpe!E12&lt;&gt;"",Calculo_Indice_Sharpe!F12=""),0,IF(Calculo_Indice_Sharpe!F12&lt;0,0,Calculo_Indice_Sharpe!F12))</f>
        <v/>
      </c>
      <c r="DZ17" s="71" t="str">
        <f>Calculo_Indice_Sharpe!B32</f>
        <v/>
      </c>
      <c r="EA17" s="72" t="str">
        <f>IF(AND(Calculo_Indice_Sharpe!E32&lt;&gt;"",Calculo_Indice_Sharpe!F32=""),0,IF(Calculo_Indice_Sharpe!F32&lt;0,0,Calculo_Indice_Sharpe!F32))</f>
        <v/>
      </c>
      <c r="EJ17" s="364"/>
      <c r="EK17" s="364"/>
      <c r="EL17" s="364"/>
      <c r="EM17" s="364"/>
      <c r="EN17" s="364"/>
      <c r="EO17" s="364"/>
      <c r="EP17" s="364"/>
      <c r="EQ17" s="364"/>
      <c r="ER17" s="364"/>
      <c r="EW17" s="25" t="str">
        <f>Carteira!C15</f>
        <v/>
      </c>
      <c r="EX17" s="34" t="str">
        <f>IF(EW17="","",Retorno!G19)</f>
        <v/>
      </c>
      <c r="EY17" s="60" t="str">
        <f>IF(EW17="","",Retorno!K19)</f>
        <v/>
      </c>
      <c r="EZ17" s="69" t="str">
        <f>Carteira!M15</f>
        <v/>
      </c>
      <c r="FA17" s="1" t="str">
        <f>Carteira!L15</f>
        <v/>
      </c>
      <c r="FB17" s="33" t="str">
        <f>IF(EW17="","",IF(Calculo_Indice_Sharpe!H16="",0,IF(Calculo_Indice_Sharpe!H16=0,0,EX17/Calculo_Indice_Sharpe!H16)))</f>
        <v/>
      </c>
      <c r="FF17" s="73" t="s">
        <v>498</v>
      </c>
      <c r="FG17" s="74">
        <v>0.15</v>
      </c>
      <c r="FH17" s="74">
        <f>HLOOKUP(Dados_Clientes!$F$2,Dados_Clientes!$B$44:$AJ$61,15,FALSE)</f>
        <v>0.05</v>
      </c>
      <c r="FI17" s="75">
        <f>enquadramento!K16</f>
        <v>0</v>
      </c>
    </row>
    <row r="18" spans="1:165" ht="15" customHeight="1" x14ac:dyDescent="0.3">
      <c r="AF18" s="25" t="str">
        <f>IF(AND(Carteira!C17="",Carteira!C16&lt;&gt;""),"Carteira",Carteira!C17)</f>
        <v/>
      </c>
      <c r="AG18" s="34" t="str">
        <f>IF(AF18="","",IF(AF18="Carteira",Retorno!$C$4,Retorno!C21))</f>
        <v/>
      </c>
      <c r="AH18" s="34" t="str">
        <f>IF(AF18="","",IF(AF18="Carteira",Retorno!$D$4,Retorno!D21))</f>
        <v/>
      </c>
      <c r="AI18" s="34" t="str">
        <f>IF(AF18="","",IF(AF18="Carteira",Retorno!$E$4,Retorno!E21))</f>
        <v/>
      </c>
      <c r="AJ18" s="105" t="str">
        <f>IF(AF18="","",IF(AF18="Carteira",Retorno!$F$4,Retorno!F21))</f>
        <v/>
      </c>
      <c r="AK18" s="34" t="str">
        <f>IF(AF18="","",IF(AF18="Carteira",Retorno!$G$4,Retorno!G21))</f>
        <v/>
      </c>
      <c r="AL18" s="34" t="str">
        <f>IF(AF18="","",IF(AF18="Carteira",Retorno!$H$4,Retorno!H21))</f>
        <v/>
      </c>
      <c r="AM18" s="33" t="str">
        <f>IF(AF18="","",IF(AF18="Carteira",Retorno!$I$4,Retorno!I21))</f>
        <v/>
      </c>
      <c r="AN18" s="60" t="str">
        <f>IF(AF18="","",Retorno!$O$3)</f>
        <v/>
      </c>
      <c r="AO18" s="33" t="str">
        <f t="shared" si="0"/>
        <v/>
      </c>
      <c r="AQ18" s="124"/>
      <c r="AR18" s="125"/>
      <c r="AS18" s="125"/>
      <c r="AT18" s="125"/>
      <c r="AU18" s="125"/>
      <c r="AV18" s="125"/>
      <c r="AW18" s="125"/>
      <c r="AX18" s="77"/>
      <c r="AY18" s="77"/>
      <c r="AZ18" s="77"/>
      <c r="BE18" s="364"/>
      <c r="BF18" s="364"/>
      <c r="BG18" s="364"/>
      <c r="BH18" s="364"/>
      <c r="BI18" s="364"/>
      <c r="BJ18" s="364"/>
      <c r="BK18" s="364"/>
      <c r="BL18" s="364"/>
      <c r="BM18" s="364"/>
      <c r="BR18" s="365"/>
      <c r="BS18" s="365"/>
      <c r="BT18" s="365"/>
      <c r="BU18" s="365"/>
      <c r="BV18" s="365"/>
      <c r="BW18" s="365"/>
      <c r="BX18" s="365"/>
      <c r="BY18" s="365"/>
      <c r="BZ18" s="365"/>
      <c r="CA18" s="365"/>
      <c r="CB18" s="365"/>
      <c r="CC18" s="365"/>
      <c r="CD18" s="365"/>
      <c r="CE18" s="365"/>
      <c r="CF18" s="365"/>
      <c r="CH18" s="1" t="str">
        <f>VaR_Calculo!B170</f>
        <v/>
      </c>
      <c r="CI18" s="201" t="str">
        <f>VaR_Calculo!C170</f>
        <v/>
      </c>
      <c r="CJ18" s="167"/>
      <c r="CK18" s="201"/>
      <c r="CL18" s="167"/>
      <c r="CM18" s="201"/>
      <c r="CQ18" s="25" t="s">
        <v>621</v>
      </c>
      <c r="DG18" s="369"/>
      <c r="DH18" s="369"/>
      <c r="DI18" s="369"/>
      <c r="DJ18" s="369"/>
      <c r="DK18" s="369"/>
      <c r="DL18" s="369"/>
      <c r="DM18" s="369"/>
      <c r="DN18" s="369"/>
      <c r="DO18" s="369"/>
      <c r="DP18" s="369"/>
      <c r="DQ18" s="369"/>
      <c r="DR18" s="369"/>
      <c r="DS18" s="369"/>
      <c r="DT18" s="369"/>
      <c r="DU18" s="369"/>
      <c r="DW18" s="71" t="str">
        <f>Calculo_Indice_Sharpe!B13</f>
        <v/>
      </c>
      <c r="DX18" s="72" t="str">
        <f>IF(AND(Calculo_Indice_Sharpe!E13&lt;&gt;"",Calculo_Indice_Sharpe!F13=""),0,IF(Calculo_Indice_Sharpe!F13&lt;0,0,Calculo_Indice_Sharpe!F13))</f>
        <v/>
      </c>
      <c r="DZ18" s="71" t="str">
        <f>Calculo_Indice_Sharpe!B33</f>
        <v/>
      </c>
      <c r="EA18" s="72" t="str">
        <f>IF(AND(Calculo_Indice_Sharpe!E33&lt;&gt;"",Calculo_Indice_Sharpe!F33=""),0,IF(Calculo_Indice_Sharpe!F33&lt;0,0,Calculo_Indice_Sharpe!F33))</f>
        <v/>
      </c>
      <c r="EJ18" s="364"/>
      <c r="EK18" s="364"/>
      <c r="EL18" s="364"/>
      <c r="EM18" s="364"/>
      <c r="EN18" s="364"/>
      <c r="EO18" s="364"/>
      <c r="EP18" s="364"/>
      <c r="EQ18" s="364"/>
      <c r="ER18" s="364"/>
      <c r="EW18" s="25" t="str">
        <f>Carteira!C16</f>
        <v/>
      </c>
      <c r="EX18" s="34" t="str">
        <f>IF(EW18="","",Retorno!G20)</f>
        <v/>
      </c>
      <c r="EY18" s="60" t="str">
        <f>IF(EW18="","",Retorno!K20)</f>
        <v/>
      </c>
      <c r="EZ18" s="69" t="str">
        <f>Carteira!M16</f>
        <v/>
      </c>
      <c r="FA18" s="1" t="str">
        <f>Carteira!L16</f>
        <v/>
      </c>
      <c r="FB18" s="33" t="str">
        <f>IF(EW18="","",IF(Calculo_Indice_Sharpe!H17="",0,IF(Calculo_Indice_Sharpe!H17=0,0,EX18/Calculo_Indice_Sharpe!H17)))</f>
        <v/>
      </c>
      <c r="FF18" s="73" t="s">
        <v>499</v>
      </c>
      <c r="FG18" s="74">
        <v>0.05</v>
      </c>
      <c r="FH18" s="74">
        <f>HLOOKUP(Dados_Clientes!$F$2,Dados_Clientes!$B$44:$AJ$61,16,FALSE)</f>
        <v>0</v>
      </c>
      <c r="FI18" s="75">
        <f>enquadramento!K17</f>
        <v>0</v>
      </c>
    </row>
    <row r="19" spans="1:165" ht="15" customHeight="1" x14ac:dyDescent="0.3">
      <c r="B19" s="49" t="s">
        <v>563</v>
      </c>
      <c r="AF19" s="25" t="str">
        <f>IF(AND(Carteira!C18="",Carteira!C17&lt;&gt;""),"Carteira",Carteira!C18)</f>
        <v/>
      </c>
      <c r="AG19" s="34" t="str">
        <f>IF(AF19="","",IF(AF19="Carteira",Retorno!$C$4,Retorno!C22))</f>
        <v/>
      </c>
      <c r="AH19" s="34" t="str">
        <f>IF(AF19="","",IF(AF19="Carteira",Retorno!$D$4,Retorno!D22))</f>
        <v/>
      </c>
      <c r="AI19" s="34" t="str">
        <f>IF(AF19="","",IF(AF19="Carteira",Retorno!$E$4,Retorno!E22))</f>
        <v/>
      </c>
      <c r="AJ19" s="105" t="str">
        <f>IF(AF19="","",IF(AF19="Carteira",Retorno!$F$4,Retorno!F22))</f>
        <v/>
      </c>
      <c r="AK19" s="34" t="str">
        <f>IF(AF19="","",IF(AF19="Carteira",Retorno!$G$4,Retorno!G22))</f>
        <v/>
      </c>
      <c r="AL19" s="34" t="str">
        <f>IF(AF19="","",IF(AF19="Carteira",Retorno!$H$4,Retorno!H22))</f>
        <v/>
      </c>
      <c r="AM19" s="33" t="str">
        <f>IF(AF19="","",IF(AF19="Carteira",Retorno!$I$4,Retorno!I22))</f>
        <v/>
      </c>
      <c r="AN19" s="60" t="str">
        <f>IF(AF19="","",Retorno!$O$3)</f>
        <v/>
      </c>
      <c r="AO19" s="33" t="str">
        <f t="shared" si="0"/>
        <v/>
      </c>
      <c r="AT19" s="125" t="str">
        <f>IF(AND(historico!$N17=0,historico!$N16&lt;&gt;0),historico!O$15,IF(historico!$N16=0,"",historico!O16))</f>
        <v/>
      </c>
      <c r="BE19" s="364"/>
      <c r="BF19" s="364"/>
      <c r="BG19" s="364"/>
      <c r="BH19" s="364"/>
      <c r="BI19" s="364"/>
      <c r="BJ19" s="364"/>
      <c r="BK19" s="364"/>
      <c r="BL19" s="364"/>
      <c r="BM19" s="364"/>
      <c r="CH19" s="1" t="str">
        <f>VaR_Calculo!B171</f>
        <v/>
      </c>
      <c r="CI19" s="201" t="str">
        <f>VaR_Calculo!C171</f>
        <v/>
      </c>
      <c r="CJ19" s="167"/>
      <c r="CK19" s="201"/>
      <c r="CL19" s="167"/>
      <c r="CM19" s="201"/>
      <c r="DG19" s="365" t="s">
        <v>589</v>
      </c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W19" s="71" t="str">
        <f>Calculo_Indice_Sharpe!B14</f>
        <v/>
      </c>
      <c r="DX19" s="72" t="str">
        <f>IF(AND(Calculo_Indice_Sharpe!E14&lt;&gt;"",Calculo_Indice_Sharpe!F14=""),0,IF(Calculo_Indice_Sharpe!F14&lt;0,0,Calculo_Indice_Sharpe!F14))</f>
        <v/>
      </c>
      <c r="DZ19" s="71" t="str">
        <f>Calculo_Indice_Sharpe!B34</f>
        <v/>
      </c>
      <c r="EA19" s="72" t="str">
        <f>IF(AND(Calculo_Indice_Sharpe!E34&lt;&gt;"",Calculo_Indice_Sharpe!F34=""),0,IF(Calculo_Indice_Sharpe!F34&lt;0,0,Calculo_Indice_Sharpe!F34))</f>
        <v/>
      </c>
      <c r="EJ19" s="364"/>
      <c r="EK19" s="364"/>
      <c r="EL19" s="364"/>
      <c r="EM19" s="364"/>
      <c r="EN19" s="364"/>
      <c r="EO19" s="364"/>
      <c r="EP19" s="364"/>
      <c r="EQ19" s="364"/>
      <c r="ER19" s="364"/>
      <c r="EW19" s="25" t="str">
        <f>Carteira!C17</f>
        <v/>
      </c>
      <c r="EX19" s="34" t="str">
        <f>IF(EW19="","",Retorno!G21)</f>
        <v/>
      </c>
      <c r="EY19" s="60" t="str">
        <f>IF(EW19="","",Retorno!K21)</f>
        <v/>
      </c>
      <c r="EZ19" s="69" t="str">
        <f>Carteira!M17</f>
        <v/>
      </c>
      <c r="FA19" s="1" t="str">
        <f>Carteira!L17</f>
        <v/>
      </c>
      <c r="FB19" s="33" t="str">
        <f>IF(EW19="","",IF(Calculo_Indice_Sharpe!H18="",0,IF(Calculo_Indice_Sharpe!H18=0,0,EX19/Calculo_Indice_Sharpe!H18)))</f>
        <v/>
      </c>
      <c r="FF19" s="73" t="s">
        <v>510</v>
      </c>
      <c r="FG19" s="74">
        <v>0.05</v>
      </c>
      <c r="FH19" s="74">
        <f>HLOOKUP(Dados_Clientes!$F$2,Dados_Clientes!$B$44:$AJ$61,17,FALSE)</f>
        <v>0.05</v>
      </c>
      <c r="FI19" s="75">
        <f>enquadramento!K18</f>
        <v>0</v>
      </c>
    </row>
    <row r="20" spans="1:165" ht="15" customHeight="1" x14ac:dyDescent="0.3">
      <c r="Q20" s="49" t="s">
        <v>607</v>
      </c>
      <c r="AF20" s="25" t="str">
        <f>IF(AND(Carteira!C19="",Carteira!C18&lt;&gt;""),"Carteira",Carteira!C19)</f>
        <v/>
      </c>
      <c r="AG20" s="34" t="str">
        <f>IF(AF20="","",IF(AF20="Carteira",Retorno!$C$4,Retorno!C23))</f>
        <v/>
      </c>
      <c r="AH20" s="34" t="str">
        <f>IF(AF20="","",IF(AF20="Carteira",Retorno!$D$4,Retorno!D23))</f>
        <v/>
      </c>
      <c r="AI20" s="34" t="str">
        <f>IF(AF20="","",IF(AF20="Carteira",Retorno!$E$4,Retorno!E23))</f>
        <v/>
      </c>
      <c r="AJ20" s="105" t="str">
        <f>IF(AF20="","",IF(AF20="Carteira",Retorno!$F$4,Retorno!F23))</f>
        <v/>
      </c>
      <c r="AK20" s="34" t="str">
        <f>IF(AF20="","",IF(AF20="Carteira",Retorno!$G$4,Retorno!G23))</f>
        <v/>
      </c>
      <c r="AL20" s="34" t="str">
        <f>IF(AF20="","",IF(AF20="Carteira",Retorno!$H$4,Retorno!H23))</f>
        <v/>
      </c>
      <c r="AM20" s="33" t="str">
        <f>IF(AF20="","",IF(AF20="Carteira",Retorno!$I$4,Retorno!I23))</f>
        <v/>
      </c>
      <c r="AN20" s="60" t="str">
        <f>IF(AF20="","",Retorno!$O$3)</f>
        <v/>
      </c>
      <c r="AO20" s="33" t="str">
        <f t="shared" si="0"/>
        <v/>
      </c>
      <c r="BE20" s="364"/>
      <c r="BF20" s="364"/>
      <c r="BG20" s="364"/>
      <c r="BH20" s="364"/>
      <c r="BI20" s="364"/>
      <c r="BJ20" s="364"/>
      <c r="BK20" s="364"/>
      <c r="BL20" s="364"/>
      <c r="BM20" s="364"/>
      <c r="BR20" s="365" t="s">
        <v>580</v>
      </c>
      <c r="BS20" s="365"/>
      <c r="BT20" s="365"/>
      <c r="BU20" s="365"/>
      <c r="BV20" s="365"/>
      <c r="BW20" s="365"/>
      <c r="BX20" s="365"/>
      <c r="BY20" s="365"/>
      <c r="BZ20" s="365"/>
      <c r="CA20" s="365"/>
      <c r="CB20" s="365"/>
      <c r="CC20" s="365"/>
      <c r="CD20" s="365"/>
      <c r="CE20" s="365"/>
      <c r="CF20" s="365"/>
      <c r="CH20" s="1" t="str">
        <f>VaR_Calculo!B172</f>
        <v/>
      </c>
      <c r="CI20" s="201" t="str">
        <f>VaR_Calculo!C172</f>
        <v/>
      </c>
      <c r="CJ20" s="167"/>
      <c r="CK20" s="201"/>
      <c r="CL20" s="167"/>
      <c r="CM20" s="201"/>
      <c r="CR20" s="25" t="s">
        <v>637</v>
      </c>
      <c r="DG20" s="365"/>
      <c r="DH20" s="365"/>
      <c r="DI20" s="365"/>
      <c r="DJ20" s="365"/>
      <c r="DK20" s="365"/>
      <c r="DL20" s="365"/>
      <c r="DM20" s="365"/>
      <c r="DN20" s="365"/>
      <c r="DO20" s="365"/>
      <c r="DP20" s="365"/>
      <c r="DQ20" s="365"/>
      <c r="DR20" s="365"/>
      <c r="DS20" s="365"/>
      <c r="DT20" s="365"/>
      <c r="DU20" s="365"/>
      <c r="DW20" s="71" t="str">
        <f>Calculo_Indice_Sharpe!B15</f>
        <v/>
      </c>
      <c r="DX20" s="72" t="str">
        <f>IF(AND(Calculo_Indice_Sharpe!E15&lt;&gt;"",Calculo_Indice_Sharpe!F15=""),0,IF(Calculo_Indice_Sharpe!F15&lt;0,0,Calculo_Indice_Sharpe!F15))</f>
        <v/>
      </c>
      <c r="DZ20" s="71" t="str">
        <f>Calculo_Indice_Sharpe!B35</f>
        <v/>
      </c>
      <c r="EA20" s="72" t="str">
        <f>IF(AND(Calculo_Indice_Sharpe!E35&lt;&gt;"",Calculo_Indice_Sharpe!F35=""),0,IF(Calculo_Indice_Sharpe!F35&lt;0,0,Calculo_Indice_Sharpe!F35))</f>
        <v/>
      </c>
      <c r="EJ20" s="364"/>
      <c r="EK20" s="364"/>
      <c r="EL20" s="364"/>
      <c r="EM20" s="364"/>
      <c r="EN20" s="364"/>
      <c r="EO20" s="364"/>
      <c r="EP20" s="364"/>
      <c r="EQ20" s="364"/>
      <c r="ER20" s="364"/>
      <c r="EW20" s="25" t="str">
        <f>Carteira!C18</f>
        <v/>
      </c>
      <c r="EX20" s="34" t="str">
        <f>IF(EW20="","",Retorno!G22)</f>
        <v/>
      </c>
      <c r="EY20" s="60" t="str">
        <f>IF(EW20="","",Retorno!K22)</f>
        <v/>
      </c>
      <c r="EZ20" s="69" t="str">
        <f>Carteira!M18</f>
        <v/>
      </c>
      <c r="FA20" s="1" t="str">
        <f>Carteira!L18</f>
        <v/>
      </c>
      <c r="FB20" s="33" t="str">
        <f>IF(EW20="","",IF(Calculo_Indice_Sharpe!H19="",0,IF(Calculo_Indice_Sharpe!H19=0,0,EX20/Calculo_Indice_Sharpe!H19)))</f>
        <v/>
      </c>
      <c r="FF20" s="73" t="s">
        <v>505</v>
      </c>
      <c r="FG20" s="74">
        <v>0.05</v>
      </c>
      <c r="FH20" s="74">
        <f>HLOOKUP(Dados_Clientes!$F$2,Dados_Clientes!$B$44:$AJ$61,18,FALSE)</f>
        <v>0.05</v>
      </c>
      <c r="FI20" s="75">
        <f>enquadramento!K19</f>
        <v>0</v>
      </c>
    </row>
    <row r="21" spans="1:165" ht="15" customHeight="1" x14ac:dyDescent="0.3">
      <c r="A21" s="365" t="s">
        <v>600</v>
      </c>
      <c r="B21" s="365"/>
      <c r="C21" s="365"/>
      <c r="D21" s="365"/>
      <c r="E21" s="365"/>
      <c r="F21" s="365"/>
      <c r="G21" s="365"/>
      <c r="H21" s="365"/>
      <c r="I21" s="365"/>
      <c r="J21" s="365"/>
      <c r="K21" s="365"/>
      <c r="L21" s="365"/>
      <c r="M21" s="365"/>
      <c r="N21" s="365"/>
      <c r="O21" s="365"/>
      <c r="AF21" s="25" t="str">
        <f>IF(AND(Carteira!C20="",Carteira!C19&lt;&gt;""),"Carteira",Carteira!C20)</f>
        <v/>
      </c>
      <c r="AG21" s="34" t="str">
        <f>IF(AF21="","",IF(AF21="Carteira",Retorno!$C$4,Retorno!C24))</f>
        <v/>
      </c>
      <c r="AH21" s="34" t="str">
        <f>IF(AF21="","",IF(AF21="Carteira",Retorno!$D$4,Retorno!D24))</f>
        <v/>
      </c>
      <c r="AI21" s="34" t="str">
        <f>IF(AF21="","",IF(AF21="Carteira",Retorno!$E$4,Retorno!E24))</f>
        <v/>
      </c>
      <c r="AJ21" s="105" t="str">
        <f>IF(AF21="","",IF(AF21="Carteira",Retorno!$F$4,Retorno!F24))</f>
        <v/>
      </c>
      <c r="AK21" s="34" t="str">
        <f>IF(AF21="","",IF(AF21="Carteira",Retorno!$G$4,Retorno!G24))</f>
        <v/>
      </c>
      <c r="AL21" s="34" t="str">
        <f>IF(AF21="","",IF(AF21="Carteira",Retorno!$H$4,Retorno!H24))</f>
        <v/>
      </c>
      <c r="AM21" s="33" t="str">
        <f>IF(AF21="","",IF(AF21="Carteira",Retorno!$I$4,Retorno!I24))</f>
        <v/>
      </c>
      <c r="AN21" s="60" t="str">
        <f>IF(AF21="","",Retorno!$O$3)</f>
        <v/>
      </c>
      <c r="AO21" s="33" t="str">
        <f t="shared" si="0"/>
        <v/>
      </c>
      <c r="AR21" s="123" t="s">
        <v>514</v>
      </c>
      <c r="AS21" s="80" t="s">
        <v>535</v>
      </c>
      <c r="AT21" s="80" t="s">
        <v>701</v>
      </c>
      <c r="BE21" s="364"/>
      <c r="BF21" s="364"/>
      <c r="BG21" s="364"/>
      <c r="BH21" s="364"/>
      <c r="BI21" s="364"/>
      <c r="BJ21" s="364"/>
      <c r="BK21" s="364"/>
      <c r="BL21" s="364"/>
      <c r="BM21" s="364"/>
      <c r="BR21" s="365"/>
      <c r="BS21" s="365"/>
      <c r="BT21" s="365"/>
      <c r="BU21" s="365"/>
      <c r="BV21" s="365"/>
      <c r="BW21" s="365"/>
      <c r="BX21" s="365"/>
      <c r="BY21" s="365"/>
      <c r="BZ21" s="365"/>
      <c r="CA21" s="365"/>
      <c r="CB21" s="365"/>
      <c r="CC21" s="365"/>
      <c r="CD21" s="365"/>
      <c r="CE21" s="365"/>
      <c r="CF21" s="365"/>
      <c r="CH21" s="1" t="str">
        <f>VaR_Calculo!B173</f>
        <v/>
      </c>
      <c r="CI21" s="201" t="str">
        <f>VaR_Calculo!C173</f>
        <v/>
      </c>
      <c r="CJ21" s="167"/>
      <c r="CK21" s="201"/>
      <c r="CL21" s="167"/>
      <c r="CM21" s="201"/>
      <c r="DW21" s="71" t="str">
        <f>Calculo_Indice_Sharpe!B16</f>
        <v/>
      </c>
      <c r="DX21" s="72" t="str">
        <f>IF(AND(Calculo_Indice_Sharpe!E16&lt;&gt;"",Calculo_Indice_Sharpe!F16=""),0,IF(Calculo_Indice_Sharpe!F16&lt;0,0,Calculo_Indice_Sharpe!F16))</f>
        <v/>
      </c>
      <c r="DZ21" s="71" t="str">
        <f>Calculo_Indice_Sharpe!B36</f>
        <v/>
      </c>
      <c r="EA21" s="72" t="str">
        <f>IF(AND(Calculo_Indice_Sharpe!E36&lt;&gt;"",Calculo_Indice_Sharpe!F36=""),0,IF(Calculo_Indice_Sharpe!F36&lt;0,0,Calculo_Indice_Sharpe!F36))</f>
        <v/>
      </c>
      <c r="EW21" s="25" t="str">
        <f>Carteira!C19</f>
        <v/>
      </c>
      <c r="EX21" s="34" t="str">
        <f>IF(EW21="","",Retorno!G23)</f>
        <v/>
      </c>
      <c r="EY21" s="60" t="str">
        <f>IF(EW21="","",Retorno!K23)</f>
        <v/>
      </c>
      <c r="EZ21" s="69" t="str">
        <f>Carteira!M19</f>
        <v/>
      </c>
      <c r="FA21" s="1" t="str">
        <f>Carteira!L19</f>
        <v/>
      </c>
      <c r="FB21" s="33" t="str">
        <f>IF(EW21="","",IF(Calculo_Indice_Sharpe!H20="",0,IF(Calculo_Indice_Sharpe!H20=0,0,EX21/Calculo_Indice_Sharpe!H20)))</f>
        <v/>
      </c>
    </row>
    <row r="22" spans="1:165" ht="15" customHeight="1" x14ac:dyDescent="0.3">
      <c r="A22" s="365"/>
      <c r="B22" s="365"/>
      <c r="C22" s="365"/>
      <c r="D22" s="365"/>
      <c r="E22" s="365"/>
      <c r="F22" s="365"/>
      <c r="G22" s="365"/>
      <c r="H22" s="365"/>
      <c r="I22" s="365"/>
      <c r="J22" s="365"/>
      <c r="K22" s="365"/>
      <c r="L22" s="365"/>
      <c r="M22" s="365"/>
      <c r="N22" s="365"/>
      <c r="O22" s="365"/>
      <c r="Q22" s="25" t="s">
        <v>629</v>
      </c>
      <c r="AF22" s="25" t="str">
        <f>IF(AND(Carteira!C21="",Carteira!C20&lt;&gt;""),"Carteira",Carteira!C21)</f>
        <v/>
      </c>
      <c r="AG22" s="34" t="str">
        <f>IF(AF22="","",IF(AF22="Carteira",Retorno!$C$4,Retorno!C25))</f>
        <v/>
      </c>
      <c r="AH22" s="34" t="str">
        <f>IF(AF22="","",IF(AF22="Carteira",Retorno!$D$4,Retorno!D25))</f>
        <v/>
      </c>
      <c r="AI22" s="34" t="str">
        <f>IF(AF22="","",IF(AF22="Carteira",Retorno!$E$4,Retorno!E25))</f>
        <v/>
      </c>
      <c r="AJ22" s="105" t="str">
        <f>IF(AF22="","",IF(AF22="Carteira",Retorno!$F$4,Retorno!F25))</f>
        <v/>
      </c>
      <c r="AK22" s="34" t="str">
        <f>IF(AF22="","",IF(AF22="Carteira",Retorno!$G$4,Retorno!G25))</f>
        <v/>
      </c>
      <c r="AL22" s="34" t="str">
        <f>IF(AF22="","",IF(AF22="Carteira",Retorno!$H$4,Retorno!H25))</f>
        <v/>
      </c>
      <c r="AM22" s="33" t="str">
        <f>IF(AF22="","",IF(AF22="Carteira",Retorno!$I$4,Retorno!I25))</f>
        <v/>
      </c>
      <c r="AN22" s="60" t="str">
        <f>IF(AF22="","",Retorno!$O$3)</f>
        <v/>
      </c>
      <c r="AO22" s="33" t="str">
        <f t="shared" si="0"/>
        <v/>
      </c>
      <c r="AR22" s="73" t="s">
        <v>515</v>
      </c>
      <c r="AS22" s="130">
        <f>Retorno!N21</f>
        <v>8167736.2599999998</v>
      </c>
      <c r="AT22" s="75">
        <f>Retorno!O21</f>
        <v>1</v>
      </c>
      <c r="CH22" s="1" t="str">
        <f>VaR_Calculo!B174</f>
        <v/>
      </c>
      <c r="CI22" s="201" t="str">
        <f>VaR_Calculo!C174</f>
        <v/>
      </c>
      <c r="CJ22" s="167"/>
      <c r="CK22" s="201"/>
      <c r="CL22" s="167"/>
      <c r="CM22" s="201"/>
      <c r="DG22" s="365" t="s">
        <v>590</v>
      </c>
      <c r="DH22" s="365"/>
      <c r="DI22" s="365"/>
      <c r="DJ22" s="365"/>
      <c r="DK22" s="365"/>
      <c r="DL22" s="365"/>
      <c r="DM22" s="365"/>
      <c r="DN22" s="365"/>
      <c r="DO22" s="365"/>
      <c r="DP22" s="365"/>
      <c r="DQ22" s="365"/>
      <c r="DR22" s="365"/>
      <c r="DS22" s="365"/>
      <c r="DT22" s="365"/>
      <c r="DU22" s="365"/>
      <c r="DW22" s="71" t="str">
        <f>Calculo_Indice_Sharpe!B17</f>
        <v/>
      </c>
      <c r="DX22" s="72" t="str">
        <f>IF(AND(Calculo_Indice_Sharpe!E17&lt;&gt;"",Calculo_Indice_Sharpe!F17=""),0,IF(Calculo_Indice_Sharpe!F17&lt;0,0,Calculo_Indice_Sharpe!F17))</f>
        <v/>
      </c>
      <c r="DZ22" s="71" t="str">
        <f>Calculo_Indice_Sharpe!B37</f>
        <v/>
      </c>
      <c r="EA22" s="72" t="str">
        <f>IF(AND(Calculo_Indice_Sharpe!E37&lt;&gt;"",Calculo_Indice_Sharpe!F37=""),0,IF(Calculo_Indice_Sharpe!F37&lt;0,0,Calculo_Indice_Sharpe!F37))</f>
        <v/>
      </c>
      <c r="EW22" s="25" t="str">
        <f>Carteira!C20</f>
        <v/>
      </c>
      <c r="EX22" s="34" t="str">
        <f>IF(EW22="","",Retorno!G24)</f>
        <v/>
      </c>
      <c r="EY22" s="60" t="str">
        <f>IF(EW22="","",Retorno!K24)</f>
        <v/>
      </c>
      <c r="EZ22" s="69" t="str">
        <f>Carteira!M20</f>
        <v/>
      </c>
      <c r="FA22" s="1" t="str">
        <f>Carteira!L20</f>
        <v/>
      </c>
      <c r="FB22" s="33" t="str">
        <f>IF(EW22="","",IF(Calculo_Indice_Sharpe!H21="",0,IF(Calculo_Indice_Sharpe!H21=0,0,EX22/Calculo_Indice_Sharpe!H21)))</f>
        <v/>
      </c>
    </row>
    <row r="23" spans="1:165" ht="15" customHeight="1" x14ac:dyDescent="0.3">
      <c r="A23" s="365"/>
      <c r="B23" s="365"/>
      <c r="C23" s="365"/>
      <c r="D23" s="365"/>
      <c r="E23" s="365"/>
      <c r="F23" s="365"/>
      <c r="G23" s="365"/>
      <c r="H23" s="365"/>
      <c r="I23" s="365"/>
      <c r="J23" s="365"/>
      <c r="K23" s="365"/>
      <c r="L23" s="365"/>
      <c r="M23" s="365"/>
      <c r="N23" s="365"/>
      <c r="O23" s="365"/>
      <c r="AF23" s="25" t="str">
        <f>IF(AND(Carteira!C22="",Carteira!C21&lt;&gt;""),"Carteira",Carteira!C22)</f>
        <v/>
      </c>
      <c r="AG23" s="34" t="str">
        <f>IF(AF23="","",IF(AF23="Carteira",Retorno!$C$4,Retorno!C26))</f>
        <v/>
      </c>
      <c r="AH23" s="34" t="str">
        <f>IF(AF23="","",IF(AF23="Carteira",Retorno!$D$4,Retorno!D26))</f>
        <v/>
      </c>
      <c r="AI23" s="34" t="str">
        <f>IF(AF23="","",IF(AF23="Carteira",Retorno!$E$4,Retorno!E26))</f>
        <v/>
      </c>
      <c r="AJ23" s="105" t="str">
        <f>IF(AF23="","",IF(AF23="Carteira",Retorno!$F$4,Retorno!F26))</f>
        <v/>
      </c>
      <c r="AK23" s="34" t="str">
        <f>IF(AF23="","",IF(AF23="Carteira",Retorno!$G$4,Retorno!G26))</f>
        <v/>
      </c>
      <c r="AL23" s="34" t="str">
        <f>IF(AF23="","",IF(AF23="Carteira",Retorno!$H$4,Retorno!H26))</f>
        <v/>
      </c>
      <c r="AM23" s="33" t="str">
        <f>IF(AF23="","",IF(AF23="Carteira",Retorno!$I$4,Retorno!I26))</f>
        <v/>
      </c>
      <c r="AN23" s="60" t="str">
        <f>IF(AF23="","",Retorno!$O$3)</f>
        <v/>
      </c>
      <c r="AO23" s="33" t="str">
        <f t="shared" si="0"/>
        <v/>
      </c>
      <c r="AR23" s="56" t="str">
        <f>IF(AS23="","","Renda Variável")</f>
        <v/>
      </c>
      <c r="AS23" s="129" t="str">
        <f>IF(Retorno!N22=0,"",Retorno!N22)</f>
        <v/>
      </c>
      <c r="AT23" s="77" t="str">
        <f>IF(AS23="","",Retorno!O22)</f>
        <v/>
      </c>
      <c r="BS23" s="49" t="s">
        <v>581</v>
      </c>
      <c r="CH23" s="1" t="str">
        <f>VaR_Calculo!B175</f>
        <v/>
      </c>
      <c r="CI23" s="201" t="str">
        <f>VaR_Calculo!C175</f>
        <v/>
      </c>
      <c r="CJ23" s="167"/>
      <c r="CK23" s="201"/>
      <c r="CL23" s="167"/>
      <c r="CM23" s="201"/>
      <c r="CR23" s="368" t="s">
        <v>636</v>
      </c>
      <c r="CS23" s="370">
        <f>VaR_Calculo!F153</f>
        <v>3.4824751932046663E-3</v>
      </c>
      <c r="CT23" s="370"/>
      <c r="DG23" s="365"/>
      <c r="DH23" s="365"/>
      <c r="DI23" s="365"/>
      <c r="DJ23" s="365"/>
      <c r="DK23" s="365"/>
      <c r="DL23" s="365"/>
      <c r="DM23" s="365"/>
      <c r="DN23" s="365"/>
      <c r="DO23" s="365"/>
      <c r="DP23" s="365"/>
      <c r="DQ23" s="365"/>
      <c r="DR23" s="365"/>
      <c r="DS23" s="365"/>
      <c r="DT23" s="365"/>
      <c r="DU23" s="365"/>
      <c r="DW23" s="71" t="str">
        <f>Calculo_Indice_Sharpe!B18</f>
        <v/>
      </c>
      <c r="DX23" s="72" t="str">
        <f>IF(AND(Calculo_Indice_Sharpe!E18&lt;&gt;"",Calculo_Indice_Sharpe!F18=""),0,IF(Calculo_Indice_Sharpe!F18&lt;0,0,Calculo_Indice_Sharpe!F18))</f>
        <v/>
      </c>
      <c r="DZ23" s="71" t="str">
        <f>Calculo_Indice_Sharpe!B38</f>
        <v/>
      </c>
      <c r="EA23" s="72" t="str">
        <f>IF(AND(Calculo_Indice_Sharpe!E38&lt;&gt;"",Calculo_Indice_Sharpe!F38=""),0,IF(Calculo_Indice_Sharpe!F38&lt;0,0,Calculo_Indice_Sharpe!F38))</f>
        <v/>
      </c>
      <c r="EW23" s="25" t="str">
        <f>Carteira!C21</f>
        <v/>
      </c>
      <c r="EX23" s="34" t="str">
        <f>IF(EW23="","",Retorno!G25)</f>
        <v/>
      </c>
      <c r="EY23" s="60" t="str">
        <f>IF(EW23="","",Retorno!K25)</f>
        <v/>
      </c>
      <c r="EZ23" s="69" t="str">
        <f>Carteira!M21</f>
        <v/>
      </c>
      <c r="FA23" s="1" t="str">
        <f>Carteira!L21</f>
        <v/>
      </c>
      <c r="FB23" s="33" t="str">
        <f>IF(EW23="","",IF(Calculo_Indice_Sharpe!H22="",0,IF(Calculo_Indice_Sharpe!H22=0,0,EX23/Calculo_Indice_Sharpe!H22)))</f>
        <v/>
      </c>
    </row>
    <row r="24" spans="1:165" ht="15" customHeight="1" x14ac:dyDescent="0.3">
      <c r="Q24" s="25" t="s">
        <v>630</v>
      </c>
      <c r="Z24" s="25"/>
      <c r="AF24" s="25" t="str">
        <f>IF(AND(Carteira!C23="",Carteira!C22&lt;&gt;""),"Carteira",Carteira!C23)</f>
        <v/>
      </c>
      <c r="AG24" s="34" t="str">
        <f>IF(AF24="","",IF(AF24="Carteira",Retorno!$C$4,Retorno!C27))</f>
        <v/>
      </c>
      <c r="AH24" s="34" t="str">
        <f>IF(AF24="","",IF(AF24="Carteira",Retorno!$D$4,Retorno!D27))</f>
        <v/>
      </c>
      <c r="AI24" s="34" t="str">
        <f>IF(AF24="","",IF(AF24="Carteira",Retorno!$E$4,Retorno!E27))</f>
        <v/>
      </c>
      <c r="AJ24" s="105" t="str">
        <f>IF(AF24="","",IF(AF24="Carteira",Retorno!$F$4,Retorno!F27))</f>
        <v/>
      </c>
      <c r="AK24" s="34" t="str">
        <f>IF(AF24="","",IF(AF24="Carteira",Retorno!$G$4,Retorno!G27))</f>
        <v/>
      </c>
      <c r="AL24" s="34" t="str">
        <f>IF(AF24="","",IF(AF24="Carteira",Retorno!$H$4,Retorno!H27))</f>
        <v/>
      </c>
      <c r="AM24" s="33" t="str">
        <f>IF(AF24="","",IF(AF24="Carteira",Retorno!$I$4,Retorno!I27))</f>
        <v/>
      </c>
      <c r="AN24" s="60" t="str">
        <f>IF(AF24="","",Retorno!$O$3)</f>
        <v/>
      </c>
      <c r="AO24" s="33" t="str">
        <f t="shared" si="0"/>
        <v/>
      </c>
      <c r="CH24" s="1" t="str">
        <f>VaR_Calculo!B176</f>
        <v/>
      </c>
      <c r="CI24" s="201" t="str">
        <f>VaR_Calculo!C176</f>
        <v/>
      </c>
      <c r="CJ24" s="167"/>
      <c r="CK24" s="201"/>
      <c r="CL24" s="167"/>
      <c r="CM24" s="201"/>
      <c r="CR24" s="368"/>
      <c r="CS24" s="370"/>
      <c r="CT24" s="370"/>
      <c r="DW24" s="71" t="str">
        <f>Calculo_Indice_Sharpe!B19</f>
        <v/>
      </c>
      <c r="DX24" s="72" t="str">
        <f>IF(AND(Calculo_Indice_Sharpe!E19&lt;&gt;"",Calculo_Indice_Sharpe!F19=""),0,IF(Calculo_Indice_Sharpe!F19&lt;0,0,Calculo_Indice_Sharpe!F19))</f>
        <v/>
      </c>
      <c r="DZ24" s="71" t="str">
        <f>Calculo_Indice_Sharpe!B39</f>
        <v/>
      </c>
      <c r="EA24" s="72" t="str">
        <f>IF(AND(Calculo_Indice_Sharpe!E39&lt;&gt;"",Calculo_Indice_Sharpe!F39=""),0,IF(Calculo_Indice_Sharpe!F39&lt;0,0,Calculo_Indice_Sharpe!F39))</f>
        <v/>
      </c>
      <c r="EW24" s="25" t="str">
        <f>Carteira!C22</f>
        <v/>
      </c>
      <c r="EX24" s="34" t="str">
        <f>IF(EW24="","",Retorno!G26)</f>
        <v/>
      </c>
      <c r="EY24" s="60" t="str">
        <f>IF(EW24="","",Retorno!K26)</f>
        <v/>
      </c>
      <c r="EZ24" s="69" t="str">
        <f>Carteira!M22</f>
        <v/>
      </c>
      <c r="FA24" s="1" t="str">
        <f>Carteira!L22</f>
        <v/>
      </c>
      <c r="FB24" s="33" t="str">
        <f>IF(EW24="","",IF(Calculo_Indice_Sharpe!H23="",0,IF(Calculo_Indice_Sharpe!H23=0,0,EX24/Calculo_Indice_Sharpe!H23)))</f>
        <v/>
      </c>
    </row>
    <row r="25" spans="1:165" x14ac:dyDescent="0.3">
      <c r="B25" s="49" t="s">
        <v>564</v>
      </c>
      <c r="AF25" s="25" t="str">
        <f>IF(AND(Carteira!C24="",Carteira!C23&lt;&gt;""),"Carteira",Carteira!C24)</f>
        <v/>
      </c>
      <c r="AG25" s="34" t="str">
        <f>IF(AF25="","",IF(AF25="Carteira",Retorno!$C$4,Retorno!C28))</f>
        <v/>
      </c>
      <c r="AH25" s="34" t="str">
        <f>IF(AF25="","",IF(AF25="Carteira",Retorno!$D$4,Retorno!D28))</f>
        <v/>
      </c>
      <c r="AI25" s="34" t="str">
        <f>IF(AF25="","",IF(AF25="Carteira",Retorno!$E$4,Retorno!E28))</f>
        <v/>
      </c>
      <c r="AJ25" s="105" t="str">
        <f>IF(AF25="","",IF(AF25="Carteira",Retorno!$F$4,Retorno!F28))</f>
        <v/>
      </c>
      <c r="AK25" s="34" t="str">
        <f>IF(AF25="","",IF(AF25="Carteira",Retorno!$G$4,Retorno!G28))</f>
        <v/>
      </c>
      <c r="AL25" s="34" t="str">
        <f>IF(AF25="","",IF(AF25="Carteira",Retorno!$H$4,Retorno!H28))</f>
        <v/>
      </c>
      <c r="AM25" s="33" t="str">
        <f>IF(AF25="","",IF(AF25="Carteira",Retorno!$I$4,Retorno!I28))</f>
        <v/>
      </c>
      <c r="AN25" s="60" t="str">
        <f>IF(AF25="","",Retorno!$O$3)</f>
        <v/>
      </c>
      <c r="AO25" s="33" t="str">
        <f t="shared" si="0"/>
        <v/>
      </c>
      <c r="BR25" s="365" t="s">
        <v>609</v>
      </c>
      <c r="BS25" s="365"/>
      <c r="BT25" s="365"/>
      <c r="BU25" s="365"/>
      <c r="BV25" s="365"/>
      <c r="BW25" s="365"/>
      <c r="BX25" s="365"/>
      <c r="BY25" s="365"/>
      <c r="BZ25" s="365"/>
      <c r="CA25" s="365"/>
      <c r="CB25" s="365"/>
      <c r="CC25" s="365"/>
      <c r="CD25" s="365"/>
      <c r="CE25" s="365"/>
      <c r="CF25" s="365"/>
      <c r="CH25" s="1" t="str">
        <f>VaR_Calculo!B177</f>
        <v/>
      </c>
      <c r="CI25" s="201" t="str">
        <f>VaR_Calculo!C177</f>
        <v/>
      </c>
      <c r="CJ25" s="167"/>
      <c r="CK25" s="201"/>
      <c r="CL25" s="167"/>
      <c r="CM25" s="201"/>
      <c r="DG25" s="365" t="s">
        <v>591</v>
      </c>
      <c r="DH25" s="365"/>
      <c r="DI25" s="365"/>
      <c r="DJ25" s="365"/>
      <c r="DK25" s="365"/>
      <c r="DL25" s="365"/>
      <c r="DM25" s="365"/>
      <c r="DN25" s="365"/>
      <c r="DO25" s="365"/>
      <c r="DP25" s="365"/>
      <c r="DQ25" s="365"/>
      <c r="DR25" s="365"/>
      <c r="DS25" s="365"/>
      <c r="DT25" s="365"/>
      <c r="DU25" s="365"/>
      <c r="DW25" s="71" t="str">
        <f>Calculo_Indice_Sharpe!B20</f>
        <v/>
      </c>
      <c r="DX25" s="72" t="str">
        <f>IF(AND(Calculo_Indice_Sharpe!E20&lt;&gt;"",Calculo_Indice_Sharpe!F20=""),0,IF(Calculo_Indice_Sharpe!F20&lt;0,0,Calculo_Indice_Sharpe!F20))</f>
        <v/>
      </c>
      <c r="DZ25" s="71" t="str">
        <f>Calculo_Indice_Sharpe!B40</f>
        <v/>
      </c>
      <c r="EA25" s="72" t="str">
        <f>IF(AND(Calculo_Indice_Sharpe!E40&lt;&gt;"",Calculo_Indice_Sharpe!F40=""),0,IF(Calculo_Indice_Sharpe!F40&lt;0,0,Calculo_Indice_Sharpe!F40))</f>
        <v/>
      </c>
      <c r="EW25" s="25" t="str">
        <f>Carteira!C23</f>
        <v/>
      </c>
      <c r="EX25" s="34" t="str">
        <f>IF(EW25="","",Retorno!G27)</f>
        <v/>
      </c>
      <c r="EY25" s="60" t="str">
        <f>IF(EW25="","",Retorno!K27)</f>
        <v/>
      </c>
      <c r="EZ25" s="69" t="str">
        <f>Carteira!M23</f>
        <v/>
      </c>
      <c r="FA25" s="1" t="str">
        <f>Carteira!L23</f>
        <v/>
      </c>
      <c r="FB25" s="33" t="str">
        <f>IF(EW25="","",IF(Calculo_Indice_Sharpe!H24="",0,IF(Calculo_Indice_Sharpe!H24=0,0,EX25/Calculo_Indice_Sharpe!H24)))</f>
        <v/>
      </c>
    </row>
    <row r="26" spans="1:165" x14ac:dyDescent="0.3">
      <c r="Q26" s="25" t="s">
        <v>632</v>
      </c>
      <c r="AF26" s="25" t="str">
        <f>IF(AND(Carteira!C25="",Carteira!C24&lt;&gt;""),"Carteira",Carteira!C25)</f>
        <v/>
      </c>
      <c r="AG26" s="34" t="str">
        <f>IF(AF26="","",IF(AF26="Carteira",Retorno!$C$4,Retorno!C29))</f>
        <v/>
      </c>
      <c r="AH26" s="34" t="str">
        <f>IF(AF26="","",IF(AF26="Carteira",Retorno!$D$4,Retorno!D29))</f>
        <v/>
      </c>
      <c r="AI26" s="34" t="str">
        <f>IF(AF26="","",IF(AF26="Carteira",Retorno!$E$4,Retorno!E29))</f>
        <v/>
      </c>
      <c r="AJ26" s="105" t="str">
        <f>IF(AF26="","",IF(AF26="Carteira",Retorno!$F$4,Retorno!F29))</f>
        <v/>
      </c>
      <c r="AK26" s="34" t="str">
        <f>IF(AF26="","",IF(AF26="Carteira",Retorno!$G$4,Retorno!G29))</f>
        <v/>
      </c>
      <c r="AL26" s="34" t="str">
        <f>IF(AF26="","",IF(AF26="Carteira",Retorno!$H$4,Retorno!H29))</f>
        <v/>
      </c>
      <c r="AM26" s="33" t="str">
        <f>IF(AF26="","",IF(AF26="Carteira",Retorno!$I$4,Retorno!I29))</f>
        <v/>
      </c>
      <c r="AN26" s="60" t="str">
        <f>IF(AF26="","",Retorno!$O$3)</f>
        <v/>
      </c>
      <c r="AO26" s="33" t="str">
        <f t="shared" si="0"/>
        <v/>
      </c>
      <c r="BR26" s="365"/>
      <c r="BS26" s="365"/>
      <c r="BT26" s="365"/>
      <c r="BU26" s="365"/>
      <c r="BV26" s="365"/>
      <c r="BW26" s="365"/>
      <c r="BX26" s="365"/>
      <c r="BY26" s="365"/>
      <c r="BZ26" s="365"/>
      <c r="CA26" s="365"/>
      <c r="CB26" s="365"/>
      <c r="CC26" s="365"/>
      <c r="CD26" s="365"/>
      <c r="CE26" s="365"/>
      <c r="CF26" s="365"/>
      <c r="CH26" s="1" t="str">
        <f>VaR_Calculo!B178</f>
        <v/>
      </c>
      <c r="CI26" s="201" t="str">
        <f>VaR_Calculo!C178</f>
        <v/>
      </c>
      <c r="CJ26" s="167"/>
      <c r="CK26" s="201"/>
      <c r="CL26" s="167"/>
      <c r="CM26" s="201"/>
      <c r="DW26" s="71" t="str">
        <f>Calculo_Indice_Sharpe!B21</f>
        <v/>
      </c>
      <c r="DX26" s="72" t="str">
        <f>IF(AND(Calculo_Indice_Sharpe!E21&lt;&gt;"",Calculo_Indice_Sharpe!F21=""),0,IF(Calculo_Indice_Sharpe!F21&lt;0,0,Calculo_Indice_Sharpe!F21))</f>
        <v/>
      </c>
      <c r="DZ26" s="71" t="str">
        <f>Calculo_Indice_Sharpe!B41</f>
        <v/>
      </c>
      <c r="EA26" s="72" t="str">
        <f>IF(AND(Calculo_Indice_Sharpe!E41&lt;&gt;"",Calculo_Indice_Sharpe!F41=""),0,IF(Calculo_Indice_Sharpe!F41&lt;0,0,Calculo_Indice_Sharpe!F41))</f>
        <v/>
      </c>
      <c r="EW26" s="25" t="str">
        <f>Carteira!C24</f>
        <v/>
      </c>
      <c r="EX26" s="34" t="str">
        <f>IF(EW26="","",Retorno!G28)</f>
        <v/>
      </c>
      <c r="EY26" s="60" t="str">
        <f>IF(EW26="","",Retorno!K28)</f>
        <v/>
      </c>
      <c r="EZ26" s="69" t="str">
        <f>Carteira!M24</f>
        <v/>
      </c>
      <c r="FA26" s="1" t="str">
        <f>Carteira!L24</f>
        <v/>
      </c>
      <c r="FB26" s="33" t="str">
        <f>IF(EW26="","",IF(Calculo_Indice_Sharpe!H25="",0,IF(Calculo_Indice_Sharpe!H25=0,0,EX26/Calculo_Indice_Sharpe!H25)))</f>
        <v/>
      </c>
    </row>
    <row r="27" spans="1:165" ht="15" customHeight="1" x14ac:dyDescent="0.3">
      <c r="A27" s="365" t="s">
        <v>601</v>
      </c>
      <c r="B27" s="365"/>
      <c r="C27" s="365"/>
      <c r="D27" s="365"/>
      <c r="E27" s="365"/>
      <c r="F27" s="365"/>
      <c r="G27" s="365"/>
      <c r="H27" s="365"/>
      <c r="I27" s="365"/>
      <c r="J27" s="365"/>
      <c r="K27" s="50"/>
      <c r="L27" s="50"/>
      <c r="M27" s="50"/>
      <c r="N27" s="50"/>
      <c r="O27" s="50"/>
      <c r="AF27" s="25" t="str">
        <f>IF(AND(Carteira!C26="",Carteira!C25&lt;&gt;""),"Carteira",Carteira!C26)</f>
        <v/>
      </c>
      <c r="AG27" s="34" t="str">
        <f>IF(AF27="","",IF(AF27="Carteira",Retorno!$C$4,Retorno!C30))</f>
        <v/>
      </c>
      <c r="AH27" s="34" t="str">
        <f>IF(AF27="","",IF(AF27="Carteira",Retorno!$D$4,Retorno!D30))</f>
        <v/>
      </c>
      <c r="AI27" s="34" t="str">
        <f>IF(AF27="","",IF(AF27="Carteira",Retorno!$E$4,Retorno!E30))</f>
        <v/>
      </c>
      <c r="AJ27" s="105" t="str">
        <f>IF(AF27="","",IF(AF27="Carteira",Retorno!$F$4,Retorno!F30))</f>
        <v/>
      </c>
      <c r="AK27" s="34" t="str">
        <f>IF(AF27="","",IF(AF27="Carteira",Retorno!$G$4,Retorno!G30))</f>
        <v/>
      </c>
      <c r="AL27" s="34" t="str">
        <f>IF(AF27="","",IF(AF27="Carteira",Retorno!$H$4,Retorno!H30))</f>
        <v/>
      </c>
      <c r="AM27" s="33" t="str">
        <f>IF(AF27="","",IF(AF27="Carteira",Retorno!$I$4,Retorno!I30))</f>
        <v/>
      </c>
      <c r="AN27" s="60" t="str">
        <f>IF(AF27="","",Retorno!$O$3)</f>
        <v/>
      </c>
      <c r="AO27" s="33" t="str">
        <f t="shared" si="0"/>
        <v/>
      </c>
      <c r="BW27" s="365" t="s">
        <v>610</v>
      </c>
      <c r="BX27" s="365"/>
      <c r="BY27" s="365"/>
      <c r="BZ27" s="365"/>
      <c r="CA27" s="365"/>
      <c r="CB27" s="365"/>
      <c r="CC27" s="365"/>
      <c r="CD27" s="365"/>
      <c r="CE27" s="365"/>
      <c r="CF27" s="365"/>
      <c r="CH27" s="1" t="str">
        <f>VaR_Calculo!B179</f>
        <v/>
      </c>
      <c r="CI27" s="201" t="str">
        <f>VaR_Calculo!C179</f>
        <v/>
      </c>
      <c r="CJ27" s="167"/>
      <c r="CK27" s="201"/>
      <c r="CL27" s="167"/>
      <c r="CM27" s="201"/>
      <c r="CR27" s="49" t="s">
        <v>638</v>
      </c>
      <c r="CS27" s="373">
        <f>VaR_Calculo!G153</f>
        <v>28443.938910088258</v>
      </c>
      <c r="CT27" s="373"/>
      <c r="DG27" s="365" t="s">
        <v>592</v>
      </c>
      <c r="DH27" s="365"/>
      <c r="DI27" s="365"/>
      <c r="DJ27" s="365"/>
      <c r="DK27" s="365"/>
      <c r="DL27" s="365"/>
      <c r="DM27" s="365"/>
      <c r="DN27" s="365"/>
      <c r="DO27" s="365"/>
      <c r="DP27" s="365"/>
      <c r="DQ27" s="365"/>
      <c r="DR27" s="365"/>
      <c r="DS27" s="365"/>
      <c r="DT27" s="365"/>
      <c r="DU27" s="365"/>
      <c r="DW27" s="71" t="str">
        <f>Calculo_Indice_Sharpe!B22</f>
        <v/>
      </c>
      <c r="DX27" s="72" t="str">
        <f>IF(AND(Calculo_Indice_Sharpe!E22&lt;&gt;"",Calculo_Indice_Sharpe!F22=""),0,IF(Calculo_Indice_Sharpe!F22&lt;0,0,Calculo_Indice_Sharpe!F22))</f>
        <v/>
      </c>
      <c r="DZ27" s="71" t="str">
        <f>Calculo_Indice_Sharpe!B42</f>
        <v/>
      </c>
      <c r="EA27" s="72" t="str">
        <f>IF(AND(Calculo_Indice_Sharpe!E42&lt;&gt;"",Calculo_Indice_Sharpe!F42=""),0,IF(Calculo_Indice_Sharpe!F42&lt;0,0,Calculo_Indice_Sharpe!F42))</f>
        <v/>
      </c>
      <c r="EW27" s="25" t="str">
        <f>Carteira!C25</f>
        <v/>
      </c>
      <c r="EX27" s="34" t="str">
        <f>IF(EW27="","",Retorno!G29)</f>
        <v/>
      </c>
      <c r="EY27" s="60" t="str">
        <f>IF(EW27="","",Retorno!K29)</f>
        <v/>
      </c>
      <c r="EZ27" s="69" t="str">
        <f>Carteira!M25</f>
        <v/>
      </c>
      <c r="FA27" s="1" t="str">
        <f>Carteira!L25</f>
        <v/>
      </c>
      <c r="FB27" s="33" t="str">
        <f>IF(EW27="","",IF(Calculo_Indice_Sharpe!H26="",0,IF(Calculo_Indice_Sharpe!H26=0,0,EX27/Calculo_Indice_Sharpe!H26)))</f>
        <v/>
      </c>
    </row>
    <row r="28" spans="1:165" x14ac:dyDescent="0.3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Q28" s="25" t="s">
        <v>568</v>
      </c>
      <c r="AF28" s="25" t="str">
        <f>IF(AND(Carteira!C27="",Carteira!C26&lt;&gt;""),"Carteira",Carteira!C27)</f>
        <v/>
      </c>
      <c r="AG28" s="34" t="str">
        <f>IF(AF28="","",IF(AF28="Carteira",Retorno!$C$4,Retorno!C31))</f>
        <v/>
      </c>
      <c r="AH28" s="34" t="str">
        <f>IF(AF28="","",IF(AF28="Carteira",Retorno!$D$4,Retorno!D31))</f>
        <v/>
      </c>
      <c r="AI28" s="34" t="str">
        <f>IF(AF28="","",IF(AF28="Carteira",Retorno!$E$4,Retorno!E31))</f>
        <v/>
      </c>
      <c r="AJ28" s="105" t="str">
        <f>IF(AF28="","",IF(AF28="Carteira",Retorno!$F$4,Retorno!F31))</f>
        <v/>
      </c>
      <c r="AK28" s="34" t="str">
        <f>IF(AF28="","",IF(AF28="Carteira",Retorno!$G$4,Retorno!G31))</f>
        <v/>
      </c>
      <c r="AL28" s="34" t="str">
        <f>IF(AF28="","",IF(AF28="Carteira",Retorno!$H$4,Retorno!H31))</f>
        <v/>
      </c>
      <c r="AM28" s="33" t="str">
        <f>IF(AF28="","",IF(AF28="Carteira",Retorno!$I$4,Retorno!I31))</f>
        <v/>
      </c>
      <c r="AN28" s="60" t="str">
        <f>IF(AF28="","",Retorno!$O$3)</f>
        <v/>
      </c>
      <c r="AO28" s="33" t="str">
        <f t="shared" si="0"/>
        <v/>
      </c>
      <c r="BW28" s="365"/>
      <c r="BX28" s="365"/>
      <c r="BY28" s="365"/>
      <c r="BZ28" s="365"/>
      <c r="CA28" s="365"/>
      <c r="CB28" s="365"/>
      <c r="CC28" s="365"/>
      <c r="CD28" s="365"/>
      <c r="CE28" s="365"/>
      <c r="CF28" s="365"/>
      <c r="CH28" s="1" t="str">
        <f>VaR_Calculo!B180</f>
        <v/>
      </c>
      <c r="CI28" s="201" t="str">
        <f>VaR_Calculo!C180</f>
        <v/>
      </c>
      <c r="CJ28" s="167"/>
      <c r="CK28" s="201"/>
      <c r="CL28" s="167"/>
      <c r="CM28" s="201"/>
      <c r="DG28" s="365"/>
      <c r="DH28" s="365"/>
      <c r="DI28" s="365"/>
      <c r="DJ28" s="365"/>
      <c r="DK28" s="365"/>
      <c r="DL28" s="365"/>
      <c r="DM28" s="365"/>
      <c r="DN28" s="365"/>
      <c r="DO28" s="365"/>
      <c r="DP28" s="365"/>
      <c r="DQ28" s="365"/>
      <c r="DR28" s="365"/>
      <c r="DS28" s="365"/>
      <c r="DT28" s="365"/>
      <c r="DU28" s="365"/>
      <c r="DW28" s="71" t="str">
        <f>Calculo_Indice_Sharpe!B23</f>
        <v/>
      </c>
      <c r="DX28" s="72" t="str">
        <f>IF(AND(Calculo_Indice_Sharpe!E23&lt;&gt;"",Calculo_Indice_Sharpe!F23=""),0,IF(Calculo_Indice_Sharpe!F23&lt;0,0,Calculo_Indice_Sharpe!F23))</f>
        <v/>
      </c>
      <c r="DZ28" s="71" t="str">
        <f>Calculo_Indice_Sharpe!B43</f>
        <v/>
      </c>
      <c r="EA28" s="72" t="str">
        <f>IF(AND(Calculo_Indice_Sharpe!E43&lt;&gt;"",Calculo_Indice_Sharpe!F43=""),0,IF(Calculo_Indice_Sharpe!F43&lt;0,0,Calculo_Indice_Sharpe!F43))</f>
        <v/>
      </c>
      <c r="EW28" s="25" t="str">
        <f>Carteira!C26</f>
        <v/>
      </c>
      <c r="EX28" s="34" t="str">
        <f>IF(EW28="","",Retorno!G30)</f>
        <v/>
      </c>
      <c r="EY28" s="60" t="str">
        <f>IF(EW28="","",Retorno!K30)</f>
        <v/>
      </c>
      <c r="EZ28" s="69" t="str">
        <f>Carteira!M26</f>
        <v/>
      </c>
      <c r="FA28" s="1" t="str">
        <f>Carteira!L26</f>
        <v/>
      </c>
      <c r="FB28" s="33" t="str">
        <f>IF(EW28="","",IF(Calculo_Indice_Sharpe!H27="",0,IF(Calculo_Indice_Sharpe!H27=0,0,EX28/Calculo_Indice_Sharpe!H27)))</f>
        <v/>
      </c>
    </row>
    <row r="29" spans="1:165" x14ac:dyDescent="0.3">
      <c r="A29" s="50"/>
      <c r="B29" s="58" t="s">
        <v>597</v>
      </c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AF29" s="25" t="str">
        <f>IF(AND(Carteira!C28="",Carteira!C27&lt;&gt;""),"Carteira",Carteira!C28)</f>
        <v/>
      </c>
      <c r="AG29" s="34" t="str">
        <f>IF(AF29="","",IF(AF29="Carteira",Retorno!$C$4,Retorno!C32))</f>
        <v/>
      </c>
      <c r="AH29" s="34" t="str">
        <f>IF(AF29="","",IF(AF29="Carteira",Retorno!$D$4,Retorno!D32))</f>
        <v/>
      </c>
      <c r="AI29" s="34" t="str">
        <f>IF(AF29="","",IF(AF29="Carteira",Retorno!$E$4,Retorno!E32))</f>
        <v/>
      </c>
      <c r="AJ29" s="105" t="str">
        <f>IF(AF29="","",IF(AF29="Carteira",Retorno!$F$4,Retorno!F32))</f>
        <v/>
      </c>
      <c r="AK29" s="34" t="str">
        <f>IF(AF29="","",IF(AF29="Carteira",Retorno!$G$4,Retorno!G32))</f>
        <v/>
      </c>
      <c r="AL29" s="34" t="str">
        <f>IF(AF29="","",IF(AF29="Carteira",Retorno!$H$4,Retorno!H32))</f>
        <v/>
      </c>
      <c r="AM29" s="33" t="str">
        <f>IF(AF29="","",IF(AF29="Carteira",Retorno!$I$4,Retorno!I32))</f>
        <v/>
      </c>
      <c r="AN29" s="60" t="str">
        <f>IF(AF29="","",Retorno!$O$3)</f>
        <v/>
      </c>
      <c r="AO29" s="33" t="str">
        <f t="shared" si="0"/>
        <v/>
      </c>
      <c r="CH29" s="1" t="str">
        <f>VaR_Calculo!B181</f>
        <v/>
      </c>
      <c r="CI29" s="201" t="str">
        <f>VaR_Calculo!C181</f>
        <v/>
      </c>
      <c r="CJ29" s="167"/>
      <c r="CK29" s="201"/>
      <c r="CL29" s="167"/>
      <c r="CM29" s="201"/>
      <c r="EW29" s="25" t="str">
        <f>Carteira!C27</f>
        <v/>
      </c>
      <c r="EX29" s="34" t="str">
        <f>IF(EW29="","",Retorno!G31)</f>
        <v/>
      </c>
      <c r="EY29" s="60" t="str">
        <f>IF(EW29="","",Retorno!K31)</f>
        <v/>
      </c>
      <c r="EZ29" s="69" t="str">
        <f>Carteira!M27</f>
        <v/>
      </c>
      <c r="FA29" s="1" t="str">
        <f>Carteira!L27</f>
        <v/>
      </c>
      <c r="FB29" s="33" t="str">
        <f>IF(EW29="","",IF(Calculo_Indice_Sharpe!H28="",0,IF(Calculo_Indice_Sharpe!H28=0,0,EX29/Calculo_Indice_Sharpe!H28)))</f>
        <v/>
      </c>
    </row>
    <row r="30" spans="1:165" x14ac:dyDescent="0.3">
      <c r="B30" s="49" t="s">
        <v>598</v>
      </c>
      <c r="AF30" s="25" t="str">
        <f>IF(AND(Carteira!C29="",Carteira!C28&lt;&gt;""),"Carteira",Carteira!C29)</f>
        <v/>
      </c>
      <c r="AG30" s="34" t="str">
        <f>IF(AF30="","",IF(AF30="Carteira",Retorno!$C$4,Retorno!C33))</f>
        <v/>
      </c>
      <c r="AH30" s="34" t="str">
        <f>IF(AF30="","",IF(AF30="Carteira",Retorno!$D$4,Retorno!D33))</f>
        <v/>
      </c>
      <c r="AI30" s="34" t="str">
        <f>IF(AF30="","",IF(AF30="Carteira",Retorno!$E$4,Retorno!E33))</f>
        <v/>
      </c>
      <c r="AJ30" s="105" t="str">
        <f>IF(AF30="","",IF(AF30="Carteira",Retorno!$F$4,Retorno!F33))</f>
        <v/>
      </c>
      <c r="AK30" s="34" t="str">
        <f>IF(AF30="","",IF(AF30="Carteira",Retorno!$G$4,Retorno!G33))</f>
        <v/>
      </c>
      <c r="AL30" s="34" t="str">
        <f>IF(AF30="","",IF(AF30="Carteira",Retorno!$H$4,Retorno!H33))</f>
        <v/>
      </c>
      <c r="AM30" s="33" t="str">
        <f>IF(AF30="","",IF(AF30="Carteira",Retorno!$I$4,Retorno!I33))</f>
        <v/>
      </c>
      <c r="AN30" s="60" t="str">
        <f>IF(AF30="","",Retorno!$O$3)</f>
        <v/>
      </c>
      <c r="AO30" s="33" t="str">
        <f t="shared" si="0"/>
        <v/>
      </c>
      <c r="BW30" s="25" t="s">
        <v>612</v>
      </c>
      <c r="CH30" s="1" t="str">
        <f>VaR_Calculo!B182</f>
        <v/>
      </c>
      <c r="CI30" s="201" t="str">
        <f>VaR_Calculo!C182</f>
        <v/>
      </c>
      <c r="CJ30" s="167"/>
      <c r="CK30" s="201"/>
      <c r="CL30" s="167"/>
      <c r="CM30" s="201"/>
      <c r="DG30" s="365" t="s">
        <v>593</v>
      </c>
      <c r="DH30" s="365"/>
      <c r="DI30" s="365"/>
      <c r="DJ30" s="365"/>
      <c r="DK30" s="365"/>
      <c r="DL30" s="365"/>
      <c r="DM30" s="365"/>
      <c r="DN30" s="365"/>
      <c r="DO30" s="365"/>
      <c r="DP30" s="365"/>
      <c r="DQ30" s="365"/>
      <c r="DR30" s="365"/>
      <c r="DS30" s="365"/>
      <c r="DT30" s="365"/>
      <c r="DU30" s="365"/>
      <c r="EW30" s="25" t="str">
        <f>Carteira!C28</f>
        <v/>
      </c>
      <c r="EX30" s="34" t="str">
        <f>IF(EW30="","",Retorno!G32)</f>
        <v/>
      </c>
      <c r="EY30" s="60" t="str">
        <f>IF(EW30="","",Retorno!K32)</f>
        <v/>
      </c>
      <c r="EZ30" s="69" t="str">
        <f>Carteira!M28</f>
        <v/>
      </c>
      <c r="FA30" s="1" t="str">
        <f>Carteira!L28</f>
        <v/>
      </c>
      <c r="FB30" s="33" t="str">
        <f>IF(EW30="","",IF(Calculo_Indice_Sharpe!H29="",0,IF(Calculo_Indice_Sharpe!H29=0,0,EX30/Calculo_Indice_Sharpe!H29)))</f>
        <v/>
      </c>
    </row>
    <row r="31" spans="1:165" x14ac:dyDescent="0.3">
      <c r="AF31" s="25" t="str">
        <f>IF(AND(Carteira!C30="",Carteira!C29&lt;&gt;""),"Carteira",Carteira!C30)</f>
        <v/>
      </c>
      <c r="AG31" s="34" t="str">
        <f>IF(AF31="","",IF(AF31="Carteira",Retorno!$C$4,Retorno!C34))</f>
        <v/>
      </c>
      <c r="AH31" s="34" t="str">
        <f>IF(AF31="","",IF(AF31="Carteira",Retorno!$D$4,Retorno!D34))</f>
        <v/>
      </c>
      <c r="AI31" s="34" t="str">
        <f>IF(AF31="","",IF(AF31="Carteira",Retorno!$E$4,Retorno!E34))</f>
        <v/>
      </c>
      <c r="AJ31" s="105" t="str">
        <f>IF(AF31="","",IF(AF31="Carteira",Retorno!$F$4,Retorno!F34))</f>
        <v/>
      </c>
      <c r="AK31" s="34" t="str">
        <f>IF(AF31="","",IF(AF31="Carteira",Retorno!$G$4,Retorno!G34))</f>
        <v/>
      </c>
      <c r="AL31" s="34" t="str">
        <f>IF(AF31="","",IF(AF31="Carteira",Retorno!$H$4,Retorno!H34))</f>
        <v/>
      </c>
      <c r="AM31" s="33" t="str">
        <f>IF(AF31="","",IF(AF31="Carteira",Retorno!$I$4,Retorno!I34))</f>
        <v/>
      </c>
      <c r="AN31" s="60" t="str">
        <f>IF(AF31="","",Retorno!$O$3)</f>
        <v/>
      </c>
      <c r="AO31" s="33" t="str">
        <f t="shared" si="0"/>
        <v/>
      </c>
      <c r="CH31" s="1" t="str">
        <f>VaR_Calculo!B183</f>
        <v/>
      </c>
      <c r="CI31" s="201" t="str">
        <f>VaR_Calculo!C183</f>
        <v/>
      </c>
      <c r="CJ31" s="167"/>
      <c r="CK31" s="201"/>
      <c r="CL31" s="167"/>
      <c r="CM31" s="201"/>
      <c r="DG31" s="365"/>
      <c r="DH31" s="365"/>
      <c r="DI31" s="365"/>
      <c r="DJ31" s="365"/>
      <c r="DK31" s="365"/>
      <c r="DL31" s="365"/>
      <c r="DM31" s="365"/>
      <c r="DN31" s="365"/>
      <c r="DO31" s="365"/>
      <c r="DP31" s="365"/>
      <c r="DQ31" s="365"/>
      <c r="DR31" s="365"/>
      <c r="DS31" s="365"/>
      <c r="DT31" s="365"/>
      <c r="DU31" s="365"/>
      <c r="EW31" s="25" t="str">
        <f>Carteira!C29</f>
        <v/>
      </c>
      <c r="EX31" s="34" t="str">
        <f>IF(EW31="","",Retorno!G33)</f>
        <v/>
      </c>
      <c r="EY31" s="60" t="str">
        <f>IF(EW31="","",Retorno!K33)</f>
        <v/>
      </c>
      <c r="EZ31" s="69" t="str">
        <f>Carteira!M29</f>
        <v/>
      </c>
      <c r="FA31" s="1" t="str">
        <f>Carteira!L29</f>
        <v/>
      </c>
      <c r="FB31" s="33" t="str">
        <f>IF(EW31="","",IF(Calculo_Indice_Sharpe!H30="",0,IF(Calculo_Indice_Sharpe!H30=0,0,EX31/Calculo_Indice_Sharpe!H30)))</f>
        <v/>
      </c>
    </row>
    <row r="32" spans="1:165" x14ac:dyDescent="0.3">
      <c r="A32" s="25" t="s">
        <v>599</v>
      </c>
      <c r="D32" s="25"/>
      <c r="AF32" s="25" t="str">
        <f>IF(AND(Carteira!C31="",Carteira!C30&lt;&gt;""),"Carteira",Carteira!C31)</f>
        <v/>
      </c>
      <c r="AG32" s="34" t="str">
        <f>IF(AF32="","",IF(AF32="Carteira",Retorno!$C$4,Retorno!C35))</f>
        <v/>
      </c>
      <c r="AH32" s="34" t="str">
        <f>IF(AF32="","",IF(AF32="Carteira",Retorno!$D$4,Retorno!D35))</f>
        <v/>
      </c>
      <c r="AI32" s="34" t="str">
        <f>IF(AF32="","",IF(AF32="Carteira",Retorno!$E$4,Retorno!E35))</f>
        <v/>
      </c>
      <c r="AJ32" s="105" t="str">
        <f>IF(AF32="","",IF(AF32="Carteira",Retorno!$F$4,Retorno!F35))</f>
        <v/>
      </c>
      <c r="AK32" s="34" t="str">
        <f>IF(AF32="","",IF(AF32="Carteira",Retorno!$G$4,Retorno!G35))</f>
        <v/>
      </c>
      <c r="AL32" s="34" t="str">
        <f>IF(AF32="","",IF(AF32="Carteira",Retorno!$H$4,Retorno!H35))</f>
        <v/>
      </c>
      <c r="AM32" s="33" t="str">
        <f>IF(AF32="","",IF(AF32="Carteira",Retorno!$I$4,Retorno!I35))</f>
        <v/>
      </c>
      <c r="AN32" s="60" t="str">
        <f>IF(AF32="","",Retorno!$O$3)</f>
        <v/>
      </c>
      <c r="AO32" s="33" t="str">
        <f t="shared" si="0"/>
        <v/>
      </c>
      <c r="BW32" s="25" t="s">
        <v>611</v>
      </c>
      <c r="CH32" s="224" t="str">
        <f>VaR_Calculo!B184</f>
        <v/>
      </c>
      <c r="CI32" s="201" t="str">
        <f>VaR_Calculo!C184</f>
        <v/>
      </c>
      <c r="CJ32" s="167"/>
      <c r="CK32" s="201"/>
      <c r="CL32" s="167"/>
      <c r="CM32" s="201"/>
      <c r="EW32" s="25" t="str">
        <f>Carteira!C30</f>
        <v/>
      </c>
      <c r="EX32" s="34" t="str">
        <f>IF(EW32="","",Retorno!G34)</f>
        <v/>
      </c>
      <c r="EY32" s="60" t="str">
        <f>IF(EW32="","",Retorno!K34)</f>
        <v/>
      </c>
      <c r="EZ32" s="69" t="str">
        <f>Carteira!M30</f>
        <v/>
      </c>
      <c r="FA32" s="1" t="str">
        <f>Carteira!L30</f>
        <v/>
      </c>
      <c r="FB32" s="33" t="str">
        <f>IF(EW32="","",IF(Calculo_Indice_Sharpe!H31="",0,IF(Calculo_Indice_Sharpe!H31=0,0,EX32/Calculo_Indice_Sharpe!H31)))</f>
        <v/>
      </c>
    </row>
    <row r="33" spans="1:158" x14ac:dyDescent="0.3">
      <c r="AF33" s="25" t="str">
        <f>IF(AND(Carteira!C32="",Carteira!C31&lt;&gt;""),"Carteira",Carteira!C32)</f>
        <v/>
      </c>
      <c r="AG33" s="34" t="str">
        <f>IF(AF33="","",IF(AF33="Carteira",Retorno!$C$4,Retorno!C36))</f>
        <v/>
      </c>
      <c r="AH33" s="34" t="str">
        <f>IF(AF33="","",IF(AF33="Carteira",Retorno!$D$4,Retorno!D36))</f>
        <v/>
      </c>
      <c r="AI33" s="34" t="str">
        <f>IF(AF33="","",IF(AF33="Carteira",Retorno!$E$4,Retorno!E36))</f>
        <v/>
      </c>
      <c r="AJ33" s="105" t="str">
        <f>IF(AF33="","",IF(AF33="Carteira",Retorno!$F$4,Retorno!F36))</f>
        <v/>
      </c>
      <c r="AK33" s="34" t="str">
        <f>IF(AF33="","",IF(AF33="Carteira",Retorno!$G$4,Retorno!G36))</f>
        <v/>
      </c>
      <c r="AL33" s="34" t="str">
        <f>IF(AF33="","",IF(AF33="Carteira",Retorno!$H$4,Retorno!H36))</f>
        <v/>
      </c>
      <c r="AM33" s="33" t="str">
        <f>IF(AF33="","",IF(AF33="Carteira",Retorno!$I$4,Retorno!I36))</f>
        <v/>
      </c>
      <c r="AN33" s="60" t="str">
        <f>IF(AF33="","",Retorno!$O$3)</f>
        <v/>
      </c>
      <c r="AO33" s="33" t="str">
        <f t="shared" si="0"/>
        <v/>
      </c>
      <c r="CH33" s="224" t="str">
        <f>VaR_Calculo!B185</f>
        <v/>
      </c>
      <c r="CI33" s="201" t="str">
        <f>VaR_Calculo!C185</f>
        <v/>
      </c>
      <c r="CJ33" s="167"/>
      <c r="CK33" s="201"/>
      <c r="CL33" s="167"/>
      <c r="CM33" s="201"/>
      <c r="EW33" s="25" t="str">
        <f>Carteira!C31</f>
        <v/>
      </c>
      <c r="EX33" s="34" t="str">
        <f>IF(EW33="","",Retorno!G35)</f>
        <v/>
      </c>
      <c r="EY33" s="60" t="str">
        <f>IF(EW33="","",Retorno!K35)</f>
        <v/>
      </c>
      <c r="EZ33" s="69" t="str">
        <f>Carteira!M31</f>
        <v/>
      </c>
      <c r="FA33" s="1" t="str">
        <f>Carteira!L31</f>
        <v/>
      </c>
      <c r="FB33" s="33" t="str">
        <f>IF(EW33="","",IF(Calculo_Indice_Sharpe!H32="",0,IF(Calculo_Indice_Sharpe!H32=0,0,EX33/Calculo_Indice_Sharpe!H32)))</f>
        <v/>
      </c>
    </row>
    <row r="34" spans="1:158" x14ac:dyDescent="0.3">
      <c r="A34" s="25"/>
      <c r="AF34" s="25" t="str">
        <f>IF(AND(Carteira!C33="",Carteira!C32&lt;&gt;""),"Carteira",Carteira!C33)</f>
        <v/>
      </c>
      <c r="AG34" s="34" t="str">
        <f>IF(AF34="","",IF(AF34="Carteira",Retorno!$C$4,Retorno!C37))</f>
        <v/>
      </c>
      <c r="AH34" s="34" t="str">
        <f>IF(AF34="","",IF(AF34="Carteira",Retorno!$D$4,Retorno!D37))</f>
        <v/>
      </c>
      <c r="AI34" s="34" t="str">
        <f>IF(AF34="","",IF(AF34="Carteira",Retorno!$E$4,Retorno!E37))</f>
        <v/>
      </c>
      <c r="AJ34" s="105" t="str">
        <f>IF(AF34="","",IF(AF34="Carteira",Retorno!$F$4,Retorno!F37))</f>
        <v/>
      </c>
      <c r="AK34" s="34" t="str">
        <f>IF(AF34="","",IF(AF34="Carteira",Retorno!$G$4,Retorno!G37))</f>
        <v/>
      </c>
      <c r="AL34" s="34" t="str">
        <f>IF(AF34="","",IF(AF34="Carteira",Retorno!$H$4,Retorno!H37))</f>
        <v/>
      </c>
      <c r="AM34" s="33" t="str">
        <f>IF(AF34="","",IF(AF34="Carteira",Retorno!$I$4,Retorno!I37))</f>
        <v/>
      </c>
      <c r="AN34" s="60" t="str">
        <f>IF(AF34="","",Retorno!$O$3)</f>
        <v/>
      </c>
      <c r="AO34" s="33" t="str">
        <f t="shared" si="0"/>
        <v/>
      </c>
      <c r="CH34" s="224" t="str">
        <f>VaR_Calculo!B186</f>
        <v/>
      </c>
      <c r="CI34" s="201" t="str">
        <f>VaR_Calculo!C186</f>
        <v/>
      </c>
      <c r="CJ34" s="167"/>
      <c r="CK34" s="201"/>
      <c r="CL34" s="167"/>
      <c r="CM34" s="201"/>
      <c r="EW34" s="25" t="str">
        <f>Carteira!C32</f>
        <v/>
      </c>
      <c r="EX34" s="34" t="str">
        <f>IF(EW34="","",Retorno!G36)</f>
        <v/>
      </c>
      <c r="EY34" s="60" t="str">
        <f>IF(EW34="","",Retorno!K36)</f>
        <v/>
      </c>
      <c r="EZ34" s="69" t="str">
        <f>Carteira!M32</f>
        <v/>
      </c>
      <c r="FA34" s="1" t="str">
        <f>Carteira!L32</f>
        <v/>
      </c>
      <c r="FB34" s="33" t="str">
        <f>IF(EW34="","",IF(Calculo_Indice_Sharpe!H33="",0,IF(Calculo_Indice_Sharpe!H33=0,0,EX34/Calculo_Indice_Sharpe!H33)))</f>
        <v/>
      </c>
    </row>
    <row r="35" spans="1:158" x14ac:dyDescent="0.3">
      <c r="AF35" s="25" t="str">
        <f>IF(AND(Carteira!C34="",Carteira!C33&lt;&gt;""),"Carteira",Carteira!C34)</f>
        <v/>
      </c>
      <c r="AG35" s="34" t="str">
        <f>IF(AF35="","",IF(AF35="Carteira",Retorno!$C$4,Retorno!C38))</f>
        <v/>
      </c>
      <c r="AH35" s="34" t="str">
        <f>IF(AF35="","",IF(AF35="Carteira",Retorno!$D$4,Retorno!D38))</f>
        <v/>
      </c>
      <c r="AI35" s="34" t="str">
        <f>IF(AF35="","",IF(AF35="Carteira",Retorno!$E$4,Retorno!E38))</f>
        <v/>
      </c>
      <c r="AJ35" s="105" t="str">
        <f>IF(AF35="","",IF(AF35="Carteira",Retorno!$F$4,Retorno!F38))</f>
        <v/>
      </c>
      <c r="AK35" s="34" t="str">
        <f>IF(AF35="","",IF(AF35="Carteira",Retorno!$G$4,Retorno!G38))</f>
        <v/>
      </c>
      <c r="AL35" s="34" t="str">
        <f>IF(AF35="","",IF(AF35="Carteira",Retorno!$H$4,Retorno!H38))</f>
        <v/>
      </c>
      <c r="AM35" s="33" t="str">
        <f>IF(AF35="","",IF(AF35="Carteira",Retorno!$I$4,Retorno!I38))</f>
        <v/>
      </c>
      <c r="AN35" s="60" t="str">
        <f>IF(AF35="","",Retorno!$O$3)</f>
        <v/>
      </c>
      <c r="AO35" s="33" t="str">
        <f t="shared" si="0"/>
        <v/>
      </c>
      <c r="CH35" s="224" t="str">
        <f>VaR_Calculo!B187</f>
        <v/>
      </c>
      <c r="CI35" s="201" t="str">
        <f>VaR_Calculo!C187</f>
        <v/>
      </c>
      <c r="CJ35" s="167"/>
      <c r="CK35" s="201"/>
      <c r="CL35" s="167"/>
      <c r="CM35" s="201"/>
      <c r="EW35" s="223" t="str">
        <f>Carteira!C33</f>
        <v/>
      </c>
      <c r="EX35" s="201" t="str">
        <f>IF(EW35="","",Retorno!G37)</f>
        <v/>
      </c>
      <c r="EY35" s="60" t="str">
        <f>IF(EW35="","",Retorno!K37)</f>
        <v/>
      </c>
      <c r="EZ35" s="69" t="str">
        <f>Carteira!M33</f>
        <v/>
      </c>
      <c r="FA35" s="224" t="str">
        <f>Carteira!L33</f>
        <v/>
      </c>
      <c r="FB35" s="167" t="str">
        <f>IF(EW35="","",IF(Calculo_Indice_Sharpe!H34="",0,IF(Calculo_Indice_Sharpe!H34=0,0,EX35/Calculo_Indice_Sharpe!H34)))</f>
        <v/>
      </c>
    </row>
    <row r="36" spans="1:158" x14ac:dyDescent="0.3">
      <c r="AG36" s="31"/>
      <c r="AH36" s="31"/>
      <c r="AI36" s="31"/>
      <c r="AJ36" s="31"/>
      <c r="AK36" s="31"/>
      <c r="AL36" s="31"/>
      <c r="CH36" s="224"/>
      <c r="CI36" s="201"/>
      <c r="CJ36" s="167"/>
      <c r="CK36" s="201"/>
      <c r="CL36" s="167"/>
      <c r="CM36" s="201"/>
      <c r="EW36" s="223" t="str">
        <f>Carteira!C34</f>
        <v/>
      </c>
      <c r="EX36" s="201" t="str">
        <f>IF(EW36="","",Retorno!G38)</f>
        <v/>
      </c>
      <c r="EY36" s="60" t="str">
        <f>IF(EW36="","",Retorno!K38)</f>
        <v/>
      </c>
      <c r="EZ36" s="69" t="str">
        <f>Carteira!M34</f>
        <v/>
      </c>
      <c r="FA36" s="224" t="str">
        <f>Carteira!L34</f>
        <v/>
      </c>
      <c r="FB36" s="167">
        <v>0</v>
      </c>
    </row>
  </sheetData>
  <sheetProtection formatCells="0" formatColumns="0" formatRows="0" insertColumns="0" insertRows="0" insertHyperlinks="0" deleteColumns="0" deleteRows="0" selectLockedCells="1" sort="0" autoFilter="0" pivotTables="0"/>
  <mergeCells count="38">
    <mergeCell ref="A2:O2"/>
    <mergeCell ref="B6:O7"/>
    <mergeCell ref="B11:O12"/>
    <mergeCell ref="B16:O17"/>
    <mergeCell ref="A21:O23"/>
    <mergeCell ref="A27:J27"/>
    <mergeCell ref="DG30:DU31"/>
    <mergeCell ref="EW3:EW4"/>
    <mergeCell ref="BR4:CF6"/>
    <mergeCell ref="BR8:CF10"/>
    <mergeCell ref="BR12:CF14"/>
    <mergeCell ref="BR16:CF18"/>
    <mergeCell ref="BR20:CF21"/>
    <mergeCell ref="BW27:CF28"/>
    <mergeCell ref="CQ4:DE5"/>
    <mergeCell ref="CQ11:DE13"/>
    <mergeCell ref="CQ15:DE16"/>
    <mergeCell ref="CS27:CT27"/>
    <mergeCell ref="DG27:DU28"/>
    <mergeCell ref="W13:X15"/>
    <mergeCell ref="DW3:ED5"/>
    <mergeCell ref="R2:S2"/>
    <mergeCell ref="EZ3:EZ4"/>
    <mergeCell ref="EJ16:ER20"/>
    <mergeCell ref="CR23:CR24"/>
    <mergeCell ref="BR25:CF26"/>
    <mergeCell ref="DG15:DU18"/>
    <mergeCell ref="CS23:CT24"/>
    <mergeCell ref="DG19:DU20"/>
    <mergeCell ref="DG22:DU23"/>
    <mergeCell ref="DG25:DU25"/>
    <mergeCell ref="FA3:FA4"/>
    <mergeCell ref="FB3:FB4"/>
    <mergeCell ref="EY3:EY4"/>
    <mergeCell ref="EX3:EX4"/>
    <mergeCell ref="BE17:BM21"/>
    <mergeCell ref="DG5:DU6"/>
    <mergeCell ref="DG13:DU13"/>
  </mergeCells>
  <conditionalFormatting sqref="FI15:FI20 FI5:FI13 DX9:DX28 AG4:AL35 EA9:EA28">
    <cfRule type="cellIs" dxfId="148" priority="42" operator="equal">
      <formula>0</formula>
    </cfRule>
  </conditionalFormatting>
  <conditionalFormatting sqref="AL4:AM35 AO4:AO35">
    <cfRule type="cellIs" dxfId="147" priority="41" operator="lessThan">
      <formula>0</formula>
    </cfRule>
  </conditionalFormatting>
  <conditionalFormatting sqref="FB5:FB36 CJ4:CM36">
    <cfRule type="cellIs" dxfId="146" priority="29" operator="equal">
      <formula>0</formula>
    </cfRule>
  </conditionalFormatting>
  <conditionalFormatting sqref="FI5">
    <cfRule type="cellIs" dxfId="145" priority="28" operator="greaterThan">
      <formula>$FH$5</formula>
    </cfRule>
  </conditionalFormatting>
  <conditionalFormatting sqref="FI6">
    <cfRule type="cellIs" dxfId="144" priority="27" operator="greaterThan">
      <formula>$FH$6</formula>
    </cfRule>
  </conditionalFormatting>
  <conditionalFormatting sqref="FI7">
    <cfRule type="cellIs" dxfId="143" priority="26" operator="greaterThan">
      <formula>$FH$7</formula>
    </cfRule>
  </conditionalFormatting>
  <conditionalFormatting sqref="FI8">
    <cfRule type="cellIs" dxfId="142" priority="25" operator="greaterThan">
      <formula>$FH$8</formula>
    </cfRule>
  </conditionalFormatting>
  <conditionalFormatting sqref="FI9">
    <cfRule type="cellIs" dxfId="141" priority="24" operator="greaterThan">
      <formula>$FH$9</formula>
    </cfRule>
  </conditionalFormatting>
  <conditionalFormatting sqref="FI10">
    <cfRule type="cellIs" dxfId="140" priority="23" operator="greaterThan">
      <formula>$FH$10</formula>
    </cfRule>
  </conditionalFormatting>
  <conditionalFormatting sqref="FI11">
    <cfRule type="cellIs" dxfId="139" priority="22" operator="greaterThan">
      <formula>$FH$11</formula>
    </cfRule>
  </conditionalFormatting>
  <conditionalFormatting sqref="FI12">
    <cfRule type="cellIs" dxfId="138" priority="21" operator="greaterThan">
      <formula>$FH$12</formula>
    </cfRule>
  </conditionalFormatting>
  <conditionalFormatting sqref="FI13">
    <cfRule type="cellIs" dxfId="137" priority="20" operator="greaterThan">
      <formula>$FH$13</formula>
    </cfRule>
  </conditionalFormatting>
  <conditionalFormatting sqref="FI15">
    <cfRule type="cellIs" dxfId="136" priority="19" operator="greaterThan">
      <formula>$FH$15</formula>
    </cfRule>
  </conditionalFormatting>
  <conditionalFormatting sqref="FI16">
    <cfRule type="cellIs" dxfId="135" priority="18" operator="greaterThan">
      <formula>$FH$16</formula>
    </cfRule>
  </conditionalFormatting>
  <conditionalFormatting sqref="FI17">
    <cfRule type="cellIs" dxfId="134" priority="17" operator="greaterThan">
      <formula>$FH$17</formula>
    </cfRule>
  </conditionalFormatting>
  <conditionalFormatting sqref="FI18">
    <cfRule type="cellIs" dxfId="133" priority="16" operator="greaterThan">
      <formula>$FH$18</formula>
    </cfRule>
  </conditionalFormatting>
  <conditionalFormatting sqref="FI19">
    <cfRule type="cellIs" dxfId="132" priority="15" operator="greaterThan">
      <formula>$FH$19</formula>
    </cfRule>
  </conditionalFormatting>
  <conditionalFormatting sqref="FI20">
    <cfRule type="cellIs" dxfId="131" priority="14" operator="greaterThan">
      <formula>$FH$20</formula>
    </cfRule>
  </conditionalFormatting>
  <conditionalFormatting sqref="EW5:FB36 AR23:AT23 AT19 DW9:DX28 AF4:AO35 DZ9:EA28 AQ6:AZ18 CH4:CM36">
    <cfRule type="notContainsBlanks" dxfId="130" priority="13">
      <formula>LEN(TRIM(AF4))&gt;0</formula>
    </cfRule>
  </conditionalFormatting>
  <conditionalFormatting sqref="DZ8:EA8">
    <cfRule type="containsBlanks" dxfId="129" priority="3">
      <formula>LEN(TRIM(DZ8))=0</formula>
    </cfRule>
  </conditionalFormatting>
  <pageMargins left="0.51181102362204722" right="0.51181102362204722" top="0.63541666666666663" bottom="0.78740157480314965" header="0.31496062992125984" footer="0.31496062992125984"/>
  <pageSetup paperSize="9" orientation="landscape" r:id="rId1"/>
  <headerFooter>
    <oddHeader>&amp;C&amp;G</oddHeader>
    <oddFooter>&amp;C&amp;G</odd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Equation.3" shapeId="3073" r:id="rId5">
          <objectPr defaultSize="0" autoPict="0" r:id="rId6">
            <anchor moveWithCells="1" sizeWithCells="1">
              <from>
                <xdr:col>16</xdr:col>
                <xdr:colOff>352425</xdr:colOff>
                <xdr:row>5</xdr:row>
                <xdr:rowOff>142875</xdr:rowOff>
              </from>
              <to>
                <xdr:col>22</xdr:col>
                <xdr:colOff>257175</xdr:colOff>
                <xdr:row>8</xdr:row>
                <xdr:rowOff>114300</xdr:rowOff>
              </to>
            </anchor>
          </objectPr>
        </oleObject>
      </mc:Choice>
      <mc:Fallback>
        <oleObject progId="Equation.3" shapeId="3073" r:id="rId5"/>
      </mc:Fallback>
    </mc:AlternateContent>
    <mc:AlternateContent xmlns:mc="http://schemas.openxmlformats.org/markup-compatibility/2006">
      <mc:Choice Requires="x14">
        <oleObject progId="Equation.3" shapeId="3074" r:id="rId7">
          <objectPr defaultSize="0" autoPict="0" r:id="rId8">
            <anchor moveWithCells="1" sizeWithCells="1">
              <from>
                <xdr:col>69</xdr:col>
                <xdr:colOff>533400</xdr:colOff>
                <xdr:row>27</xdr:row>
                <xdr:rowOff>76200</xdr:rowOff>
              </from>
              <to>
                <xdr:col>73</xdr:col>
                <xdr:colOff>19050</xdr:colOff>
                <xdr:row>29</xdr:row>
                <xdr:rowOff>161925</xdr:rowOff>
              </to>
            </anchor>
          </objectPr>
        </oleObject>
      </mc:Choice>
      <mc:Fallback>
        <oleObject progId="Equation.3" shapeId="3074" r:id="rId7"/>
      </mc:Fallback>
    </mc:AlternateContent>
    <mc:AlternateContent xmlns:mc="http://schemas.openxmlformats.org/markup-compatibility/2006">
      <mc:Choice Requires="x14">
        <oleObject progId="Equation.3" shapeId="3075" r:id="rId9">
          <objectPr defaultSize="0" autoPict="0" r:id="rId10">
            <anchor moveWithCells="1" sizeWithCells="1">
              <from>
                <xdr:col>98</xdr:col>
                <xdr:colOff>485775</xdr:colOff>
                <xdr:row>5</xdr:row>
                <xdr:rowOff>133350</xdr:rowOff>
              </from>
              <to>
                <xdr:col>102</xdr:col>
                <xdr:colOff>476250</xdr:colOff>
                <xdr:row>8</xdr:row>
                <xdr:rowOff>171450</xdr:rowOff>
              </to>
            </anchor>
          </objectPr>
        </oleObject>
      </mc:Choice>
      <mc:Fallback>
        <oleObject progId="Equation.3" shapeId="3075" r:id="rId9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rgb="FF002060"/>
  </sheetPr>
  <dimension ref="B1:L43"/>
  <sheetViews>
    <sheetView showGridLines="0" topLeftCell="F1" workbookViewId="0">
      <selection activeCell="H5" sqref="H5"/>
    </sheetView>
  </sheetViews>
  <sheetFormatPr defaultColWidth="9.140625" defaultRowHeight="15" x14ac:dyDescent="0.3"/>
  <cols>
    <col min="1" max="1" width="1.42578125" style="224" customWidth="1"/>
    <col min="2" max="2" width="55.5703125" style="224" bestFit="1" customWidth="1"/>
    <col min="3" max="3" width="18.42578125" style="224" bestFit="1" customWidth="1"/>
    <col min="4" max="4" width="12.85546875" style="224" customWidth="1"/>
    <col min="5" max="5" width="32.85546875" style="224" customWidth="1"/>
    <col min="6" max="6" width="18.5703125" style="224" customWidth="1"/>
    <col min="7" max="7" width="18.42578125" style="224" bestFit="1" customWidth="1"/>
    <col min="8" max="8" width="14.28515625" style="224" customWidth="1"/>
    <col min="9" max="9" width="12.85546875" style="224" customWidth="1"/>
    <col min="10" max="10" width="14.42578125" style="224" customWidth="1"/>
    <col min="11" max="11" width="17.140625" style="224" customWidth="1"/>
    <col min="12" max="12" width="12" style="224" bestFit="1" customWidth="1"/>
    <col min="13" max="16384" width="9.140625" style="224"/>
  </cols>
  <sheetData>
    <row r="1" spans="2:12" x14ac:dyDescent="0.3">
      <c r="B1" s="272" t="s">
        <v>6</v>
      </c>
      <c r="C1" s="201">
        <f>[1]Entrada!E7</f>
        <v>0</v>
      </c>
    </row>
    <row r="3" spans="2:12" s="103" customFormat="1" ht="30" x14ac:dyDescent="0.3">
      <c r="B3" s="272" t="s">
        <v>73</v>
      </c>
      <c r="C3" s="272" t="s">
        <v>683</v>
      </c>
      <c r="D3" s="272" t="s">
        <v>514</v>
      </c>
      <c r="E3" s="272" t="s">
        <v>684</v>
      </c>
      <c r="F3" s="272" t="s">
        <v>517</v>
      </c>
      <c r="G3" s="272" t="s">
        <v>685</v>
      </c>
      <c r="H3" s="272" t="s">
        <v>686</v>
      </c>
      <c r="I3" s="272" t="s">
        <v>687</v>
      </c>
      <c r="J3" s="272" t="s">
        <v>688</v>
      </c>
      <c r="K3" s="272" t="s">
        <v>689</v>
      </c>
      <c r="L3" s="272" t="s">
        <v>690</v>
      </c>
    </row>
    <row r="4" spans="2:12" x14ac:dyDescent="0.3">
      <c r="B4" s="224" t="str">
        <f>Carteira!D3</f>
        <v>BB IRF-M TÍTULOS PÚBLICOS FI RENDA FIXA PREVIDENCIÁRIO</v>
      </c>
      <c r="C4" s="224" t="str">
        <f>Carteira!E3</f>
        <v>07.111.384/0001-69</v>
      </c>
      <c r="D4" s="224" t="str">
        <f>Carteira!O3</f>
        <v>Renda Fixa</v>
      </c>
      <c r="E4" s="224" t="str">
        <f>Carteira!L3</f>
        <v>FI 100% títulos TN - Art. 7º, I, "b"</v>
      </c>
      <c r="F4" s="224" t="str">
        <f>Carteira!H3</f>
        <v>Banco do Brasil</v>
      </c>
      <c r="G4" s="224" t="str">
        <f>Carteira!P3</f>
        <v>30.822.936/0001-69</v>
      </c>
      <c r="H4" s="224">
        <f t="shared" ref="H4:H43" si="0">IF(B4="","",J4/I4)</f>
        <v>0</v>
      </c>
      <c r="I4" s="224">
        <f>IF(B4="","",Carteira!R3)</f>
        <v>3.5630414340000001</v>
      </c>
      <c r="J4" s="201">
        <f>IF(B4="","",Retorno!G7)</f>
        <v>0</v>
      </c>
      <c r="K4" s="201">
        <f>Carteira!Q3</f>
        <v>1550396235.23</v>
      </c>
      <c r="L4" s="167">
        <f t="shared" ref="L4:L43" si="1">IF(B4="","",J4/K4)</f>
        <v>0</v>
      </c>
    </row>
    <row r="5" spans="2:12" x14ac:dyDescent="0.3">
      <c r="B5" s="224" t="str">
        <f>Carteira!D4</f>
        <v>BB PERFIL FIC RENDA FIXA PREVIDENCIÁRIO</v>
      </c>
      <c r="C5" s="224" t="str">
        <f>Carteira!E4</f>
        <v>13.077.418/0001-49</v>
      </c>
      <c r="D5" s="224" t="str">
        <f>Carteira!O4</f>
        <v>Renda Fixa</v>
      </c>
      <c r="E5" s="224" t="str">
        <f>Carteira!L4</f>
        <v>FI de Renda Fixa - Art. 7º, IV</v>
      </c>
      <c r="F5" s="224" t="str">
        <f>Carteira!H4</f>
        <v>Banco do Brasil</v>
      </c>
      <c r="G5" s="224" t="str">
        <f>Carteira!P4</f>
        <v>30.822.936/0001-69</v>
      </c>
      <c r="H5" s="224">
        <f t="shared" si="0"/>
        <v>223701.32281709046</v>
      </c>
      <c r="I5" s="224">
        <f>IF(B5="","",Carteira!R4)</f>
        <v>1.6452009999999999</v>
      </c>
      <c r="J5" s="201">
        <f>IF(B5="","",Retorno!G8)</f>
        <v>368033.64</v>
      </c>
      <c r="K5" s="201">
        <f>Carteira!Q4</f>
        <v>6495245017.6300001</v>
      </c>
      <c r="L5" s="167">
        <f t="shared" si="1"/>
        <v>5.6662010286147599E-5</v>
      </c>
    </row>
    <row r="6" spans="2:12" x14ac:dyDescent="0.3">
      <c r="B6" s="224" t="str">
        <f>Carteira!D5</f>
        <v>BB Prev RF Tit Publ IX FI</v>
      </c>
      <c r="C6" s="224" t="str">
        <f>Carteira!E5</f>
        <v>20.734.937/0001-06</v>
      </c>
      <c r="D6" s="224" t="str">
        <f>Carteira!O5</f>
        <v>Renda Fixa</v>
      </c>
      <c r="E6" s="224" t="str">
        <f>Carteira!L5</f>
        <v>FI 100% títulos TN - Art. 7º, I, "b"</v>
      </c>
      <c r="F6" s="224" t="str">
        <f>Carteira!H5</f>
        <v>Banco do Brasil</v>
      </c>
      <c r="G6" s="224" t="str">
        <f>Carteira!P5</f>
        <v>30.822.936/0001-69</v>
      </c>
      <c r="H6" s="224">
        <f t="shared" si="0"/>
        <v>466450.70667040313</v>
      </c>
      <c r="I6" s="224">
        <f>IF(B6="","",Carteira!R5)</f>
        <v>1.1489492080000001</v>
      </c>
      <c r="J6" s="201">
        <f>IF(B6="","",Retorno!G9)</f>
        <v>535928.17000000004</v>
      </c>
      <c r="K6" s="201">
        <f>Carteira!Q5</f>
        <v>2254122552.9899998</v>
      </c>
      <c r="L6" s="167">
        <f t="shared" si="1"/>
        <v>2.3775467278348004E-4</v>
      </c>
    </row>
    <row r="7" spans="2:12" x14ac:dyDescent="0.3">
      <c r="B7" s="224" t="str">
        <f>Carteira!D6</f>
        <v>BB IRF M1 TÍTULOS PÚBLICOS FIC RENDA FIXA PREVIDENCIÁRIO</v>
      </c>
      <c r="C7" s="224" t="str">
        <f>Carteira!E6</f>
        <v>11.328.882/0001-35</v>
      </c>
      <c r="D7" s="224" t="str">
        <f>Carteira!O6</f>
        <v>Renda Fixa</v>
      </c>
      <c r="E7" s="224" t="str">
        <f>Carteira!L6</f>
        <v>FI 100% títulos TN - Art. 7º, I, "b"</v>
      </c>
      <c r="F7" s="224" t="str">
        <f>Carteira!H6</f>
        <v>Banco do Brasil</v>
      </c>
      <c r="G7" s="224" t="str">
        <f>Carteira!P6</f>
        <v>30.822.936/0001-69</v>
      </c>
      <c r="H7" s="224">
        <f t="shared" si="0"/>
        <v>1787018.3997365821</v>
      </c>
      <c r="I7" s="224">
        <f>IF(B7="","",Carteira!R6)</f>
        <v>1.8981250000000001</v>
      </c>
      <c r="J7" s="201">
        <f>IF(B7="","",Retorno!G10)</f>
        <v>3391984.3</v>
      </c>
      <c r="K7" s="201">
        <f>Carteira!Q6</f>
        <v>7780026492.54</v>
      </c>
      <c r="L7" s="167">
        <f t="shared" si="1"/>
        <v>4.3598621460382649E-4</v>
      </c>
    </row>
    <row r="8" spans="2:12" x14ac:dyDescent="0.3">
      <c r="B8" s="224" t="str">
        <f>Carteira!D7</f>
        <v>FI Caixa Brasil 2016 I Tp RF</v>
      </c>
      <c r="C8" s="224" t="str">
        <f>Carteira!E7</f>
        <v>20.139.299/0001-77</v>
      </c>
      <c r="D8" s="224" t="str">
        <f>Carteira!O7</f>
        <v>Renda Fixa</v>
      </c>
      <c r="E8" s="224" t="str">
        <f>Carteira!L7</f>
        <v>FI 100% títulos TN - Art. 7º, I, "b"</v>
      </c>
      <c r="F8" s="224" t="str">
        <f>Carteira!H7</f>
        <v>Caixa Econômica Federal</v>
      </c>
      <c r="G8" s="224" t="str">
        <f>Carteira!P7</f>
        <v>00.360.305/0001-04</v>
      </c>
      <c r="H8" s="224">
        <f t="shared" si="0"/>
        <v>1000000</v>
      </c>
      <c r="I8" s="224">
        <f>IF(B8="","",Carteira!R7)</f>
        <v>1.0861730000000001</v>
      </c>
      <c r="J8" s="201">
        <f>IF(B8="","",Retorno!G11)</f>
        <v>1086173</v>
      </c>
      <c r="K8" s="201">
        <f>Carteira!Q7</f>
        <v>1466638401.1300001</v>
      </c>
      <c r="L8" s="167">
        <f t="shared" si="1"/>
        <v>7.4058677255630073E-4</v>
      </c>
    </row>
    <row r="9" spans="2:12" x14ac:dyDescent="0.3">
      <c r="B9" s="224" t="str">
        <f>Carteira!D8</f>
        <v>CAIXA BRASIL FI REFERENCIADO DI LP</v>
      </c>
      <c r="C9" s="224" t="str">
        <f>Carteira!E8</f>
        <v>03.737.206/0001-97</v>
      </c>
      <c r="D9" s="224" t="str">
        <f>Carteira!O8</f>
        <v>Renda Fixa</v>
      </c>
      <c r="E9" s="224" t="str">
        <f>Carteira!L8</f>
        <v>FI de Renda Fixa - Art. 7º, IV</v>
      </c>
      <c r="F9" s="224" t="str">
        <f>Carteira!H8</f>
        <v>Caixa Econômica Federal</v>
      </c>
      <c r="G9" s="224" t="str">
        <f>Carteira!P8</f>
        <v>00.360.305/0001-04</v>
      </c>
      <c r="H9" s="224">
        <f t="shared" si="0"/>
        <v>237283.09340552878</v>
      </c>
      <c r="I9" s="224">
        <f>IF(B9="","",Carteira!R8)</f>
        <v>2.6786530000000002</v>
      </c>
      <c r="J9" s="201">
        <f>IF(B9="","",Retorno!G12)</f>
        <v>635599.06999999995</v>
      </c>
      <c r="K9" s="201">
        <f>Carteira!Q8</f>
        <v>4367781353.9099998</v>
      </c>
      <c r="L9" s="167">
        <f t="shared" si="1"/>
        <v>1.4551989179380903E-4</v>
      </c>
    </row>
    <row r="10" spans="2:12" x14ac:dyDescent="0.3">
      <c r="B10" s="224" t="str">
        <f>Carteira!D9</f>
        <v>CAIXA BRASIL IRF-M 1 TÍTULOS PÚBLICOS FI RENDA FIXA</v>
      </c>
      <c r="C10" s="224" t="str">
        <f>Carteira!E9</f>
        <v>10.740.670/0001-06</v>
      </c>
      <c r="D10" s="224" t="str">
        <f>Carteira!O9</f>
        <v>Renda Fixa</v>
      </c>
      <c r="E10" s="224" t="str">
        <f>Carteira!L9</f>
        <v>FI 100% títulos TN - Art. 7º, I, "b"</v>
      </c>
      <c r="F10" s="224" t="str">
        <f>Carteira!H9</f>
        <v>Caixa Econômica Federal</v>
      </c>
      <c r="G10" s="224" t="str">
        <f>Carteira!P9</f>
        <v>00.360.305/0001-04</v>
      </c>
      <c r="H10" s="224">
        <f t="shared" si="0"/>
        <v>1185987.853380037</v>
      </c>
      <c r="I10" s="224">
        <f>IF(B10="","",Carteira!R9)</f>
        <v>1.8128500000000001</v>
      </c>
      <c r="J10" s="201">
        <f>IF(B10="","",Retorno!G13)</f>
        <v>2150018.08</v>
      </c>
      <c r="K10" s="201">
        <f>Carteira!Q9</f>
        <v>9316344330.1599998</v>
      </c>
      <c r="L10" s="167">
        <f t="shared" si="1"/>
        <v>2.3077915583687701E-4</v>
      </c>
    </row>
    <row r="11" spans="2:12" x14ac:dyDescent="0.3">
      <c r="B11" s="224" t="str">
        <f>Carteira!D10</f>
        <v>CAIXA BRASIL IRF-M 1+ TÍTULOS PÚBLICOS FI RENDA FIXA LP</v>
      </c>
      <c r="C11" s="224" t="str">
        <f>Carteira!E10</f>
        <v>10.577.519/0001-90</v>
      </c>
      <c r="D11" s="224" t="str">
        <f>Carteira!O10</f>
        <v>Renda Fixa</v>
      </c>
      <c r="E11" s="224" t="str">
        <f>Carteira!L10</f>
        <v>FI 100% títulos TN - Art. 7º, I, "b"</v>
      </c>
      <c r="F11" s="224" t="str">
        <f>Carteira!H10</f>
        <v>Caixa Econômica Federal</v>
      </c>
      <c r="G11" s="224" t="str">
        <f>Carteira!P10</f>
        <v>00.360.305/0001-04</v>
      </c>
      <c r="H11" s="224">
        <f t="shared" si="0"/>
        <v>0</v>
      </c>
      <c r="I11" s="224">
        <f>IF(B11="","",Carteira!R10)</f>
        <v>1.3819330000000001</v>
      </c>
      <c r="J11" s="201">
        <f>IF(B11="","",Retorno!G14)</f>
        <v>0</v>
      </c>
      <c r="K11" s="201">
        <f>Carteira!Q10</f>
        <v>164234564.71000001</v>
      </c>
      <c r="L11" s="167">
        <f t="shared" si="1"/>
        <v>0</v>
      </c>
    </row>
    <row r="12" spans="2:12" x14ac:dyDescent="0.3">
      <c r="B12" s="224" t="str">
        <f>Carteira!D11</f>
        <v/>
      </c>
      <c r="C12" s="224" t="str">
        <f>Carteira!E11</f>
        <v/>
      </c>
      <c r="D12" s="224" t="str">
        <f>Carteira!O11</f>
        <v/>
      </c>
      <c r="E12" s="224" t="str">
        <f>Carteira!L11</f>
        <v/>
      </c>
      <c r="F12" s="224" t="str">
        <f>Carteira!H11</f>
        <v/>
      </c>
      <c r="G12" s="224" t="str">
        <f>Carteira!P11</f>
        <v/>
      </c>
      <c r="H12" s="224" t="str">
        <f t="shared" si="0"/>
        <v/>
      </c>
      <c r="I12" s="224" t="str">
        <f>IF(B12="","",Carteira!R11)</f>
        <v/>
      </c>
      <c r="J12" s="201" t="str">
        <f>IF(B12="","",Retorno!G15)</f>
        <v/>
      </c>
      <c r="K12" s="201" t="str">
        <f>Carteira!Q11</f>
        <v/>
      </c>
      <c r="L12" s="167" t="str">
        <f t="shared" si="1"/>
        <v/>
      </c>
    </row>
    <row r="13" spans="2:12" x14ac:dyDescent="0.3">
      <c r="B13" s="224" t="str">
        <f>Carteira!D12</f>
        <v/>
      </c>
      <c r="C13" s="224" t="str">
        <f>Carteira!E12</f>
        <v/>
      </c>
      <c r="D13" s="224" t="str">
        <f>Carteira!O12</f>
        <v/>
      </c>
      <c r="E13" s="224" t="str">
        <f>Carteira!L12</f>
        <v/>
      </c>
      <c r="F13" s="224" t="str">
        <f>Carteira!H12</f>
        <v/>
      </c>
      <c r="G13" s="224" t="str">
        <f>Carteira!P12</f>
        <v/>
      </c>
      <c r="H13" s="224" t="str">
        <f t="shared" si="0"/>
        <v/>
      </c>
      <c r="I13" s="224" t="str">
        <f>IF(B13="","",Carteira!R12)</f>
        <v/>
      </c>
      <c r="J13" s="201" t="str">
        <f>IF(B13="","",Retorno!G16)</f>
        <v/>
      </c>
      <c r="K13" s="201" t="str">
        <f>Carteira!Q12</f>
        <v/>
      </c>
      <c r="L13" s="167" t="str">
        <f t="shared" si="1"/>
        <v/>
      </c>
    </row>
    <row r="14" spans="2:12" x14ac:dyDescent="0.3">
      <c r="B14" s="224" t="str">
        <f>Carteira!D13</f>
        <v/>
      </c>
      <c r="C14" s="224" t="str">
        <f>Carteira!E13</f>
        <v/>
      </c>
      <c r="D14" s="224" t="str">
        <f>Carteira!O13</f>
        <v/>
      </c>
      <c r="E14" s="224" t="str">
        <f>Carteira!L13</f>
        <v/>
      </c>
      <c r="F14" s="224" t="str">
        <f>Carteira!H13</f>
        <v/>
      </c>
      <c r="G14" s="224" t="str">
        <f>Carteira!P13</f>
        <v/>
      </c>
      <c r="H14" s="224" t="str">
        <f t="shared" si="0"/>
        <v/>
      </c>
      <c r="I14" s="224" t="str">
        <f>IF(B14="","",Carteira!R13)</f>
        <v/>
      </c>
      <c r="J14" s="201" t="str">
        <f>IF(B14="","",Retorno!G17)</f>
        <v/>
      </c>
      <c r="K14" s="201" t="str">
        <f>Carteira!Q13</f>
        <v/>
      </c>
      <c r="L14" s="167" t="str">
        <f t="shared" si="1"/>
        <v/>
      </c>
    </row>
    <row r="15" spans="2:12" x14ac:dyDescent="0.3">
      <c r="B15" s="224" t="str">
        <f>Carteira!D14</f>
        <v/>
      </c>
      <c r="C15" s="224" t="str">
        <f>Carteira!E14</f>
        <v/>
      </c>
      <c r="D15" s="224" t="str">
        <f>Carteira!O14</f>
        <v/>
      </c>
      <c r="E15" s="224" t="str">
        <f>Carteira!L14</f>
        <v/>
      </c>
      <c r="F15" s="224" t="str">
        <f>Carteira!H14</f>
        <v/>
      </c>
      <c r="G15" s="224" t="str">
        <f>Carteira!P14</f>
        <v/>
      </c>
      <c r="H15" s="224" t="str">
        <f t="shared" si="0"/>
        <v/>
      </c>
      <c r="I15" s="224" t="str">
        <f>IF(B15="","",Carteira!R14)</f>
        <v/>
      </c>
      <c r="J15" s="201" t="str">
        <f>IF(B15="","",Retorno!G18)</f>
        <v/>
      </c>
      <c r="K15" s="201" t="str">
        <f>Carteira!Q14</f>
        <v/>
      </c>
      <c r="L15" s="167" t="str">
        <f t="shared" si="1"/>
        <v/>
      </c>
    </row>
    <row r="16" spans="2:12" x14ac:dyDescent="0.3">
      <c r="B16" s="224" t="str">
        <f>Carteira!D15</f>
        <v/>
      </c>
      <c r="C16" s="224" t="str">
        <f>Carteira!E15</f>
        <v/>
      </c>
      <c r="D16" s="224" t="str">
        <f>Carteira!O15</f>
        <v/>
      </c>
      <c r="E16" s="224" t="str">
        <f>Carteira!L15</f>
        <v/>
      </c>
      <c r="F16" s="224" t="str">
        <f>Carteira!H15</f>
        <v/>
      </c>
      <c r="G16" s="224" t="str">
        <f>Carteira!P15</f>
        <v/>
      </c>
      <c r="H16" s="224" t="str">
        <f t="shared" si="0"/>
        <v/>
      </c>
      <c r="I16" s="224" t="str">
        <f>IF(B16="","",Carteira!R15)</f>
        <v/>
      </c>
      <c r="J16" s="201" t="str">
        <f>IF(B16="","",Retorno!G19)</f>
        <v/>
      </c>
      <c r="K16" s="201" t="str">
        <f>Carteira!Q15</f>
        <v/>
      </c>
      <c r="L16" s="167" t="str">
        <f t="shared" si="1"/>
        <v/>
      </c>
    </row>
    <row r="17" spans="2:12" x14ac:dyDescent="0.3">
      <c r="B17" s="224" t="str">
        <f>Carteira!D16</f>
        <v/>
      </c>
      <c r="C17" s="224" t="str">
        <f>Carteira!E16</f>
        <v/>
      </c>
      <c r="D17" s="224" t="str">
        <f>Carteira!O16</f>
        <v/>
      </c>
      <c r="E17" s="224" t="str">
        <f>Carteira!L16</f>
        <v/>
      </c>
      <c r="F17" s="224" t="str">
        <f>Carteira!H16</f>
        <v/>
      </c>
      <c r="G17" s="224" t="str">
        <f>Carteira!P16</f>
        <v/>
      </c>
      <c r="H17" s="224" t="str">
        <f t="shared" si="0"/>
        <v/>
      </c>
      <c r="I17" s="224" t="str">
        <f>IF(B17="","",Carteira!R16)</f>
        <v/>
      </c>
      <c r="J17" s="201" t="str">
        <f>IF(B17="","",Retorno!G20)</f>
        <v/>
      </c>
      <c r="K17" s="201" t="str">
        <f>Carteira!Q16</f>
        <v/>
      </c>
      <c r="L17" s="167" t="str">
        <f t="shared" si="1"/>
        <v/>
      </c>
    </row>
    <row r="18" spans="2:12" x14ac:dyDescent="0.3">
      <c r="B18" s="224" t="str">
        <f>Carteira!D17</f>
        <v/>
      </c>
      <c r="C18" s="224" t="str">
        <f>Carteira!E17</f>
        <v/>
      </c>
      <c r="D18" s="224" t="str">
        <f>Carteira!O17</f>
        <v/>
      </c>
      <c r="E18" s="224" t="str">
        <f>Carteira!L17</f>
        <v/>
      </c>
      <c r="F18" s="224" t="str">
        <f>Carteira!H17</f>
        <v/>
      </c>
      <c r="G18" s="224" t="str">
        <f>Carteira!P17</f>
        <v/>
      </c>
      <c r="H18" s="224" t="str">
        <f t="shared" si="0"/>
        <v/>
      </c>
      <c r="I18" s="224" t="str">
        <f>IF(B18="","",Carteira!R17)</f>
        <v/>
      </c>
      <c r="J18" s="201" t="str">
        <f>IF(B18="","",Retorno!G21)</f>
        <v/>
      </c>
      <c r="K18" s="201" t="str">
        <f>Carteira!Q17</f>
        <v/>
      </c>
      <c r="L18" s="167" t="str">
        <f t="shared" si="1"/>
        <v/>
      </c>
    </row>
    <row r="19" spans="2:12" x14ac:dyDescent="0.3">
      <c r="B19" s="224" t="str">
        <f>Carteira!D18</f>
        <v/>
      </c>
      <c r="C19" s="224" t="str">
        <f>Carteira!E18</f>
        <v/>
      </c>
      <c r="D19" s="224" t="str">
        <f>Carteira!O18</f>
        <v/>
      </c>
      <c r="E19" s="224" t="str">
        <f>Carteira!L18</f>
        <v/>
      </c>
      <c r="F19" s="224" t="str">
        <f>Carteira!H18</f>
        <v/>
      </c>
      <c r="G19" s="224" t="str">
        <f>Carteira!P18</f>
        <v/>
      </c>
      <c r="H19" s="224" t="str">
        <f t="shared" si="0"/>
        <v/>
      </c>
      <c r="I19" s="224" t="str">
        <f>IF(B19="","",Carteira!R18)</f>
        <v/>
      </c>
      <c r="J19" s="201" t="str">
        <f>IF(B19="","",Retorno!G22)</f>
        <v/>
      </c>
      <c r="K19" s="201" t="str">
        <f>Carteira!Q18</f>
        <v/>
      </c>
      <c r="L19" s="167" t="str">
        <f t="shared" si="1"/>
        <v/>
      </c>
    </row>
    <row r="20" spans="2:12" x14ac:dyDescent="0.3">
      <c r="B20" s="224" t="str">
        <f>Carteira!D19</f>
        <v/>
      </c>
      <c r="C20" s="224" t="str">
        <f>Carteira!E19</f>
        <v/>
      </c>
      <c r="D20" s="224" t="str">
        <f>Carteira!O19</f>
        <v/>
      </c>
      <c r="E20" s="224" t="str">
        <f>Carteira!L19</f>
        <v/>
      </c>
      <c r="F20" s="224" t="str">
        <f>Carteira!H19</f>
        <v/>
      </c>
      <c r="G20" s="224" t="str">
        <f>Carteira!P19</f>
        <v/>
      </c>
      <c r="H20" s="224" t="str">
        <f t="shared" si="0"/>
        <v/>
      </c>
      <c r="I20" s="224" t="str">
        <f>IF(B20="","",Carteira!R19)</f>
        <v/>
      </c>
      <c r="J20" s="201" t="str">
        <f>IF(B20="","",Retorno!G23)</f>
        <v/>
      </c>
      <c r="K20" s="201" t="str">
        <f>Carteira!Q19</f>
        <v/>
      </c>
      <c r="L20" s="167" t="str">
        <f t="shared" si="1"/>
        <v/>
      </c>
    </row>
    <row r="21" spans="2:12" x14ac:dyDescent="0.3">
      <c r="B21" s="224" t="str">
        <f>Carteira!D20</f>
        <v/>
      </c>
      <c r="C21" s="224" t="str">
        <f>Carteira!E20</f>
        <v/>
      </c>
      <c r="D21" s="224" t="str">
        <f>Carteira!O20</f>
        <v/>
      </c>
      <c r="E21" s="224" t="str">
        <f>Carteira!L20</f>
        <v/>
      </c>
      <c r="F21" s="224" t="str">
        <f>Carteira!H20</f>
        <v/>
      </c>
      <c r="G21" s="224" t="str">
        <f>Carteira!P20</f>
        <v/>
      </c>
      <c r="H21" s="224" t="str">
        <f t="shared" si="0"/>
        <v/>
      </c>
      <c r="I21" s="224" t="str">
        <f>IF(B21="","",Carteira!R20)</f>
        <v/>
      </c>
      <c r="J21" s="201" t="str">
        <f>IF(B21="","",Retorno!G24)</f>
        <v/>
      </c>
      <c r="K21" s="201" t="str">
        <f>Carteira!Q20</f>
        <v/>
      </c>
      <c r="L21" s="167" t="str">
        <f t="shared" si="1"/>
        <v/>
      </c>
    </row>
    <row r="22" spans="2:12" x14ac:dyDescent="0.3">
      <c r="B22" s="224" t="str">
        <f>Carteira!D21</f>
        <v/>
      </c>
      <c r="C22" s="224" t="str">
        <f>Carteira!E21</f>
        <v/>
      </c>
      <c r="D22" s="224" t="str">
        <f>Carteira!O21</f>
        <v/>
      </c>
      <c r="E22" s="224" t="str">
        <f>Carteira!L21</f>
        <v/>
      </c>
      <c r="F22" s="224" t="str">
        <f>Carteira!H21</f>
        <v/>
      </c>
      <c r="G22" s="224" t="str">
        <f>Carteira!P21</f>
        <v/>
      </c>
      <c r="H22" s="224" t="str">
        <f t="shared" si="0"/>
        <v/>
      </c>
      <c r="I22" s="224" t="str">
        <f>IF(B22="","",Carteira!R21)</f>
        <v/>
      </c>
      <c r="J22" s="201" t="str">
        <f>IF(B22="","",Retorno!G25)</f>
        <v/>
      </c>
      <c r="K22" s="201" t="str">
        <f>Carteira!Q21</f>
        <v/>
      </c>
      <c r="L22" s="167" t="str">
        <f t="shared" si="1"/>
        <v/>
      </c>
    </row>
    <row r="23" spans="2:12" x14ac:dyDescent="0.3">
      <c r="B23" s="224" t="str">
        <f>Carteira!D22</f>
        <v/>
      </c>
      <c r="C23" s="224" t="str">
        <f>Carteira!E22</f>
        <v/>
      </c>
      <c r="D23" s="224" t="str">
        <f>Carteira!O22</f>
        <v/>
      </c>
      <c r="E23" s="224" t="str">
        <f>Carteira!L22</f>
        <v/>
      </c>
      <c r="F23" s="224" t="str">
        <f>Carteira!H22</f>
        <v/>
      </c>
      <c r="G23" s="224" t="str">
        <f>Carteira!P22</f>
        <v/>
      </c>
      <c r="H23" s="224" t="str">
        <f t="shared" si="0"/>
        <v/>
      </c>
      <c r="I23" s="224" t="str">
        <f>IF(B23="","",Carteira!R22)</f>
        <v/>
      </c>
      <c r="J23" s="201" t="str">
        <f>IF(B23="","",Retorno!G26)</f>
        <v/>
      </c>
      <c r="K23" s="201" t="str">
        <f>Carteira!Q22</f>
        <v/>
      </c>
      <c r="L23" s="167" t="str">
        <f t="shared" si="1"/>
        <v/>
      </c>
    </row>
    <row r="24" spans="2:12" x14ac:dyDescent="0.3">
      <c r="B24" s="224" t="str">
        <f>Carteira!D23</f>
        <v/>
      </c>
      <c r="C24" s="224" t="str">
        <f>Carteira!E23</f>
        <v/>
      </c>
      <c r="D24" s="224" t="str">
        <f>Carteira!O23</f>
        <v/>
      </c>
      <c r="E24" s="224" t="str">
        <f>Carteira!L23</f>
        <v/>
      </c>
      <c r="F24" s="224" t="str">
        <f>Carteira!H23</f>
        <v/>
      </c>
      <c r="G24" s="224" t="str">
        <f>Carteira!P23</f>
        <v/>
      </c>
      <c r="H24" s="224" t="str">
        <f t="shared" si="0"/>
        <v/>
      </c>
      <c r="I24" s="224" t="str">
        <f>IF(B24="","",Carteira!R23)</f>
        <v/>
      </c>
      <c r="J24" s="201" t="str">
        <f>IF(B24="","",Retorno!G27)</f>
        <v/>
      </c>
      <c r="K24" s="201" t="str">
        <f>Carteira!Q23</f>
        <v/>
      </c>
      <c r="L24" s="167" t="str">
        <f t="shared" si="1"/>
        <v/>
      </c>
    </row>
    <row r="25" spans="2:12" x14ac:dyDescent="0.3">
      <c r="B25" s="224" t="str">
        <f>Carteira!D24</f>
        <v/>
      </c>
      <c r="C25" s="224" t="str">
        <f>Carteira!E24</f>
        <v/>
      </c>
      <c r="D25" s="224" t="str">
        <f>Carteira!O24</f>
        <v/>
      </c>
      <c r="E25" s="224" t="str">
        <f>Carteira!L24</f>
        <v/>
      </c>
      <c r="F25" s="224" t="str">
        <f>Carteira!H24</f>
        <v/>
      </c>
      <c r="G25" s="224" t="str">
        <f>Carteira!P24</f>
        <v/>
      </c>
      <c r="H25" s="224" t="str">
        <f t="shared" si="0"/>
        <v/>
      </c>
      <c r="I25" s="224" t="str">
        <f>IF(B25="","",Carteira!R24)</f>
        <v/>
      </c>
      <c r="J25" s="201" t="str">
        <f>IF(B25="","",Retorno!G28)</f>
        <v/>
      </c>
      <c r="K25" s="201" t="str">
        <f>Carteira!Q24</f>
        <v/>
      </c>
      <c r="L25" s="167" t="str">
        <f t="shared" si="1"/>
        <v/>
      </c>
    </row>
    <row r="26" spans="2:12" x14ac:dyDescent="0.3">
      <c r="B26" s="224" t="str">
        <f>Carteira!D25</f>
        <v/>
      </c>
      <c r="C26" s="224" t="str">
        <f>Carteira!E25</f>
        <v/>
      </c>
      <c r="D26" s="224" t="str">
        <f>Carteira!O25</f>
        <v/>
      </c>
      <c r="E26" s="224" t="str">
        <f>Carteira!L25</f>
        <v/>
      </c>
      <c r="F26" s="224" t="str">
        <f>Carteira!H25</f>
        <v/>
      </c>
      <c r="G26" s="224" t="str">
        <f>Carteira!P25</f>
        <v/>
      </c>
      <c r="H26" s="224" t="str">
        <f t="shared" si="0"/>
        <v/>
      </c>
      <c r="I26" s="224" t="str">
        <f>IF(B26="","",Carteira!R25)</f>
        <v/>
      </c>
      <c r="J26" s="201" t="str">
        <f>IF(B26="","",Retorno!G29)</f>
        <v/>
      </c>
      <c r="K26" s="201" t="str">
        <f>Carteira!Q25</f>
        <v/>
      </c>
      <c r="L26" s="167" t="str">
        <f t="shared" si="1"/>
        <v/>
      </c>
    </row>
    <row r="27" spans="2:12" x14ac:dyDescent="0.3">
      <c r="B27" s="224" t="str">
        <f>Carteira!D26</f>
        <v/>
      </c>
      <c r="C27" s="224" t="str">
        <f>Carteira!E26</f>
        <v/>
      </c>
      <c r="D27" s="224" t="str">
        <f>Carteira!O26</f>
        <v/>
      </c>
      <c r="E27" s="224" t="str">
        <f>Carteira!L26</f>
        <v/>
      </c>
      <c r="F27" s="224" t="str">
        <f>Carteira!H26</f>
        <v/>
      </c>
      <c r="G27" s="224" t="str">
        <f>Carteira!P26</f>
        <v/>
      </c>
      <c r="H27" s="224" t="str">
        <f t="shared" si="0"/>
        <v/>
      </c>
      <c r="I27" s="224" t="str">
        <f>IF(B27="","",Carteira!R26)</f>
        <v/>
      </c>
      <c r="J27" s="201" t="str">
        <f>IF(B27="","",Retorno!G30)</f>
        <v/>
      </c>
      <c r="K27" s="201" t="str">
        <f>Carteira!Q26</f>
        <v/>
      </c>
      <c r="L27" s="167" t="str">
        <f t="shared" si="1"/>
        <v/>
      </c>
    </row>
    <row r="28" spans="2:12" x14ac:dyDescent="0.3">
      <c r="B28" s="224" t="str">
        <f>Carteira!D27</f>
        <v/>
      </c>
      <c r="C28" s="224" t="str">
        <f>Carteira!E27</f>
        <v/>
      </c>
      <c r="D28" s="224" t="str">
        <f>Carteira!O27</f>
        <v/>
      </c>
      <c r="E28" s="224" t="str">
        <f>Carteira!L27</f>
        <v/>
      </c>
      <c r="F28" s="224" t="str">
        <f>Carteira!H27</f>
        <v/>
      </c>
      <c r="G28" s="224" t="str">
        <f>Carteira!P27</f>
        <v/>
      </c>
      <c r="H28" s="224" t="str">
        <f t="shared" si="0"/>
        <v/>
      </c>
      <c r="I28" s="224" t="str">
        <f>IF(B28="","",Carteira!R27)</f>
        <v/>
      </c>
      <c r="J28" s="201" t="str">
        <f>IF(B28="","",Retorno!G31)</f>
        <v/>
      </c>
      <c r="K28" s="201" t="str">
        <f>Carteira!Q27</f>
        <v/>
      </c>
      <c r="L28" s="167" t="str">
        <f t="shared" si="1"/>
        <v/>
      </c>
    </row>
    <row r="29" spans="2:12" x14ac:dyDescent="0.3">
      <c r="B29" s="224" t="str">
        <f>Carteira!D28</f>
        <v/>
      </c>
      <c r="C29" s="224" t="str">
        <f>Carteira!E28</f>
        <v/>
      </c>
      <c r="D29" s="224" t="str">
        <f>Carteira!O28</f>
        <v/>
      </c>
      <c r="E29" s="224" t="str">
        <f>Carteira!L28</f>
        <v/>
      </c>
      <c r="F29" s="224" t="str">
        <f>Carteira!H28</f>
        <v/>
      </c>
      <c r="G29" s="224" t="str">
        <f>Carteira!P28</f>
        <v/>
      </c>
      <c r="H29" s="224" t="str">
        <f t="shared" si="0"/>
        <v/>
      </c>
      <c r="I29" s="224" t="str">
        <f>IF(B29="","",Carteira!R28)</f>
        <v/>
      </c>
      <c r="J29" s="201" t="str">
        <f>IF(B29="","",Retorno!G32)</f>
        <v/>
      </c>
      <c r="K29" s="201" t="str">
        <f>Carteira!Q28</f>
        <v/>
      </c>
      <c r="L29" s="167" t="str">
        <f t="shared" si="1"/>
        <v/>
      </c>
    </row>
    <row r="30" spans="2:12" x14ac:dyDescent="0.3">
      <c r="B30" s="224" t="str">
        <f>Carteira!D29</f>
        <v/>
      </c>
      <c r="C30" s="224" t="str">
        <f>Carteira!E29</f>
        <v/>
      </c>
      <c r="D30" s="224" t="str">
        <f>Carteira!O29</f>
        <v/>
      </c>
      <c r="E30" s="224" t="str">
        <f>Carteira!L29</f>
        <v/>
      </c>
      <c r="F30" s="224" t="str">
        <f>Carteira!H29</f>
        <v/>
      </c>
      <c r="G30" s="224" t="str">
        <f>Carteira!P29</f>
        <v/>
      </c>
      <c r="H30" s="224" t="str">
        <f t="shared" si="0"/>
        <v/>
      </c>
      <c r="I30" s="224" t="str">
        <f>IF(B30="","",Carteira!R29)</f>
        <v/>
      </c>
      <c r="J30" s="201" t="str">
        <f>IF(B30="","",Retorno!G33)</f>
        <v/>
      </c>
      <c r="K30" s="201" t="str">
        <f>Carteira!Q29</f>
        <v/>
      </c>
      <c r="L30" s="167" t="str">
        <f t="shared" si="1"/>
        <v/>
      </c>
    </row>
    <row r="31" spans="2:12" x14ac:dyDescent="0.3">
      <c r="B31" s="224" t="str">
        <f>Carteira!D30</f>
        <v/>
      </c>
      <c r="C31" s="224" t="str">
        <f>Carteira!E30</f>
        <v/>
      </c>
      <c r="D31" s="224" t="str">
        <f>Carteira!O30</f>
        <v/>
      </c>
      <c r="E31" s="224" t="str">
        <f>Carteira!L30</f>
        <v/>
      </c>
      <c r="F31" s="224" t="str">
        <f>Carteira!H30</f>
        <v/>
      </c>
      <c r="G31" s="224" t="str">
        <f>Carteira!P30</f>
        <v/>
      </c>
      <c r="H31" s="224" t="str">
        <f t="shared" si="0"/>
        <v/>
      </c>
      <c r="I31" s="224" t="str">
        <f>IF(B31="","",Carteira!R30)</f>
        <v/>
      </c>
      <c r="J31" s="201" t="str">
        <f>IF(B31="","",Retorno!G34)</f>
        <v/>
      </c>
      <c r="K31" s="201" t="str">
        <f>Carteira!Q30</f>
        <v/>
      </c>
      <c r="L31" s="167" t="str">
        <f t="shared" si="1"/>
        <v/>
      </c>
    </row>
    <row r="32" spans="2:12" x14ac:dyDescent="0.3">
      <c r="B32" s="224" t="str">
        <f>Carteira!D31</f>
        <v/>
      </c>
      <c r="C32" s="224" t="str">
        <f>Carteira!E31</f>
        <v/>
      </c>
      <c r="D32" s="224" t="str">
        <f>Carteira!O31</f>
        <v/>
      </c>
      <c r="E32" s="224" t="str">
        <f>Carteira!L31</f>
        <v/>
      </c>
      <c r="F32" s="224" t="str">
        <f>Carteira!H31</f>
        <v/>
      </c>
      <c r="G32" s="224" t="str">
        <f>Carteira!P31</f>
        <v/>
      </c>
      <c r="H32" s="224" t="str">
        <f t="shared" si="0"/>
        <v/>
      </c>
      <c r="I32" s="224" t="str">
        <f>IF(B32="","",Carteira!R31)</f>
        <v/>
      </c>
      <c r="J32" s="201" t="str">
        <f>IF(B32="","",Retorno!G35)</f>
        <v/>
      </c>
      <c r="K32" s="201" t="str">
        <f>Carteira!Q31</f>
        <v/>
      </c>
      <c r="L32" s="167" t="str">
        <f t="shared" si="1"/>
        <v/>
      </c>
    </row>
    <row r="33" spans="2:12" x14ac:dyDescent="0.3">
      <c r="B33" s="224" t="str">
        <f>Carteira!D32</f>
        <v/>
      </c>
      <c r="C33" s="224" t="str">
        <f>Carteira!E32</f>
        <v/>
      </c>
      <c r="D33" s="224" t="str">
        <f>Carteira!O32</f>
        <v/>
      </c>
      <c r="E33" s="224" t="str">
        <f>Carteira!L32</f>
        <v/>
      </c>
      <c r="F33" s="224" t="str">
        <f>Carteira!H32</f>
        <v/>
      </c>
      <c r="G33" s="224" t="str">
        <f>Carteira!P32</f>
        <v/>
      </c>
      <c r="H33" s="224" t="str">
        <f t="shared" si="0"/>
        <v/>
      </c>
      <c r="I33" s="224" t="str">
        <f>IF(B33="","",Carteira!R32)</f>
        <v/>
      </c>
      <c r="J33" s="201" t="str">
        <f>IF(B33="","",Retorno!G36)</f>
        <v/>
      </c>
      <c r="K33" s="201" t="str">
        <f>Carteira!Q32</f>
        <v/>
      </c>
      <c r="L33" s="167" t="str">
        <f t="shared" si="1"/>
        <v/>
      </c>
    </row>
    <row r="34" spans="2:12" x14ac:dyDescent="0.3">
      <c r="B34" s="224" t="str">
        <f>Carteira!D33</f>
        <v/>
      </c>
      <c r="C34" s="224" t="str">
        <f>Carteira!E33</f>
        <v/>
      </c>
      <c r="D34" s="224" t="str">
        <f>Carteira!O33</f>
        <v/>
      </c>
      <c r="E34" s="224" t="str">
        <f>Carteira!L33</f>
        <v/>
      </c>
      <c r="F34" s="224" t="str">
        <f>Carteira!H33</f>
        <v/>
      </c>
      <c r="G34" s="224" t="str">
        <f>Carteira!P33</f>
        <v/>
      </c>
      <c r="H34" s="224" t="str">
        <f t="shared" si="0"/>
        <v/>
      </c>
      <c r="I34" s="224" t="str">
        <f>IF(B34="","",Carteira!R33)</f>
        <v/>
      </c>
      <c r="J34" s="201" t="str">
        <f>IF(B34="","",Retorno!G37)</f>
        <v/>
      </c>
      <c r="K34" s="201" t="str">
        <f>Carteira!Q33</f>
        <v/>
      </c>
      <c r="L34" s="167" t="str">
        <f t="shared" si="1"/>
        <v/>
      </c>
    </row>
    <row r="35" spans="2:12" x14ac:dyDescent="0.3">
      <c r="B35" s="224" t="str">
        <f>Carteira!D34</f>
        <v/>
      </c>
      <c r="C35" s="224" t="str">
        <f>Carteira!E34</f>
        <v/>
      </c>
      <c r="D35" s="224" t="str">
        <f>Carteira!O34</f>
        <v/>
      </c>
      <c r="E35" s="224" t="str">
        <f>Carteira!L34</f>
        <v/>
      </c>
      <c r="F35" s="224" t="str">
        <f>Carteira!H34</f>
        <v/>
      </c>
      <c r="G35" s="224" t="str">
        <f>Carteira!P34</f>
        <v/>
      </c>
      <c r="H35" s="224" t="str">
        <f t="shared" si="0"/>
        <v/>
      </c>
      <c r="I35" s="224" t="str">
        <f>IF(B35="","",Carteira!R34)</f>
        <v/>
      </c>
      <c r="J35" s="201" t="str">
        <f>IF(B35="","",Retorno!G38)</f>
        <v/>
      </c>
      <c r="K35" s="201" t="str">
        <f>Carteira!Q34</f>
        <v/>
      </c>
      <c r="L35" s="167" t="str">
        <f t="shared" si="1"/>
        <v/>
      </c>
    </row>
    <row r="36" spans="2:12" x14ac:dyDescent="0.3">
      <c r="B36" s="224" t="str">
        <f>Carteira!D35</f>
        <v/>
      </c>
      <c r="C36" s="224" t="str">
        <f>Carteira!E35</f>
        <v/>
      </c>
      <c r="D36" s="224" t="str">
        <f>Carteira!O35</f>
        <v/>
      </c>
      <c r="E36" s="224" t="str">
        <f>Carteira!L35</f>
        <v/>
      </c>
      <c r="F36" s="224" t="str">
        <f>Carteira!H35</f>
        <v/>
      </c>
      <c r="G36" s="224" t="str">
        <f>Carteira!P35</f>
        <v/>
      </c>
      <c r="H36" s="224" t="str">
        <f t="shared" si="0"/>
        <v/>
      </c>
      <c r="I36" s="224" t="str">
        <f>IF(B36="","",Carteira!R35)</f>
        <v/>
      </c>
      <c r="J36" s="201" t="str">
        <f>IF(B36="","",Retorno!G39)</f>
        <v/>
      </c>
      <c r="K36" s="201" t="str">
        <f>Carteira!Q35</f>
        <v/>
      </c>
      <c r="L36" s="167" t="str">
        <f t="shared" si="1"/>
        <v/>
      </c>
    </row>
    <row r="37" spans="2:12" x14ac:dyDescent="0.3">
      <c r="B37" s="224" t="str">
        <f>Carteira!D36</f>
        <v/>
      </c>
      <c r="C37" s="224" t="str">
        <f>Carteira!E36</f>
        <v/>
      </c>
      <c r="D37" s="224" t="str">
        <f>Carteira!O36</f>
        <v/>
      </c>
      <c r="E37" s="224" t="str">
        <f>Carteira!L36</f>
        <v/>
      </c>
      <c r="F37" s="224" t="str">
        <f>Carteira!H36</f>
        <v/>
      </c>
      <c r="G37" s="224" t="str">
        <f>Carteira!P36</f>
        <v/>
      </c>
      <c r="H37" s="224" t="str">
        <f t="shared" si="0"/>
        <v/>
      </c>
      <c r="I37" s="224" t="str">
        <f>IF(B37="","",Carteira!R36)</f>
        <v/>
      </c>
      <c r="J37" s="201" t="str">
        <f>IF(B37="","",Retorno!G40)</f>
        <v/>
      </c>
      <c r="K37" s="201" t="str">
        <f>Carteira!Q36</f>
        <v/>
      </c>
      <c r="L37" s="167" t="str">
        <f t="shared" si="1"/>
        <v/>
      </c>
    </row>
    <row r="38" spans="2:12" x14ac:dyDescent="0.3">
      <c r="B38" s="224" t="str">
        <f>Carteira!D37</f>
        <v/>
      </c>
      <c r="C38" s="224" t="str">
        <f>Carteira!E37</f>
        <v/>
      </c>
      <c r="D38" s="224" t="str">
        <f>Carteira!O37</f>
        <v/>
      </c>
      <c r="E38" s="224" t="str">
        <f>Carteira!L37</f>
        <v/>
      </c>
      <c r="F38" s="224" t="str">
        <f>Carteira!H37</f>
        <v/>
      </c>
      <c r="G38" s="224" t="str">
        <f>Carteira!P37</f>
        <v/>
      </c>
      <c r="H38" s="224" t="str">
        <f t="shared" si="0"/>
        <v/>
      </c>
      <c r="I38" s="224" t="str">
        <f>IF(B38="","",Carteira!R37)</f>
        <v/>
      </c>
      <c r="J38" s="201" t="str">
        <f>IF(B38="","",Retorno!G41)</f>
        <v/>
      </c>
      <c r="K38" s="201" t="str">
        <f>Carteira!Q37</f>
        <v/>
      </c>
      <c r="L38" s="167" t="str">
        <f t="shared" si="1"/>
        <v/>
      </c>
    </row>
    <row r="39" spans="2:12" x14ac:dyDescent="0.3">
      <c r="B39" s="224" t="str">
        <f>Carteira!D38</f>
        <v/>
      </c>
      <c r="C39" s="224" t="str">
        <f>Carteira!E38</f>
        <v/>
      </c>
      <c r="D39" s="224" t="str">
        <f>Carteira!O38</f>
        <v/>
      </c>
      <c r="E39" s="224" t="str">
        <f>Carteira!L38</f>
        <v/>
      </c>
      <c r="F39" s="224" t="str">
        <f>Carteira!H38</f>
        <v/>
      </c>
      <c r="G39" s="224" t="str">
        <f>Carteira!P38</f>
        <v/>
      </c>
      <c r="H39" s="224" t="str">
        <f t="shared" si="0"/>
        <v/>
      </c>
      <c r="I39" s="224" t="str">
        <f>IF(B39="","",Carteira!R38)</f>
        <v/>
      </c>
      <c r="J39" s="201" t="str">
        <f>IF(B39="","",Retorno!G42)</f>
        <v/>
      </c>
      <c r="K39" s="201" t="str">
        <f>Carteira!Q38</f>
        <v/>
      </c>
      <c r="L39" s="167" t="str">
        <f t="shared" si="1"/>
        <v/>
      </c>
    </row>
    <row r="40" spans="2:12" x14ac:dyDescent="0.3">
      <c r="B40" s="224" t="str">
        <f>Carteira!D39</f>
        <v/>
      </c>
      <c r="C40" s="224" t="str">
        <f>Carteira!E39</f>
        <v/>
      </c>
      <c r="D40" s="224" t="str">
        <f>Carteira!O39</f>
        <v/>
      </c>
      <c r="E40" s="224" t="str">
        <f>Carteira!L39</f>
        <v/>
      </c>
      <c r="F40" s="224" t="str">
        <f>Carteira!H39</f>
        <v/>
      </c>
      <c r="G40" s="224" t="str">
        <f>Carteira!P39</f>
        <v/>
      </c>
      <c r="H40" s="224" t="str">
        <f t="shared" si="0"/>
        <v/>
      </c>
      <c r="I40" s="224" t="str">
        <f>IF(B40="","",Carteira!R39)</f>
        <v/>
      </c>
      <c r="J40" s="201" t="str">
        <f>IF(B40="","",Retorno!G43)</f>
        <v/>
      </c>
      <c r="K40" s="201" t="str">
        <f>Carteira!Q39</f>
        <v/>
      </c>
      <c r="L40" s="167" t="str">
        <f t="shared" si="1"/>
        <v/>
      </c>
    </row>
    <row r="41" spans="2:12" x14ac:dyDescent="0.3">
      <c r="B41" s="224" t="str">
        <f>Carteira!D40</f>
        <v/>
      </c>
      <c r="C41" s="224" t="str">
        <f>Carteira!E40</f>
        <v/>
      </c>
      <c r="D41" s="224" t="str">
        <f>Carteira!O40</f>
        <v/>
      </c>
      <c r="E41" s="224" t="str">
        <f>Carteira!L40</f>
        <v/>
      </c>
      <c r="F41" s="224" t="str">
        <f>Carteira!H40</f>
        <v/>
      </c>
      <c r="G41" s="224" t="str">
        <f>Carteira!P40</f>
        <v/>
      </c>
      <c r="H41" s="224" t="str">
        <f t="shared" si="0"/>
        <v/>
      </c>
      <c r="I41" s="224" t="str">
        <f>IF(B41="","",Carteira!R40)</f>
        <v/>
      </c>
      <c r="J41" s="201" t="str">
        <f>IF(B41="","",Retorno!G44)</f>
        <v/>
      </c>
      <c r="K41" s="201" t="str">
        <f>Carteira!Q40</f>
        <v/>
      </c>
      <c r="L41" s="167" t="str">
        <f t="shared" si="1"/>
        <v/>
      </c>
    </row>
    <row r="42" spans="2:12" x14ac:dyDescent="0.3">
      <c r="B42" s="224" t="str">
        <f>Carteira!D41</f>
        <v/>
      </c>
      <c r="C42" s="224" t="str">
        <f>Carteira!E41</f>
        <v/>
      </c>
      <c r="D42" s="224" t="str">
        <f>Carteira!O41</f>
        <v/>
      </c>
      <c r="E42" s="224" t="str">
        <f>Carteira!L41</f>
        <v/>
      </c>
      <c r="F42" s="224" t="str">
        <f>Carteira!H41</f>
        <v/>
      </c>
      <c r="G42" s="224" t="str">
        <f>Carteira!P41</f>
        <v/>
      </c>
      <c r="H42" s="224" t="str">
        <f t="shared" si="0"/>
        <v/>
      </c>
      <c r="I42" s="224" t="str">
        <f>IF(B42="","",Carteira!R41)</f>
        <v/>
      </c>
      <c r="J42" s="201" t="str">
        <f>IF(B42="","",Retorno!G45)</f>
        <v/>
      </c>
      <c r="K42" s="201" t="str">
        <f>Carteira!Q41</f>
        <v/>
      </c>
      <c r="L42" s="167" t="str">
        <f t="shared" si="1"/>
        <v/>
      </c>
    </row>
    <row r="43" spans="2:12" x14ac:dyDescent="0.3">
      <c r="B43" s="224" t="str">
        <f>Carteira!D42</f>
        <v/>
      </c>
      <c r="C43" s="224" t="str">
        <f>Carteira!E42</f>
        <v/>
      </c>
      <c r="D43" s="224" t="str">
        <f>Carteira!O42</f>
        <v/>
      </c>
      <c r="E43" s="224" t="str">
        <f>Carteira!L42</f>
        <v/>
      </c>
      <c r="F43" s="224" t="str">
        <f>Carteira!H42</f>
        <v/>
      </c>
      <c r="G43" s="224" t="str">
        <f>Carteira!P42</f>
        <v/>
      </c>
      <c r="H43" s="224" t="str">
        <f t="shared" si="0"/>
        <v/>
      </c>
      <c r="I43" s="224" t="str">
        <f>IF(B43="","",Carteira!R42)</f>
        <v/>
      </c>
      <c r="J43" s="201" t="str">
        <f>IF(B43="","",Retorno!G46)</f>
        <v/>
      </c>
      <c r="K43" s="201" t="str">
        <f>Carteira!Q42</f>
        <v/>
      </c>
      <c r="L43" s="167" t="str">
        <f t="shared" si="1"/>
        <v/>
      </c>
    </row>
  </sheetData>
  <conditionalFormatting sqref="A1:XFD1048576">
    <cfRule type="notContainsBlanks" dxfId="128" priority="1">
      <formula>LEN(TRIM(A1))&gt;0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24</vt:i4>
      </vt:variant>
      <vt:variant>
        <vt:lpstr>Intervalos nomeados</vt:lpstr>
      </vt:variant>
      <vt:variant>
        <vt:i4>1</vt:i4>
      </vt:variant>
    </vt:vector>
  </HeadingPairs>
  <TitlesOfParts>
    <vt:vector size="25" baseType="lpstr">
      <vt:lpstr>Entrada</vt:lpstr>
      <vt:lpstr>Dados_Clientes</vt:lpstr>
      <vt:lpstr>Dados dos fundos</vt:lpstr>
      <vt:lpstr>VaR_Calculo</vt:lpstr>
      <vt:lpstr>VaR_Calculo_Historico</vt:lpstr>
      <vt:lpstr>Resumo</vt:lpstr>
      <vt:lpstr>Capa</vt:lpstr>
      <vt:lpstr>Relatório</vt:lpstr>
      <vt:lpstr>CAD</vt:lpstr>
      <vt:lpstr>CadPrev</vt:lpstr>
      <vt:lpstr>Carteira</vt:lpstr>
      <vt:lpstr>enquadramento</vt:lpstr>
      <vt:lpstr>Retorno</vt:lpstr>
      <vt:lpstr>Calculo_Indice_Sharpe</vt:lpstr>
      <vt:lpstr>Trimestral</vt:lpstr>
      <vt:lpstr>historico</vt:lpstr>
      <vt:lpstr>AUDESP</vt:lpstr>
      <vt:lpstr>Relatorio excel</vt:lpstr>
      <vt:lpstr>Plan1</vt:lpstr>
      <vt:lpstr>Plan2</vt:lpstr>
      <vt:lpstr>Plan3</vt:lpstr>
      <vt:lpstr>Plan4</vt:lpstr>
      <vt:lpstr>Plan6</vt:lpstr>
      <vt:lpstr>Plan5</vt:lpstr>
      <vt:lpstr>Capa!Area_de_impressao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Karine</dc:creator>
  <cp:lastModifiedBy>Anísio</cp:lastModifiedBy>
  <cp:lastPrinted>2016-04-22T16:47:45Z</cp:lastPrinted>
  <dcterms:created xsi:type="dcterms:W3CDTF">2014-02-12T10:46:23Z</dcterms:created>
  <dcterms:modified xsi:type="dcterms:W3CDTF">2016-04-26T15:23:35Z</dcterms:modified>
</cp:coreProperties>
</file>